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3.xml" ContentType="application/vnd.openxmlformats-officedocument.drawing+xml"/>
  <Override PartName="/xl/ctrlProps/ctrlProp2.xml" ContentType="application/vnd.ms-excel.controlproperties+xml"/>
  <Override PartName="/xl/drawings/drawing4.xml" ContentType="application/vnd.openxmlformats-officedocument.drawing+xml"/>
  <Override PartName="/xl/ctrlProps/ctrlProp3.xml" ContentType="application/vnd.ms-excel.controlproperties+xml"/>
  <Override PartName="/xl/drawings/drawing5.xml" ContentType="application/vnd.openxmlformats-officedocument.drawing+xml"/>
  <Override PartName="/xl/drawings/drawing6.xml" ContentType="application/vnd.openxmlformats-officedocument.drawing+xml"/>
  <Override PartName="/xl/ctrlProps/ctrlProp4.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filterPrivacy="1"/>
  <xr:revisionPtr revIDLastSave="0" documentId="13_ncr:1_{4C2AFE33-2A92-416D-9DE4-FC8A21CDAD6F}" xr6:coauthVersionLast="47" xr6:coauthVersionMax="47" xr10:uidLastSave="{00000000-0000-0000-0000-000000000000}"/>
  <bookViews>
    <workbookView xWindow="-108" yWindow="-108" windowWidth="23256" windowHeight="12456" activeTab="5" xr2:uid="{96EB6C4B-2AB1-4C4D-89B5-E27DCE5F4557}"/>
  </bookViews>
  <sheets>
    <sheet name="Cover Page" sheetId="1" r:id="rId1"/>
    <sheet name="Dashboard" sheetId="2" r:id="rId2"/>
    <sheet name="WACC" sheetId="3" r:id="rId3"/>
    <sheet name="DCF" sheetId="4" r:id="rId4"/>
    <sheet name="Comparable Companyn Analysis" sheetId="5" r:id="rId5"/>
    <sheet name="Financial Model" sheetId="6" r:id="rId6"/>
  </sheets>
  <calcPr calcId="191029" iterate="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55" i="2" l="1"/>
  <c r="H55" i="2" s="1"/>
  <c r="I55" i="2" s="1"/>
  <c r="J55" i="2" s="1"/>
  <c r="K55" i="2" s="1"/>
  <c r="L55" i="2" s="1"/>
  <c r="M55" i="2" s="1"/>
  <c r="N55" i="2" s="1"/>
  <c r="O55" i="2" s="1"/>
  <c r="P55" i="2" s="1"/>
  <c r="E13" i="2"/>
  <c r="E12" i="2"/>
  <c r="E9" i="2"/>
  <c r="E11" i="2"/>
  <c r="J7" i="2"/>
  <c r="K7" i="2" s="1"/>
  <c r="L7" i="2" s="1"/>
  <c r="M7" i="2" s="1"/>
  <c r="N7" i="2" s="1"/>
  <c r="O7" i="2" s="1"/>
  <c r="P7" i="2" s="1"/>
  <c r="Q7" i="2" s="1"/>
  <c r="R7" i="2" s="1"/>
  <c r="S7" i="2" s="1"/>
  <c r="E99" i="2" l="1"/>
  <c r="F99" i="2" s="1"/>
  <c r="G99" i="2" s="1"/>
  <c r="H99" i="2" s="1"/>
  <c r="I99" i="2" s="1"/>
  <c r="J99" i="2" s="1"/>
  <c r="K99" i="2" s="1"/>
  <c r="L99" i="2" s="1"/>
  <c r="M99" i="2" s="1"/>
  <c r="N99" i="2" s="1"/>
  <c r="K30" i="5" l="1"/>
  <c r="I30" i="5" s="1"/>
  <c r="E19" i="2" s="1"/>
  <c r="K29" i="5"/>
  <c r="I29" i="5" s="1"/>
  <c r="E18" i="2" s="1"/>
  <c r="K28" i="5"/>
  <c r="I28" i="5" s="1"/>
  <c r="K27" i="5"/>
  <c r="I27" i="5" s="1"/>
  <c r="E20" i="2" s="1"/>
  <c r="C3" i="3"/>
  <c r="C3" i="4"/>
  <c r="C3" i="6"/>
  <c r="N88" i="2"/>
  <c r="O88" i="2" s="1"/>
  <c r="P88" i="2" s="1"/>
  <c r="N77" i="2"/>
  <c r="M77" i="2" s="1"/>
  <c r="L77" i="2" s="1"/>
  <c r="F88" i="2"/>
  <c r="E88" i="2" s="1"/>
  <c r="D88" i="2" s="1"/>
  <c r="F77" i="2"/>
  <c r="G77" i="2" s="1"/>
  <c r="H77" i="2" s="1"/>
  <c r="G37" i="4"/>
  <c r="H37" i="4" s="1"/>
  <c r="N57" i="4"/>
  <c r="J62" i="4"/>
  <c r="I71" i="2"/>
  <c r="I70" i="2"/>
  <c r="I67" i="2"/>
  <c r="C37" i="4" s="1"/>
  <c r="E25" i="4"/>
  <c r="F25" i="4"/>
  <c r="G25" i="4"/>
  <c r="H25" i="4"/>
  <c r="I25" i="4"/>
  <c r="D25" i="4"/>
  <c r="E24" i="4"/>
  <c r="F24" i="4"/>
  <c r="G24" i="4"/>
  <c r="H24" i="4"/>
  <c r="I24" i="4"/>
  <c r="D24" i="4"/>
  <c r="E21" i="4"/>
  <c r="F21" i="4"/>
  <c r="G21" i="4"/>
  <c r="H21" i="4"/>
  <c r="I21" i="4"/>
  <c r="D21" i="4"/>
  <c r="I20" i="4"/>
  <c r="H20" i="4"/>
  <c r="G20" i="4"/>
  <c r="F20" i="4"/>
  <c r="E20" i="4"/>
  <c r="D20" i="4"/>
  <c r="I19" i="4"/>
  <c r="H19" i="4"/>
  <c r="G19" i="4"/>
  <c r="F19" i="4"/>
  <c r="E19" i="4"/>
  <c r="D19" i="4"/>
  <c r="E16" i="4"/>
  <c r="F16" i="4"/>
  <c r="G16" i="4"/>
  <c r="H16" i="4"/>
  <c r="I16" i="4"/>
  <c r="D16" i="4"/>
  <c r="E15" i="4"/>
  <c r="F15" i="4"/>
  <c r="G15" i="4"/>
  <c r="H15" i="4"/>
  <c r="I15" i="4"/>
  <c r="D15" i="4"/>
  <c r="E12" i="4"/>
  <c r="F12" i="4"/>
  <c r="G12" i="4"/>
  <c r="H12" i="4"/>
  <c r="I12" i="4"/>
  <c r="D12" i="4"/>
  <c r="G52" i="4"/>
  <c r="G45" i="4"/>
  <c r="E7" i="4"/>
  <c r="F7" i="4" s="1"/>
  <c r="G7" i="4" s="1"/>
  <c r="H7" i="4" s="1"/>
  <c r="I7" i="4" s="1"/>
  <c r="J7" i="4" s="1"/>
  <c r="K7" i="4" s="1"/>
  <c r="L7" i="4" s="1"/>
  <c r="M7" i="4" s="1"/>
  <c r="N7" i="4" s="1"/>
  <c r="E26" i="4" l="1"/>
  <c r="M88" i="2"/>
  <c r="L88" i="2" s="1"/>
  <c r="G88" i="2"/>
  <c r="H88" i="2" s="1"/>
  <c r="E77" i="2"/>
  <c r="D77" i="2" s="1"/>
  <c r="O77" i="2"/>
  <c r="P77" i="2" s="1"/>
  <c r="E22" i="4"/>
  <c r="D26" i="4"/>
  <c r="F22" i="4"/>
  <c r="D22" i="4"/>
  <c r="G22" i="4"/>
  <c r="G28" i="4" s="1"/>
  <c r="I22" i="4"/>
  <c r="F26" i="4"/>
  <c r="H26" i="4"/>
  <c r="I26" i="4"/>
  <c r="G26" i="4"/>
  <c r="H22" i="4"/>
  <c r="I37" i="4"/>
  <c r="H47" i="4"/>
  <c r="E28" i="4" l="1"/>
  <c r="I28" i="4"/>
  <c r="F28" i="4"/>
  <c r="G29" i="4" s="1"/>
  <c r="D28" i="4"/>
  <c r="H28" i="4"/>
  <c r="H29" i="4" s="1"/>
  <c r="J37" i="4"/>
  <c r="I47" i="4"/>
  <c r="E29" i="4" l="1"/>
  <c r="F29" i="4"/>
  <c r="I29" i="4"/>
  <c r="K37" i="4"/>
  <c r="J47" i="4"/>
  <c r="L37" i="4" l="1"/>
  <c r="K47" i="4"/>
  <c r="M37" i="4" l="1"/>
  <c r="L47" i="4"/>
  <c r="J19" i="3" l="1"/>
  <c r="J16" i="3"/>
  <c r="J15" i="3"/>
  <c r="J14" i="3"/>
  <c r="J17" i="3" s="1"/>
  <c r="D21" i="3"/>
  <c r="N15" i="3" s="1"/>
  <c r="D16" i="3"/>
  <c r="O15" i="6"/>
  <c r="N15" i="6"/>
  <c r="M15" i="6"/>
  <c r="L15" i="6"/>
  <c r="K15" i="6"/>
  <c r="O14" i="6"/>
  <c r="N14" i="6"/>
  <c r="M14" i="6"/>
  <c r="L14" i="6"/>
  <c r="K14" i="6"/>
  <c r="N56" i="4" l="1"/>
  <c r="N58" i="4" s="1"/>
  <c r="C9" i="3"/>
  <c r="N14" i="3" s="1"/>
  <c r="J20" i="3"/>
  <c r="K25" i="6"/>
  <c r="L25" i="6"/>
  <c r="M25" i="6"/>
  <c r="N25" i="6"/>
  <c r="O25" i="6"/>
  <c r="O34" i="6"/>
  <c r="N34" i="6"/>
  <c r="M34" i="6"/>
  <c r="L34" i="6"/>
  <c r="K34" i="6"/>
  <c r="L479" i="6"/>
  <c r="M479" i="6"/>
  <c r="N479" i="6"/>
  <c r="O479" i="6"/>
  <c r="K479" i="6"/>
  <c r="E12" i="6"/>
  <c r="F12" i="6"/>
  <c r="G12" i="6"/>
  <c r="H12" i="6"/>
  <c r="I12" i="6"/>
  <c r="J12" i="6"/>
  <c r="E13" i="6"/>
  <c r="F13" i="6"/>
  <c r="G13" i="6"/>
  <c r="H13" i="6"/>
  <c r="I13" i="6"/>
  <c r="J13" i="6"/>
  <c r="O39" i="6"/>
  <c r="O402" i="6" s="1"/>
  <c r="N39" i="6"/>
  <c r="N402" i="6" s="1"/>
  <c r="M39" i="6"/>
  <c r="M402" i="6" s="1"/>
  <c r="L39" i="6"/>
  <c r="L402" i="6" s="1"/>
  <c r="K39" i="6"/>
  <c r="K402" i="6" s="1"/>
  <c r="O43" i="6"/>
  <c r="O325" i="6" s="1"/>
  <c r="N43" i="6"/>
  <c r="N325" i="6" s="1"/>
  <c r="M43" i="6"/>
  <c r="M325" i="6" s="1"/>
  <c r="L43" i="6"/>
  <c r="L325" i="6" s="1"/>
  <c r="K43" i="6"/>
  <c r="K325" i="6" s="1"/>
  <c r="L324" i="6"/>
  <c r="M324" i="6"/>
  <c r="N324" i="6"/>
  <c r="O324" i="6"/>
  <c r="K324" i="6"/>
  <c r="L332" i="6"/>
  <c r="M332" i="6"/>
  <c r="N332" i="6"/>
  <c r="O332" i="6"/>
  <c r="K332" i="6"/>
  <c r="F654" i="6"/>
  <c r="G654" i="6"/>
  <c r="H654" i="6"/>
  <c r="I654" i="6"/>
  <c r="J654" i="6"/>
  <c r="E654" i="6"/>
  <c r="F651" i="6"/>
  <c r="G651" i="6"/>
  <c r="H651" i="6"/>
  <c r="I651" i="6"/>
  <c r="J651" i="6"/>
  <c r="E651" i="6"/>
  <c r="I649" i="6"/>
  <c r="J649" i="6"/>
  <c r="H649" i="6"/>
  <c r="I648" i="6"/>
  <c r="J648" i="6"/>
  <c r="H648" i="6"/>
  <c r="G641" i="6"/>
  <c r="F641" i="6"/>
  <c r="E641" i="6"/>
  <c r="H641" i="6"/>
  <c r="I641" i="6"/>
  <c r="J641" i="6"/>
  <c r="H638" i="6"/>
  <c r="I638" i="6"/>
  <c r="J638" i="6"/>
  <c r="H639" i="6"/>
  <c r="I639" i="6"/>
  <c r="J639" i="6"/>
  <c r="L44" i="6"/>
  <c r="L629" i="6" s="1"/>
  <c r="M44" i="6"/>
  <c r="M629" i="6" s="1"/>
  <c r="N44" i="6"/>
  <c r="N629" i="6" s="1"/>
  <c r="O44" i="6"/>
  <c r="O629" i="6" s="1"/>
  <c r="K44" i="6"/>
  <c r="K629" i="6" s="1"/>
  <c r="E630" i="6"/>
  <c r="F630" i="6"/>
  <c r="G630" i="6"/>
  <c r="H630" i="6"/>
  <c r="I630" i="6"/>
  <c r="J630" i="6"/>
  <c r="G627" i="6"/>
  <c r="F627" i="6"/>
  <c r="E627" i="6"/>
  <c r="I627" i="6"/>
  <c r="J627" i="6"/>
  <c r="H627" i="6"/>
  <c r="H625" i="6"/>
  <c r="I625" i="6"/>
  <c r="J625" i="6"/>
  <c r="F617" i="6"/>
  <c r="G617" i="6"/>
  <c r="H617" i="6"/>
  <c r="I617" i="6"/>
  <c r="J617" i="6"/>
  <c r="E617" i="6"/>
  <c r="K611" i="6"/>
  <c r="L611" i="6" s="1"/>
  <c r="M611" i="6" s="1"/>
  <c r="N611" i="6" s="1"/>
  <c r="O611" i="6" s="1"/>
  <c r="F559" i="6"/>
  <c r="G559" i="6"/>
  <c r="H559" i="6"/>
  <c r="I559" i="6"/>
  <c r="J559" i="6"/>
  <c r="E559" i="6"/>
  <c r="O63" i="6"/>
  <c r="N63" i="6"/>
  <c r="M63" i="6"/>
  <c r="L63" i="6"/>
  <c r="K63" i="6"/>
  <c r="O62" i="6"/>
  <c r="N62" i="6"/>
  <c r="M62" i="6"/>
  <c r="L62" i="6"/>
  <c r="K62" i="6"/>
  <c r="O61" i="6"/>
  <c r="O575" i="6" s="1"/>
  <c r="N61" i="6"/>
  <c r="N575" i="6" s="1"/>
  <c r="M61" i="6"/>
  <c r="M575" i="6" s="1"/>
  <c r="L61" i="6"/>
  <c r="L575" i="6" s="1"/>
  <c r="K61" i="6"/>
  <c r="K575" i="6" s="1"/>
  <c r="O60" i="6"/>
  <c r="N60" i="6"/>
  <c r="M60" i="6"/>
  <c r="L60" i="6"/>
  <c r="K60" i="6"/>
  <c r="O59" i="6"/>
  <c r="O572" i="6" s="1"/>
  <c r="N59" i="6"/>
  <c r="N572" i="6" s="1"/>
  <c r="M59" i="6"/>
  <c r="M572" i="6" s="1"/>
  <c r="L59" i="6"/>
  <c r="L572" i="6" s="1"/>
  <c r="K59" i="6"/>
  <c r="K572" i="6" s="1"/>
  <c r="L58" i="6"/>
  <c r="M58" i="6"/>
  <c r="N58" i="6"/>
  <c r="O58" i="6"/>
  <c r="K58" i="6"/>
  <c r="F489" i="6"/>
  <c r="G486" i="6" s="1"/>
  <c r="F505" i="6"/>
  <c r="G505" i="6"/>
  <c r="H505" i="6"/>
  <c r="I505" i="6"/>
  <c r="J505" i="6"/>
  <c r="F506" i="6"/>
  <c r="G506" i="6"/>
  <c r="H506" i="6"/>
  <c r="I506" i="6"/>
  <c r="J506" i="6"/>
  <c r="F487" i="6"/>
  <c r="G487" i="6"/>
  <c r="H487" i="6"/>
  <c r="I487" i="6"/>
  <c r="J487" i="6"/>
  <c r="E506" i="6"/>
  <c r="E487" i="6"/>
  <c r="E505" i="6"/>
  <c r="F480" i="6"/>
  <c r="G480" i="6"/>
  <c r="H480" i="6"/>
  <c r="I480" i="6"/>
  <c r="J480" i="6"/>
  <c r="G489" i="6"/>
  <c r="H486" i="6" s="1"/>
  <c r="H489" i="6"/>
  <c r="I486" i="6" s="1"/>
  <c r="I489" i="6"/>
  <c r="J486" i="6" s="1"/>
  <c r="J489" i="6"/>
  <c r="K486" i="6" s="1"/>
  <c r="F501" i="6"/>
  <c r="G501" i="6"/>
  <c r="H501" i="6"/>
  <c r="I501" i="6"/>
  <c r="J501" i="6"/>
  <c r="F502" i="6"/>
  <c r="G502" i="6"/>
  <c r="H502" i="6"/>
  <c r="I502" i="6"/>
  <c r="J502" i="6"/>
  <c r="E502" i="6"/>
  <c r="E501" i="6"/>
  <c r="E489" i="6"/>
  <c r="F486" i="6" s="1"/>
  <c r="E480" i="6"/>
  <c r="K474" i="6"/>
  <c r="L474" i="6" s="1"/>
  <c r="M474" i="6" s="1"/>
  <c r="N474" i="6" s="1"/>
  <c r="O474" i="6" s="1"/>
  <c r="F469" i="6"/>
  <c r="G469" i="6"/>
  <c r="H469" i="6"/>
  <c r="I469" i="6"/>
  <c r="J469" i="6"/>
  <c r="E469" i="6"/>
  <c r="E470" i="6"/>
  <c r="F468" i="6" s="1"/>
  <c r="O29" i="6"/>
  <c r="O457" i="6" s="1"/>
  <c r="N29" i="6"/>
  <c r="N457" i="6" s="1"/>
  <c r="M29" i="6"/>
  <c r="M457" i="6" s="1"/>
  <c r="L29" i="6"/>
  <c r="L457" i="6" s="1"/>
  <c r="K29" i="6"/>
  <c r="K457" i="6" s="1"/>
  <c r="F459" i="6"/>
  <c r="G459" i="6"/>
  <c r="H459" i="6"/>
  <c r="I459" i="6"/>
  <c r="J459" i="6"/>
  <c r="F460" i="6"/>
  <c r="G460" i="6"/>
  <c r="H460" i="6"/>
  <c r="I460" i="6"/>
  <c r="J460" i="6"/>
  <c r="E460" i="6"/>
  <c r="E459" i="6"/>
  <c r="K443" i="6"/>
  <c r="L443" i="6" s="1"/>
  <c r="M443" i="6" s="1"/>
  <c r="N443" i="6" s="1"/>
  <c r="O443" i="6" s="1"/>
  <c r="N16" i="3" l="1"/>
  <c r="E62" i="4"/>
  <c r="I69" i="2"/>
  <c r="J626" i="6"/>
  <c r="H626" i="6"/>
  <c r="H650" i="6"/>
  <c r="J640" i="6"/>
  <c r="J650" i="6"/>
  <c r="I640" i="6"/>
  <c r="H640" i="6"/>
  <c r="I650" i="6"/>
  <c r="I626" i="6"/>
  <c r="I503" i="6"/>
  <c r="K488" i="6"/>
  <c r="L488" i="6" s="1"/>
  <c r="H503" i="6"/>
  <c r="G503" i="6"/>
  <c r="F503" i="6"/>
  <c r="E503" i="6"/>
  <c r="J503" i="6"/>
  <c r="F470" i="6"/>
  <c r="G468" i="6" s="1"/>
  <c r="G470" i="6" s="1"/>
  <c r="H468" i="6" s="1"/>
  <c r="H470" i="6" s="1"/>
  <c r="I468" i="6" s="1"/>
  <c r="I470" i="6" s="1"/>
  <c r="J468" i="6" s="1"/>
  <c r="J470" i="6" s="1"/>
  <c r="K468" i="6" s="1"/>
  <c r="E461" i="6"/>
  <c r="I461" i="6"/>
  <c r="H461" i="6"/>
  <c r="G461" i="6"/>
  <c r="F461" i="6"/>
  <c r="J461" i="6"/>
  <c r="D93" i="2" l="1"/>
  <c r="L82" i="2" s="1"/>
  <c r="L93" i="2" s="1"/>
  <c r="F91" i="2"/>
  <c r="N80" i="2" s="1"/>
  <c r="N91" i="2" s="1"/>
  <c r="F92" i="2"/>
  <c r="N81" i="2" s="1"/>
  <c r="N92" i="2" s="1"/>
  <c r="H93" i="2"/>
  <c r="P82" i="2" s="1"/>
  <c r="P93" i="2" s="1"/>
  <c r="E90" i="2"/>
  <c r="M79" i="2" s="1"/>
  <c r="M90" i="2" s="1"/>
  <c r="F93" i="2"/>
  <c r="N82" i="2" s="1"/>
  <c r="N93" i="2" s="1"/>
  <c r="H90" i="2"/>
  <c r="P79" i="2" s="1"/>
  <c r="P90" i="2" s="1"/>
  <c r="E91" i="2"/>
  <c r="M80" i="2" s="1"/>
  <c r="M91" i="2" s="1"/>
  <c r="G93" i="2"/>
  <c r="O82" i="2" s="1"/>
  <c r="O93" i="2" s="1"/>
  <c r="D90" i="2"/>
  <c r="L79" i="2" s="1"/>
  <c r="L90" i="2" s="1"/>
  <c r="E89" i="2"/>
  <c r="M78" i="2" s="1"/>
  <c r="M89" i="2" s="1"/>
  <c r="G92" i="2"/>
  <c r="O81" i="2" s="1"/>
  <c r="O92" i="2" s="1"/>
  <c r="F90" i="2"/>
  <c r="N79" i="2" s="1"/>
  <c r="N90" i="2" s="1"/>
  <c r="D91" i="2"/>
  <c r="L80" i="2" s="1"/>
  <c r="L91" i="2" s="1"/>
  <c r="F89" i="2"/>
  <c r="N78" i="2" s="1"/>
  <c r="N89" i="2" s="1"/>
  <c r="H92" i="2"/>
  <c r="P81" i="2" s="1"/>
  <c r="P92" i="2" s="1"/>
  <c r="H91" i="2"/>
  <c r="P80" i="2" s="1"/>
  <c r="P91" i="2" s="1"/>
  <c r="G90" i="2"/>
  <c r="O79" i="2" s="1"/>
  <c r="O90" i="2" s="1"/>
  <c r="G89" i="2"/>
  <c r="O78" i="2" s="1"/>
  <c r="O89" i="2" s="1"/>
  <c r="D92" i="2"/>
  <c r="L81" i="2" s="1"/>
  <c r="L92" i="2" s="1"/>
  <c r="H89" i="2"/>
  <c r="P78" i="2" s="1"/>
  <c r="P89" i="2" s="1"/>
  <c r="E92" i="2"/>
  <c r="M81" i="2" s="1"/>
  <c r="M92" i="2" s="1"/>
  <c r="D89" i="2"/>
  <c r="L78" i="2" s="1"/>
  <c r="L89" i="2" s="1"/>
  <c r="G91" i="2"/>
  <c r="O80" i="2" s="1"/>
  <c r="O91" i="2" s="1"/>
  <c r="E93" i="2"/>
  <c r="M82" i="2" s="1"/>
  <c r="M93" i="2" s="1"/>
  <c r="H494" i="6"/>
  <c r="I495" i="6"/>
  <c r="J495" i="6"/>
  <c r="E494" i="6"/>
  <c r="F494" i="6"/>
  <c r="G494" i="6"/>
  <c r="J494" i="6"/>
  <c r="G495" i="6"/>
  <c r="F495" i="6"/>
  <c r="E495" i="6"/>
  <c r="H495" i="6"/>
  <c r="I494" i="6"/>
  <c r="M488" i="6"/>
  <c r="N488" i="6" s="1"/>
  <c r="O488" i="6" s="1"/>
  <c r="K563" i="6"/>
  <c r="L563" i="6" s="1"/>
  <c r="M563" i="6" s="1"/>
  <c r="N563" i="6" s="1"/>
  <c r="O563" i="6" s="1"/>
  <c r="E560" i="6"/>
  <c r="F560" i="6"/>
  <c r="G560" i="6"/>
  <c r="H560" i="6"/>
  <c r="I560" i="6"/>
  <c r="J560" i="6"/>
  <c r="K574" i="6"/>
  <c r="O576" i="6"/>
  <c r="N576" i="6"/>
  <c r="M576" i="6"/>
  <c r="L576" i="6"/>
  <c r="K576" i="6"/>
  <c r="O574" i="6"/>
  <c r="N574" i="6"/>
  <c r="M574" i="6"/>
  <c r="L574" i="6"/>
  <c r="O570" i="6"/>
  <c r="N570" i="6"/>
  <c r="M570" i="6"/>
  <c r="L570" i="6"/>
  <c r="K570" i="6"/>
  <c r="F60" i="6"/>
  <c r="F234" i="6" s="1"/>
  <c r="G60" i="6"/>
  <c r="G234" i="6" s="1"/>
  <c r="H60" i="6"/>
  <c r="H234" i="6" s="1"/>
  <c r="I60" i="6"/>
  <c r="I234" i="6" s="1"/>
  <c r="J60" i="6"/>
  <c r="J234" i="6" s="1"/>
  <c r="E60" i="6"/>
  <c r="E234" i="6" s="1"/>
  <c r="E605" i="6"/>
  <c r="F602" i="6" s="1"/>
  <c r="F605" i="6" s="1"/>
  <c r="G602" i="6" s="1"/>
  <c r="G605" i="6" s="1"/>
  <c r="H602" i="6" s="1"/>
  <c r="H605" i="6" s="1"/>
  <c r="I602" i="6" s="1"/>
  <c r="I605" i="6" s="1"/>
  <c r="J602" i="6" s="1"/>
  <c r="J605" i="6" s="1"/>
  <c r="K602" i="6" s="1"/>
  <c r="F596" i="6"/>
  <c r="G596" i="6"/>
  <c r="H596" i="6"/>
  <c r="I596" i="6"/>
  <c r="J596" i="6"/>
  <c r="E596" i="6"/>
  <c r="F589" i="6"/>
  <c r="G589" i="6"/>
  <c r="H589" i="6"/>
  <c r="I589" i="6"/>
  <c r="J589" i="6"/>
  <c r="F588" i="6"/>
  <c r="G588" i="6"/>
  <c r="H588" i="6"/>
  <c r="I588" i="6"/>
  <c r="J588" i="6"/>
  <c r="E589" i="6"/>
  <c r="E588" i="6"/>
  <c r="O40" i="6"/>
  <c r="O567" i="6" s="1"/>
  <c r="N40" i="6"/>
  <c r="N567" i="6" s="1"/>
  <c r="M40" i="6"/>
  <c r="M567" i="6" s="1"/>
  <c r="L40" i="6"/>
  <c r="L567" i="6" s="1"/>
  <c r="K40" i="6"/>
  <c r="K567" i="6" s="1"/>
  <c r="F49" i="6"/>
  <c r="F111" i="6" s="1"/>
  <c r="G49" i="6"/>
  <c r="G223" i="6" s="1"/>
  <c r="H49" i="6"/>
  <c r="H167" i="6" s="1"/>
  <c r="I49" i="6"/>
  <c r="I223" i="6" s="1"/>
  <c r="J49" i="6"/>
  <c r="J223" i="6" s="1"/>
  <c r="E49" i="6"/>
  <c r="E167" i="6" s="1"/>
  <c r="H497" i="5"/>
  <c r="I497" i="5"/>
  <c r="E497" i="5"/>
  <c r="F490" i="5"/>
  <c r="F497" i="5" s="1"/>
  <c r="G490" i="5"/>
  <c r="G497" i="5" s="1"/>
  <c r="H490" i="5"/>
  <c r="I490" i="5"/>
  <c r="J490" i="5"/>
  <c r="J497" i="5" s="1"/>
  <c r="K490" i="5"/>
  <c r="L490" i="5"/>
  <c r="M490" i="5"/>
  <c r="N490" i="5"/>
  <c r="O490" i="5"/>
  <c r="E490" i="5"/>
  <c r="F557" i="6"/>
  <c r="G557" i="6"/>
  <c r="H557" i="6"/>
  <c r="I557" i="6"/>
  <c r="J557" i="6"/>
  <c r="F558" i="6"/>
  <c r="G558" i="6"/>
  <c r="H558" i="6"/>
  <c r="I558" i="6"/>
  <c r="J558" i="6"/>
  <c r="E558" i="6"/>
  <c r="E557" i="6"/>
  <c r="F579" i="6"/>
  <c r="F58" i="6" s="1"/>
  <c r="F570" i="6" s="1"/>
  <c r="G579" i="6"/>
  <c r="G58" i="6" s="1"/>
  <c r="G570" i="6" s="1"/>
  <c r="H579" i="6"/>
  <c r="H58" i="6" s="1"/>
  <c r="H570" i="6" s="1"/>
  <c r="I579" i="6"/>
  <c r="I59" i="6" s="1"/>
  <c r="I233" i="6" s="1"/>
  <c r="J579" i="6"/>
  <c r="J58" i="6" s="1"/>
  <c r="J232" i="6" s="1"/>
  <c r="E579" i="6"/>
  <c r="E58" i="6" s="1"/>
  <c r="E232" i="6" s="1"/>
  <c r="K544" i="6"/>
  <c r="L544" i="6" s="1"/>
  <c r="M544" i="6" s="1"/>
  <c r="N544" i="6" s="1"/>
  <c r="O544" i="6" s="1"/>
  <c r="E574" i="6" l="1"/>
  <c r="F574" i="6"/>
  <c r="G574" i="6"/>
  <c r="H574" i="6"/>
  <c r="I574" i="6"/>
  <c r="J574" i="6"/>
  <c r="I572" i="6"/>
  <c r="I121" i="6"/>
  <c r="E122" i="6"/>
  <c r="I177" i="6"/>
  <c r="E570" i="6"/>
  <c r="E178" i="6"/>
  <c r="E120" i="6"/>
  <c r="E176" i="6"/>
  <c r="F122" i="6"/>
  <c r="F178" i="6"/>
  <c r="F120" i="6"/>
  <c r="F176" i="6"/>
  <c r="G120" i="6"/>
  <c r="G122" i="6"/>
  <c r="G176" i="6"/>
  <c r="G178" i="6"/>
  <c r="G232" i="6"/>
  <c r="J570" i="6"/>
  <c r="F232" i="6"/>
  <c r="H120" i="6"/>
  <c r="H122" i="6"/>
  <c r="H176" i="6"/>
  <c r="H178" i="6"/>
  <c r="H232" i="6"/>
  <c r="I122" i="6"/>
  <c r="I178" i="6"/>
  <c r="J120" i="6"/>
  <c r="J122" i="6"/>
  <c r="J176" i="6"/>
  <c r="J178" i="6"/>
  <c r="F553" i="6"/>
  <c r="E590" i="6"/>
  <c r="G553" i="6"/>
  <c r="E553" i="6"/>
  <c r="J553" i="6"/>
  <c r="I553" i="6"/>
  <c r="H553" i="6"/>
  <c r="E59" i="6"/>
  <c r="E572" i="6" s="1"/>
  <c r="J59" i="6"/>
  <c r="J572" i="6" s="1"/>
  <c r="I58" i="6"/>
  <c r="H59" i="6"/>
  <c r="H572" i="6" s="1"/>
  <c r="G59" i="6"/>
  <c r="G572" i="6" s="1"/>
  <c r="F59" i="6"/>
  <c r="F572" i="6" s="1"/>
  <c r="I167" i="6"/>
  <c r="F167" i="6"/>
  <c r="H223" i="6"/>
  <c r="H111" i="6"/>
  <c r="F223" i="6"/>
  <c r="J167" i="6"/>
  <c r="G167" i="6"/>
  <c r="E223" i="6"/>
  <c r="J111" i="6"/>
  <c r="E111" i="6"/>
  <c r="I111" i="6"/>
  <c r="G111" i="6"/>
  <c r="F586" i="6" l="1"/>
  <c r="F590" i="6" s="1"/>
  <c r="G177" i="6"/>
  <c r="G233" i="6"/>
  <c r="G121" i="6"/>
  <c r="J121" i="6"/>
  <c r="J233" i="6"/>
  <c r="J177" i="6"/>
  <c r="E233" i="6"/>
  <c r="E177" i="6"/>
  <c r="E121" i="6"/>
  <c r="H121" i="6"/>
  <c r="H177" i="6"/>
  <c r="H233" i="6"/>
  <c r="I232" i="6"/>
  <c r="I176" i="6"/>
  <c r="I120" i="6"/>
  <c r="I570" i="6"/>
  <c r="F121" i="6"/>
  <c r="F177" i="6"/>
  <c r="F233" i="6"/>
  <c r="K510" i="6"/>
  <c r="L510" i="6" s="1"/>
  <c r="M510" i="6" s="1"/>
  <c r="N510" i="6" s="1"/>
  <c r="O510" i="6" s="1"/>
  <c r="G586" i="6" l="1"/>
  <c r="G590" i="6" s="1"/>
  <c r="F452" i="6"/>
  <c r="G452" i="6"/>
  <c r="H452" i="6"/>
  <c r="I452" i="6"/>
  <c r="E452" i="6"/>
  <c r="C422" i="6"/>
  <c r="C416" i="6" s="1"/>
  <c r="I421" i="6" s="1"/>
  <c r="I422" i="6" s="1"/>
  <c r="I423" i="6" s="1"/>
  <c r="I424" i="6" s="1"/>
  <c r="I425" i="6" s="1"/>
  <c r="J452" i="6"/>
  <c r="K449" i="6" s="1"/>
  <c r="L41" i="6"/>
  <c r="L568" i="6" s="1"/>
  <c r="M41" i="6"/>
  <c r="M568" i="6" s="1"/>
  <c r="N41" i="6"/>
  <c r="N568" i="6" s="1"/>
  <c r="O41" i="6"/>
  <c r="O568" i="6" s="1"/>
  <c r="K41" i="6"/>
  <c r="K568" i="6" s="1"/>
  <c r="F439" i="6"/>
  <c r="G439" i="6"/>
  <c r="H439" i="6"/>
  <c r="I439" i="6"/>
  <c r="J439" i="6"/>
  <c r="E439" i="6"/>
  <c r="F406" i="6"/>
  <c r="F405" i="6" s="1"/>
  <c r="G406" i="6"/>
  <c r="G405" i="6" s="1"/>
  <c r="H406" i="6"/>
  <c r="H405" i="6" s="1"/>
  <c r="I406" i="6"/>
  <c r="I405" i="6" s="1"/>
  <c r="J406" i="6"/>
  <c r="J405" i="6" s="1"/>
  <c r="E406" i="6"/>
  <c r="E405" i="6" s="1"/>
  <c r="K417" i="6"/>
  <c r="E408" i="6"/>
  <c r="F408" i="6"/>
  <c r="G408" i="6"/>
  <c r="H408" i="6"/>
  <c r="I408" i="6"/>
  <c r="J408" i="6"/>
  <c r="H586" i="6" l="1"/>
  <c r="H590" i="6" s="1"/>
  <c r="K421" i="6"/>
  <c r="L422" i="6" s="1"/>
  <c r="M423" i="6" s="1"/>
  <c r="K425" i="6"/>
  <c r="K424" i="6"/>
  <c r="K423" i="6"/>
  <c r="L424" i="6" s="1"/>
  <c r="K422" i="6"/>
  <c r="L423" i="6" s="1"/>
  <c r="L417" i="6"/>
  <c r="M417" i="6" s="1"/>
  <c r="N417" i="6" s="1"/>
  <c r="O417" i="6" s="1"/>
  <c r="O421" i="6" s="1"/>
  <c r="L416" i="6"/>
  <c r="M416" i="6" s="1"/>
  <c r="N416" i="6" s="1"/>
  <c r="O416" i="6" s="1"/>
  <c r="L411" i="6"/>
  <c r="M411" i="6" s="1"/>
  <c r="N411" i="6" s="1"/>
  <c r="O411" i="6" s="1"/>
  <c r="K412" i="6"/>
  <c r="K437" i="6" s="1"/>
  <c r="I586" i="6" l="1"/>
  <c r="I590" i="6" s="1"/>
  <c r="L412" i="6"/>
  <c r="L421" i="6"/>
  <c r="M422" i="6" s="1"/>
  <c r="N423" i="6" s="1"/>
  <c r="O424" i="6" s="1"/>
  <c r="M421" i="6"/>
  <c r="N422" i="6" s="1"/>
  <c r="O423" i="6" s="1"/>
  <c r="N421" i="6"/>
  <c r="O422" i="6" s="1"/>
  <c r="M424" i="6"/>
  <c r="N424" i="6"/>
  <c r="M425" i="6"/>
  <c r="L425" i="6"/>
  <c r="J586" i="6" l="1"/>
  <c r="J590" i="6" s="1"/>
  <c r="M412" i="6"/>
  <c r="M437" i="6" s="1"/>
  <c r="L437" i="6"/>
  <c r="O425" i="6"/>
  <c r="N425" i="6"/>
  <c r="K586" i="6" l="1"/>
  <c r="N412" i="6"/>
  <c r="O412" i="6" l="1"/>
  <c r="O437" i="6" s="1"/>
  <c r="N437" i="6"/>
  <c r="K399" i="6" l="1"/>
  <c r="L399" i="6" l="1"/>
  <c r="K428" i="6"/>
  <c r="K420" i="6"/>
  <c r="H421" i="6"/>
  <c r="O24" i="6"/>
  <c r="N24" i="6"/>
  <c r="M24" i="6"/>
  <c r="L24" i="6"/>
  <c r="K24" i="6"/>
  <c r="O23" i="6"/>
  <c r="N23" i="6"/>
  <c r="M23" i="6"/>
  <c r="L23" i="6"/>
  <c r="K23" i="6"/>
  <c r="O22" i="6"/>
  <c r="N22" i="6"/>
  <c r="M22" i="6"/>
  <c r="L22" i="6"/>
  <c r="K22" i="6"/>
  <c r="F382" i="6"/>
  <c r="F394" i="6" s="1"/>
  <c r="G382" i="6"/>
  <c r="G394" i="6" s="1"/>
  <c r="H382" i="6"/>
  <c r="H394" i="6" s="1"/>
  <c r="I382" i="6"/>
  <c r="I394" i="6" s="1"/>
  <c r="J382" i="6"/>
  <c r="J394" i="6" s="1"/>
  <c r="E382" i="6"/>
  <c r="F381" i="6"/>
  <c r="F390" i="6" s="1"/>
  <c r="G381" i="6"/>
  <c r="G390" i="6" s="1"/>
  <c r="H381" i="6"/>
  <c r="H390" i="6" s="1"/>
  <c r="I381" i="6"/>
  <c r="I390" i="6" s="1"/>
  <c r="J381" i="6"/>
  <c r="J390" i="6" s="1"/>
  <c r="E381" i="6"/>
  <c r="F380" i="6"/>
  <c r="F386" i="6" s="1"/>
  <c r="G380" i="6"/>
  <c r="G386" i="6" s="1"/>
  <c r="H380" i="6"/>
  <c r="H386" i="6" s="1"/>
  <c r="I380" i="6"/>
  <c r="I386" i="6" s="1"/>
  <c r="J380" i="6"/>
  <c r="J386" i="6" s="1"/>
  <c r="E380" i="6"/>
  <c r="F377" i="6"/>
  <c r="G377" i="6"/>
  <c r="H377" i="6"/>
  <c r="I377" i="6"/>
  <c r="J377" i="6"/>
  <c r="E377" i="6"/>
  <c r="J376" i="6"/>
  <c r="I376" i="6"/>
  <c r="H376" i="6"/>
  <c r="G376" i="6"/>
  <c r="F376" i="6"/>
  <c r="E376" i="6"/>
  <c r="F375" i="6"/>
  <c r="G375" i="6"/>
  <c r="H375" i="6"/>
  <c r="I375" i="6"/>
  <c r="J375" i="6"/>
  <c r="E375" i="6"/>
  <c r="F14" i="6"/>
  <c r="G14" i="6"/>
  <c r="H14" i="6"/>
  <c r="I14" i="6"/>
  <c r="J14" i="6"/>
  <c r="F15" i="6"/>
  <c r="G15" i="6"/>
  <c r="H15" i="6"/>
  <c r="I15" i="6"/>
  <c r="J15" i="6"/>
  <c r="E15" i="6"/>
  <c r="E14" i="6"/>
  <c r="L13" i="6"/>
  <c r="K13" i="6"/>
  <c r="K246" i="6" s="1"/>
  <c r="N12" i="6"/>
  <c r="K12" i="6"/>
  <c r="K245" i="6" s="1"/>
  <c r="K603" i="6" s="1"/>
  <c r="K605" i="6" s="1"/>
  <c r="K309" i="6" s="1"/>
  <c r="F131" i="6"/>
  <c r="G131" i="6"/>
  <c r="H131" i="6"/>
  <c r="I131" i="6"/>
  <c r="J131" i="6"/>
  <c r="E187" i="6"/>
  <c r="K17" i="6"/>
  <c r="K16" i="6"/>
  <c r="O55" i="6"/>
  <c r="O355" i="6" s="1"/>
  <c r="N55" i="6"/>
  <c r="N355" i="6" s="1"/>
  <c r="M55" i="6"/>
  <c r="M355" i="6" s="1"/>
  <c r="L55" i="6"/>
  <c r="L355" i="6" s="1"/>
  <c r="K55" i="6"/>
  <c r="K355" i="6" s="1"/>
  <c r="O54" i="6"/>
  <c r="N54" i="6"/>
  <c r="M54" i="6"/>
  <c r="L54" i="6"/>
  <c r="K54" i="6"/>
  <c r="O53" i="6"/>
  <c r="O499" i="6" s="1"/>
  <c r="N53" i="6"/>
  <c r="N499" i="6" s="1"/>
  <c r="M53" i="6"/>
  <c r="M499" i="6" s="1"/>
  <c r="L53" i="6"/>
  <c r="L499" i="6" s="1"/>
  <c r="K53" i="6"/>
  <c r="K499" i="6" s="1"/>
  <c r="O52" i="6"/>
  <c r="O498" i="6" s="1"/>
  <c r="N52" i="6"/>
  <c r="N498" i="6" s="1"/>
  <c r="M52" i="6"/>
  <c r="M498" i="6" s="1"/>
  <c r="L52" i="6"/>
  <c r="L498" i="6" s="1"/>
  <c r="K52" i="6"/>
  <c r="K498" i="6" s="1"/>
  <c r="O51" i="6"/>
  <c r="O555" i="6" s="1"/>
  <c r="N51" i="6"/>
  <c r="N555" i="6" s="1"/>
  <c r="M51" i="6"/>
  <c r="M555" i="6" s="1"/>
  <c r="L51" i="6"/>
  <c r="L555" i="6" s="1"/>
  <c r="K51" i="6"/>
  <c r="K555" i="6" s="1"/>
  <c r="O50" i="6"/>
  <c r="O554" i="6" s="1"/>
  <c r="N50" i="6"/>
  <c r="N554" i="6" s="1"/>
  <c r="M50" i="6"/>
  <c r="M554" i="6" s="1"/>
  <c r="L50" i="6"/>
  <c r="L554" i="6" s="1"/>
  <c r="K50" i="6"/>
  <c r="K554" i="6" s="1"/>
  <c r="O49" i="6"/>
  <c r="O553" i="6" s="1"/>
  <c r="N49" i="6"/>
  <c r="N553" i="6" s="1"/>
  <c r="M49" i="6"/>
  <c r="M553" i="6" s="1"/>
  <c r="L49" i="6"/>
  <c r="L553" i="6" s="1"/>
  <c r="K49" i="6"/>
  <c r="K553" i="6" s="1"/>
  <c r="O48" i="6"/>
  <c r="O552" i="6" s="1"/>
  <c r="N48" i="6"/>
  <c r="N552" i="6" s="1"/>
  <c r="M48" i="6"/>
  <c r="M552" i="6" s="1"/>
  <c r="L48" i="6"/>
  <c r="L552" i="6" s="1"/>
  <c r="K48" i="6"/>
  <c r="K552" i="6" s="1"/>
  <c r="O36" i="6"/>
  <c r="N36" i="6"/>
  <c r="M36" i="6"/>
  <c r="L36" i="6"/>
  <c r="K36" i="6"/>
  <c r="O35" i="6"/>
  <c r="O496" i="6" s="1"/>
  <c r="N35" i="6"/>
  <c r="N496" i="6" s="1"/>
  <c r="M35" i="6"/>
  <c r="M496" i="6" s="1"/>
  <c r="L35" i="6"/>
  <c r="L496" i="6" s="1"/>
  <c r="K35" i="6"/>
  <c r="K496" i="6" s="1"/>
  <c r="O32" i="6"/>
  <c r="N32" i="6"/>
  <c r="M32" i="6"/>
  <c r="L32" i="6"/>
  <c r="K32" i="6"/>
  <c r="O30" i="6"/>
  <c r="N30" i="6"/>
  <c r="M30" i="6"/>
  <c r="L30" i="6"/>
  <c r="K30" i="6"/>
  <c r="O28" i="6"/>
  <c r="O616" i="6" s="1"/>
  <c r="N28" i="6"/>
  <c r="N616" i="6" s="1"/>
  <c r="M28" i="6"/>
  <c r="M616" i="6" s="1"/>
  <c r="L28" i="6"/>
  <c r="L616" i="6" s="1"/>
  <c r="K28" i="6"/>
  <c r="K616" i="6" s="1"/>
  <c r="O27" i="6"/>
  <c r="N27" i="6"/>
  <c r="M27" i="6"/>
  <c r="L27" i="6"/>
  <c r="K27" i="6"/>
  <c r="O26" i="6"/>
  <c r="O466" i="6" s="1"/>
  <c r="N26" i="6"/>
  <c r="N466" i="6" s="1"/>
  <c r="M26" i="6"/>
  <c r="M466" i="6" s="1"/>
  <c r="L26" i="6"/>
  <c r="L466" i="6" s="1"/>
  <c r="K26" i="6"/>
  <c r="K466" i="6" s="1"/>
  <c r="O456" i="6"/>
  <c r="N456" i="6"/>
  <c r="M456" i="6"/>
  <c r="L456" i="6"/>
  <c r="O19" i="6"/>
  <c r="N9" i="4" s="1"/>
  <c r="N19" i="6"/>
  <c r="M9" i="4" s="1"/>
  <c r="M19" i="6"/>
  <c r="L9" i="4" s="1"/>
  <c r="L19" i="6"/>
  <c r="K9" i="4" s="1"/>
  <c r="K19" i="6"/>
  <c r="J9" i="4" s="1"/>
  <c r="O18" i="6"/>
  <c r="N18" i="6"/>
  <c r="M18" i="6"/>
  <c r="L18" i="6"/>
  <c r="K18" i="6"/>
  <c r="O17" i="6"/>
  <c r="N17" i="6"/>
  <c r="M17" i="6"/>
  <c r="L17" i="6"/>
  <c r="O16" i="6"/>
  <c r="N16" i="6"/>
  <c r="M16" i="6"/>
  <c r="L16" i="6"/>
  <c r="M12" i="6"/>
  <c r="L12" i="6"/>
  <c r="L602" i="6" l="1"/>
  <c r="H389" i="6"/>
  <c r="H391" i="6" s="1"/>
  <c r="G385" i="6"/>
  <c r="G387" i="6" s="1"/>
  <c r="F393" i="6"/>
  <c r="F395" i="6" s="1"/>
  <c r="G389" i="6"/>
  <c r="G391" i="6" s="1"/>
  <c r="J385" i="6"/>
  <c r="J387" i="6" s="1"/>
  <c r="H385" i="6"/>
  <c r="H387" i="6" s="1"/>
  <c r="I389" i="6"/>
  <c r="I391" i="6" s="1"/>
  <c r="I393" i="6"/>
  <c r="I395" i="6" s="1"/>
  <c r="H393" i="6"/>
  <c r="H395" i="6" s="1"/>
  <c r="J389" i="6"/>
  <c r="J391" i="6" s="1"/>
  <c r="F385" i="6"/>
  <c r="F387" i="6" s="1"/>
  <c r="J393" i="6"/>
  <c r="J395" i="6" s="1"/>
  <c r="I385" i="6"/>
  <c r="I387" i="6" s="1"/>
  <c r="G393" i="6"/>
  <c r="G395" i="6" s="1"/>
  <c r="F389" i="6"/>
  <c r="F391" i="6" s="1"/>
  <c r="H422" i="6"/>
  <c r="H429" i="6"/>
  <c r="M399" i="6"/>
  <c r="L420" i="6"/>
  <c r="L428" i="6"/>
  <c r="K250" i="6"/>
  <c r="K251" i="6"/>
  <c r="L246" i="6"/>
  <c r="I75" i="6"/>
  <c r="I187" i="6"/>
  <c r="L245" i="6"/>
  <c r="L603" i="6" s="1"/>
  <c r="J187" i="6"/>
  <c r="G187" i="6"/>
  <c r="G75" i="6"/>
  <c r="F75" i="6"/>
  <c r="H75" i="6"/>
  <c r="H187" i="6"/>
  <c r="J75" i="6"/>
  <c r="F187" i="6"/>
  <c r="E131" i="6"/>
  <c r="E75" i="6"/>
  <c r="O12" i="6"/>
  <c r="F7" i="6"/>
  <c r="G7" i="6" s="1"/>
  <c r="H7" i="6" s="1"/>
  <c r="I7" i="6" s="1"/>
  <c r="J7" i="6" s="1"/>
  <c r="K7" i="6" s="1"/>
  <c r="L7" i="6" s="1"/>
  <c r="M7" i="6" s="1"/>
  <c r="N7" i="6" s="1"/>
  <c r="O7" i="6" s="1"/>
  <c r="L605" i="6" l="1"/>
  <c r="K387" i="6"/>
  <c r="L387" i="6" s="1"/>
  <c r="M387" i="6" s="1"/>
  <c r="N387" i="6" s="1"/>
  <c r="O387" i="6" s="1"/>
  <c r="K395" i="6"/>
  <c r="L395" i="6" s="1"/>
  <c r="K391" i="6"/>
  <c r="N399" i="6"/>
  <c r="M420" i="6"/>
  <c r="M428" i="6"/>
  <c r="H423" i="6"/>
  <c r="H430" i="6"/>
  <c r="M245" i="6"/>
  <c r="M603" i="6" s="1"/>
  <c r="L250" i="6"/>
  <c r="M246" i="6"/>
  <c r="L251" i="6"/>
  <c r="M602" i="6" l="1"/>
  <c r="M605" i="6" s="1"/>
  <c r="L309" i="6"/>
  <c r="M395" i="6"/>
  <c r="N395" i="6" s="1"/>
  <c r="O395" i="6" s="1"/>
  <c r="L391" i="6"/>
  <c r="M391" i="6" s="1"/>
  <c r="O399" i="6"/>
  <c r="N428" i="6"/>
  <c r="N420" i="6"/>
  <c r="H424" i="6"/>
  <c r="H431" i="6"/>
  <c r="N246" i="6"/>
  <c r="M251" i="6"/>
  <c r="N245" i="6"/>
  <c r="N603" i="6" s="1"/>
  <c r="M250" i="6"/>
  <c r="N602" i="6" l="1"/>
  <c r="N605" i="6" s="1"/>
  <c r="N309" i="6" s="1"/>
  <c r="M309" i="6"/>
  <c r="N391" i="6"/>
  <c r="O391" i="6" s="1"/>
  <c r="O420" i="6"/>
  <c r="O428" i="6"/>
  <c r="H425" i="6"/>
  <c r="H433" i="6" s="1"/>
  <c r="H432" i="6"/>
  <c r="N250" i="6"/>
  <c r="O245" i="6"/>
  <c r="O246" i="6"/>
  <c r="O251" i="6" s="1"/>
  <c r="N251" i="6"/>
  <c r="O602" i="6" l="1"/>
  <c r="O250" i="6"/>
  <c r="O603" i="6"/>
  <c r="O366" i="6"/>
  <c r="N366" i="6"/>
  <c r="M366" i="6"/>
  <c r="L366" i="6"/>
  <c r="K366" i="6"/>
  <c r="J366" i="6"/>
  <c r="I366" i="6"/>
  <c r="H366" i="6"/>
  <c r="G366" i="6"/>
  <c r="F366" i="6"/>
  <c r="E366" i="6"/>
  <c r="K364" i="6"/>
  <c r="O605" i="6" l="1"/>
  <c r="O309" i="6" s="1"/>
  <c r="L364" i="6"/>
  <c r="M364" i="6" l="1"/>
  <c r="N364" i="6" s="1"/>
  <c r="O364" i="6" l="1"/>
  <c r="E334" i="6" l="1"/>
  <c r="D102" i="2" s="1"/>
  <c r="F356" i="6"/>
  <c r="E104" i="2" s="1"/>
  <c r="G356" i="6"/>
  <c r="F104" i="2" s="1"/>
  <c r="H356" i="6"/>
  <c r="G104" i="2" s="1"/>
  <c r="I356" i="6"/>
  <c r="H104" i="2" s="1"/>
  <c r="J356" i="6"/>
  <c r="I104" i="2" s="1"/>
  <c r="E356" i="6"/>
  <c r="D104" i="2" s="1"/>
  <c r="D247" i="6"/>
  <c r="G303" i="6"/>
  <c r="H303" i="6"/>
  <c r="I303" i="6"/>
  <c r="J303" i="6"/>
  <c r="E303" i="6"/>
  <c r="F303" i="6"/>
  <c r="F288" i="6"/>
  <c r="G288" i="6"/>
  <c r="H288" i="6"/>
  <c r="I288" i="6"/>
  <c r="J288" i="6"/>
  <c r="E288" i="6"/>
  <c r="F252" i="6"/>
  <c r="G252" i="6"/>
  <c r="H252" i="6"/>
  <c r="I252" i="6"/>
  <c r="J252" i="6"/>
  <c r="K252" i="6"/>
  <c r="L252" i="6"/>
  <c r="M252" i="6"/>
  <c r="N252" i="6"/>
  <c r="O252" i="6"/>
  <c r="E252" i="6"/>
  <c r="F247" i="6"/>
  <c r="J9" i="2" s="1"/>
  <c r="G247" i="6"/>
  <c r="K9" i="2" s="1"/>
  <c r="H247" i="6"/>
  <c r="L9" i="2" s="1"/>
  <c r="I247" i="6"/>
  <c r="M9" i="2" s="1"/>
  <c r="J247" i="6"/>
  <c r="N9" i="2" s="1"/>
  <c r="K247" i="6"/>
  <c r="O9" i="2" s="1"/>
  <c r="L247" i="6"/>
  <c r="P9" i="2" s="1"/>
  <c r="M247" i="6"/>
  <c r="Q9" i="2" s="1"/>
  <c r="N247" i="6"/>
  <c r="R9" i="2" s="1"/>
  <c r="O247" i="6"/>
  <c r="S9" i="2" s="1"/>
  <c r="E247" i="6"/>
  <c r="I9" i="2" s="1"/>
  <c r="J345" i="6"/>
  <c r="I103" i="2" s="1"/>
  <c r="I345" i="6"/>
  <c r="H103" i="2" s="1"/>
  <c r="H345" i="6"/>
  <c r="G103" i="2" s="1"/>
  <c r="G345" i="6"/>
  <c r="F103" i="2" s="1"/>
  <c r="F345" i="6"/>
  <c r="E103" i="2" s="1"/>
  <c r="E345" i="6"/>
  <c r="D103" i="2" s="1"/>
  <c r="J334" i="6"/>
  <c r="I102" i="2" s="1"/>
  <c r="I334" i="6"/>
  <c r="H102" i="2" s="1"/>
  <c r="H334" i="6"/>
  <c r="G102" i="2" s="1"/>
  <c r="G334" i="6"/>
  <c r="F102" i="2" s="1"/>
  <c r="F334" i="6"/>
  <c r="E102" i="2" s="1"/>
  <c r="K317" i="6"/>
  <c r="L317" i="6" s="1"/>
  <c r="M317" i="6" s="1"/>
  <c r="N317" i="6" s="1"/>
  <c r="O317" i="6" s="1"/>
  <c r="J310" i="6"/>
  <c r="K63" i="2" s="1"/>
  <c r="I310" i="6"/>
  <c r="J63" i="2" s="1"/>
  <c r="H310" i="6"/>
  <c r="I63" i="2" s="1"/>
  <c r="G310" i="6"/>
  <c r="H63" i="2" s="1"/>
  <c r="F310" i="6"/>
  <c r="G63" i="2" s="1"/>
  <c r="E310" i="6"/>
  <c r="F63" i="2" s="1"/>
  <c r="J298" i="6"/>
  <c r="K58" i="2" s="1"/>
  <c r="I298" i="6"/>
  <c r="J58" i="2" s="1"/>
  <c r="H298" i="6"/>
  <c r="I58" i="2" s="1"/>
  <c r="G298" i="6"/>
  <c r="H58" i="2" s="1"/>
  <c r="F298" i="6"/>
  <c r="G58" i="2" s="1"/>
  <c r="E298" i="6"/>
  <c r="F58" i="2" s="1"/>
  <c r="J282" i="6"/>
  <c r="I282" i="6"/>
  <c r="J57" i="2" s="1"/>
  <c r="H282" i="6"/>
  <c r="G282" i="6"/>
  <c r="H57" i="2" s="1"/>
  <c r="F282" i="6"/>
  <c r="G57" i="2" s="1"/>
  <c r="E282" i="6"/>
  <c r="F57" i="2" s="1"/>
  <c r="K272" i="6"/>
  <c r="L272" i="6" s="1"/>
  <c r="M272" i="6" s="1"/>
  <c r="N272" i="6" s="1"/>
  <c r="O272" i="6" s="1"/>
  <c r="J259" i="6"/>
  <c r="I259" i="6"/>
  <c r="H259" i="6"/>
  <c r="G259" i="6"/>
  <c r="F259" i="6"/>
  <c r="E259" i="6"/>
  <c r="F242" i="6"/>
  <c r="G242" i="6" s="1"/>
  <c r="H242" i="6" s="1"/>
  <c r="I242" i="6" s="1"/>
  <c r="J242" i="6" s="1"/>
  <c r="K242" i="6" s="1"/>
  <c r="L242" i="6" s="1"/>
  <c r="M242" i="6" s="1"/>
  <c r="N242" i="6" s="1"/>
  <c r="O242" i="6" s="1"/>
  <c r="F67" i="6"/>
  <c r="G67" i="6" s="1"/>
  <c r="H67" i="6" s="1"/>
  <c r="I67" i="6" s="1"/>
  <c r="J67" i="6" s="1"/>
  <c r="K67" i="6" s="1"/>
  <c r="L67" i="6" s="1"/>
  <c r="M67" i="6" s="1"/>
  <c r="N67" i="6" s="1"/>
  <c r="O67" i="6" s="1"/>
  <c r="I57" i="2" l="1"/>
  <c r="E15" i="2"/>
  <c r="K57" i="2"/>
  <c r="I33" i="6"/>
  <c r="I35" i="6"/>
  <c r="H33" i="6"/>
  <c r="H35" i="6"/>
  <c r="E33" i="6"/>
  <c r="E35" i="6"/>
  <c r="J33" i="6"/>
  <c r="J35" i="6"/>
  <c r="G33" i="6"/>
  <c r="G35" i="6"/>
  <c r="F33" i="6"/>
  <c r="F35" i="6"/>
  <c r="I401" i="6"/>
  <c r="J401" i="6"/>
  <c r="E401" i="6"/>
  <c r="H401" i="6"/>
  <c r="G401" i="6"/>
  <c r="F401" i="6"/>
  <c r="O401" i="6"/>
  <c r="O405" i="6" s="1"/>
  <c r="O263" i="6"/>
  <c r="K401" i="6"/>
  <c r="K405" i="6" s="1"/>
  <c r="K263" i="6"/>
  <c r="N401" i="6"/>
  <c r="N405" i="6" s="1"/>
  <c r="N263" i="6"/>
  <c r="M401" i="6"/>
  <c r="M405" i="6" s="1"/>
  <c r="M263" i="6"/>
  <c r="L401" i="6"/>
  <c r="L405" i="6" s="1"/>
  <c r="L263" i="6"/>
  <c r="I44" i="6"/>
  <c r="I106" i="6" s="1"/>
  <c r="I39" i="6"/>
  <c r="H44" i="6"/>
  <c r="H218" i="6" s="1"/>
  <c r="H39" i="6"/>
  <c r="G44" i="6"/>
  <c r="G106" i="6" s="1"/>
  <c r="G39" i="6"/>
  <c r="F44" i="6"/>
  <c r="F218" i="6" s="1"/>
  <c r="F39" i="6"/>
  <c r="E44" i="6"/>
  <c r="E218" i="6" s="1"/>
  <c r="E39" i="6"/>
  <c r="J44" i="6"/>
  <c r="J162" i="6" s="1"/>
  <c r="J39" i="6"/>
  <c r="J613" i="6"/>
  <c r="J28" i="6"/>
  <c r="I28" i="6"/>
  <c r="I613" i="6"/>
  <c r="H613" i="6"/>
  <c r="H28" i="6"/>
  <c r="G613" i="6"/>
  <c r="G653" i="6" s="1"/>
  <c r="G28" i="6"/>
  <c r="F613" i="6"/>
  <c r="F653" i="6" s="1"/>
  <c r="F28" i="6"/>
  <c r="E613" i="6"/>
  <c r="E653" i="6" s="1"/>
  <c r="E28" i="6"/>
  <c r="N476" i="6"/>
  <c r="N503" i="6" s="1"/>
  <c r="N613" i="6"/>
  <c r="N654" i="6" s="1"/>
  <c r="N333" i="6" s="1"/>
  <c r="L476" i="6"/>
  <c r="L613" i="6"/>
  <c r="L654" i="6" s="1"/>
  <c r="L333" i="6" s="1"/>
  <c r="O476" i="6"/>
  <c r="O613" i="6"/>
  <c r="O654" i="6" s="1"/>
  <c r="O333" i="6" s="1"/>
  <c r="M476" i="6"/>
  <c r="M503" i="6" s="1"/>
  <c r="M613" i="6"/>
  <c r="M654" i="6" s="1"/>
  <c r="M333" i="6" s="1"/>
  <c r="K476" i="6"/>
  <c r="K613" i="6"/>
  <c r="K654" i="6" s="1"/>
  <c r="K333" i="6" s="1"/>
  <c r="E53" i="6"/>
  <c r="E499" i="6" s="1"/>
  <c r="E52" i="6"/>
  <c r="E498" i="6" s="1"/>
  <c r="J53" i="6"/>
  <c r="J499" i="6" s="1"/>
  <c r="J52" i="6"/>
  <c r="J498" i="6" s="1"/>
  <c r="I53" i="6"/>
  <c r="I499" i="6" s="1"/>
  <c r="I52" i="6"/>
  <c r="I498" i="6" s="1"/>
  <c r="H53" i="6"/>
  <c r="H499" i="6" s="1"/>
  <c r="H52" i="6"/>
  <c r="H498" i="6" s="1"/>
  <c r="G53" i="6"/>
  <c r="G499" i="6" s="1"/>
  <c r="G52" i="6"/>
  <c r="G498" i="6" s="1"/>
  <c r="F53" i="6"/>
  <c r="F499" i="6" s="1"/>
  <c r="F52" i="6"/>
  <c r="F498" i="6" s="1"/>
  <c r="J476" i="6"/>
  <c r="J34" i="6"/>
  <c r="G476" i="6"/>
  <c r="G34" i="6"/>
  <c r="F476" i="6"/>
  <c r="F34" i="6"/>
  <c r="I476" i="6"/>
  <c r="I34" i="6"/>
  <c r="H476" i="6"/>
  <c r="H34" i="6"/>
  <c r="E476" i="6"/>
  <c r="E34" i="6"/>
  <c r="F26" i="6"/>
  <c r="F466" i="6" s="1"/>
  <c r="F446" i="6"/>
  <c r="E26" i="6"/>
  <c r="E466" i="6" s="1"/>
  <c r="E446" i="6"/>
  <c r="I26" i="6"/>
  <c r="I466" i="6" s="1"/>
  <c r="I446" i="6"/>
  <c r="G26" i="6"/>
  <c r="G466" i="6" s="1"/>
  <c r="G446" i="6"/>
  <c r="J26" i="6"/>
  <c r="J466" i="6" s="1"/>
  <c r="J446" i="6"/>
  <c r="H26" i="6"/>
  <c r="H466" i="6" s="1"/>
  <c r="H446" i="6"/>
  <c r="M368" i="6"/>
  <c r="M376" i="6" s="1"/>
  <c r="M446" i="6"/>
  <c r="M470" i="6" s="1"/>
  <c r="L368" i="6"/>
  <c r="L376" i="6" s="1"/>
  <c r="L446" i="6"/>
  <c r="L470" i="6" s="1"/>
  <c r="K368" i="6"/>
  <c r="K377" i="6" s="1"/>
  <c r="K393" i="6" s="1"/>
  <c r="K394" i="6" s="1"/>
  <c r="K331" i="6" s="1"/>
  <c r="K446" i="6"/>
  <c r="K470" i="6" s="1"/>
  <c r="O368" i="6"/>
  <c r="O376" i="6" s="1"/>
  <c r="O279" i="6" s="1"/>
  <c r="N20" i="4" s="1"/>
  <c r="O446" i="6"/>
  <c r="O470" i="6" s="1"/>
  <c r="N368" i="6"/>
  <c r="N377" i="6" s="1"/>
  <c r="N446" i="6"/>
  <c r="N470" i="6" s="1"/>
  <c r="H445" i="6"/>
  <c r="H29" i="6"/>
  <c r="H25" i="6"/>
  <c r="H456" i="6" s="1"/>
  <c r="G445" i="6"/>
  <c r="G29" i="6"/>
  <c r="G25" i="6"/>
  <c r="G456" i="6" s="1"/>
  <c r="I445" i="6"/>
  <c r="I25" i="6"/>
  <c r="I456" i="6" s="1"/>
  <c r="I29" i="6"/>
  <c r="F445" i="6"/>
  <c r="F29" i="6"/>
  <c r="F25" i="6"/>
  <c r="F456" i="6" s="1"/>
  <c r="J445" i="6"/>
  <c r="J29" i="6"/>
  <c r="J25" i="6"/>
  <c r="J456" i="6" s="1"/>
  <c r="E445" i="6"/>
  <c r="E29" i="6"/>
  <c r="E25" i="6"/>
  <c r="E456" i="6" s="1"/>
  <c r="L546" i="6"/>
  <c r="L597" i="6" s="1"/>
  <c r="L445" i="6"/>
  <c r="K546" i="6"/>
  <c r="K597" i="6" s="1"/>
  <c r="K445" i="6"/>
  <c r="O546" i="6"/>
  <c r="O445" i="6"/>
  <c r="N546" i="6"/>
  <c r="N445" i="6"/>
  <c r="M546" i="6"/>
  <c r="M445" i="6"/>
  <c r="H41" i="6"/>
  <c r="H568" i="6" s="1"/>
  <c r="H547" i="6"/>
  <c r="I41" i="6"/>
  <c r="I568" i="6" s="1"/>
  <c r="I547" i="6"/>
  <c r="E41" i="6"/>
  <c r="E568" i="6" s="1"/>
  <c r="E547" i="6"/>
  <c r="F41" i="6"/>
  <c r="F568" i="6" s="1"/>
  <c r="F547" i="6"/>
  <c r="G41" i="6"/>
  <c r="G568" i="6" s="1"/>
  <c r="G547" i="6"/>
  <c r="J41" i="6"/>
  <c r="J568" i="6" s="1"/>
  <c r="J547" i="6"/>
  <c r="G51" i="6"/>
  <c r="G555" i="6" s="1"/>
  <c r="G40" i="6"/>
  <c r="G567" i="6" s="1"/>
  <c r="F51" i="6"/>
  <c r="F555" i="6" s="1"/>
  <c r="F40" i="6"/>
  <c r="F567" i="6" s="1"/>
  <c r="I51" i="6"/>
  <c r="I555" i="6" s="1"/>
  <c r="I40" i="6"/>
  <c r="I567" i="6" s="1"/>
  <c r="H51" i="6"/>
  <c r="H555" i="6" s="1"/>
  <c r="H40" i="6"/>
  <c r="H567" i="6" s="1"/>
  <c r="E51" i="6"/>
  <c r="E555" i="6" s="1"/>
  <c r="E40" i="6"/>
  <c r="E567" i="6" s="1"/>
  <c r="J51" i="6"/>
  <c r="J555" i="6" s="1"/>
  <c r="J40" i="6"/>
  <c r="J567" i="6" s="1"/>
  <c r="H48" i="6"/>
  <c r="H552" i="6" s="1"/>
  <c r="G48" i="6"/>
  <c r="G552" i="6" s="1"/>
  <c r="I48" i="6"/>
  <c r="I552" i="6" s="1"/>
  <c r="F48" i="6"/>
  <c r="F552" i="6" s="1"/>
  <c r="J48" i="6"/>
  <c r="J552" i="6" s="1"/>
  <c r="E48" i="6"/>
  <c r="E552" i="6" s="1"/>
  <c r="H512" i="6"/>
  <c r="H546" i="6"/>
  <c r="H62" i="6" s="1"/>
  <c r="H576" i="6" s="1"/>
  <c r="G512" i="6"/>
  <c r="G546" i="6"/>
  <c r="G62" i="6" s="1"/>
  <c r="G576" i="6" s="1"/>
  <c r="J512" i="6"/>
  <c r="J546" i="6"/>
  <c r="J62" i="6" s="1"/>
  <c r="J576" i="6" s="1"/>
  <c r="I512" i="6"/>
  <c r="I546" i="6"/>
  <c r="I62" i="6" s="1"/>
  <c r="I576" i="6" s="1"/>
  <c r="F512" i="6"/>
  <c r="F546" i="6"/>
  <c r="F62" i="6" s="1"/>
  <c r="F576" i="6" s="1"/>
  <c r="E512" i="6"/>
  <c r="E546" i="6"/>
  <c r="E62" i="6" s="1"/>
  <c r="E576" i="6" s="1"/>
  <c r="L512" i="6"/>
  <c r="K512" i="6"/>
  <c r="O512" i="6"/>
  <c r="N512" i="6"/>
  <c r="M512" i="6"/>
  <c r="G22" i="6"/>
  <c r="G370" i="6" s="1"/>
  <c r="F22" i="6"/>
  <c r="F370" i="6" s="1"/>
  <c r="E22" i="6"/>
  <c r="E370" i="6" s="1"/>
  <c r="J22" i="6"/>
  <c r="J370" i="6" s="1"/>
  <c r="I22" i="6"/>
  <c r="I370" i="6" s="1"/>
  <c r="H22" i="6"/>
  <c r="H370" i="6" s="1"/>
  <c r="F368" i="6"/>
  <c r="F24" i="6"/>
  <c r="F372" i="6" s="1"/>
  <c r="F23" i="6"/>
  <c r="F371" i="6" s="1"/>
  <c r="E368" i="6"/>
  <c r="E24" i="6"/>
  <c r="E372" i="6" s="1"/>
  <c r="E23" i="6"/>
  <c r="E371" i="6" s="1"/>
  <c r="J368" i="6"/>
  <c r="J24" i="6"/>
  <c r="J372" i="6" s="1"/>
  <c r="J23" i="6"/>
  <c r="J371" i="6" s="1"/>
  <c r="I368" i="6"/>
  <c r="I24" i="6"/>
  <c r="I372" i="6" s="1"/>
  <c r="I23" i="6"/>
  <c r="I371" i="6" s="1"/>
  <c r="H368" i="6"/>
  <c r="H24" i="6"/>
  <c r="H372" i="6" s="1"/>
  <c r="H23" i="6"/>
  <c r="H371" i="6" s="1"/>
  <c r="G368" i="6"/>
  <c r="G23" i="6"/>
  <c r="G371" i="6" s="1"/>
  <c r="G24" i="6"/>
  <c r="G372" i="6" s="1"/>
  <c r="N367" i="6"/>
  <c r="N375" i="6" s="1"/>
  <c r="N257" i="6"/>
  <c r="N258" i="6"/>
  <c r="L367" i="6"/>
  <c r="L375" i="6" s="1"/>
  <c r="L257" i="6"/>
  <c r="L258" i="6"/>
  <c r="O367" i="6"/>
  <c r="O375" i="6" s="1"/>
  <c r="O278" i="6" s="1"/>
  <c r="N19" i="4" s="1"/>
  <c r="O257" i="6"/>
  <c r="O258" i="6"/>
  <c r="M367" i="6"/>
  <c r="M375" i="6" s="1"/>
  <c r="M257" i="6"/>
  <c r="M258" i="6"/>
  <c r="K367" i="6"/>
  <c r="K375" i="6" s="1"/>
  <c r="K258" i="6"/>
  <c r="K257" i="6"/>
  <c r="G18" i="6"/>
  <c r="G136" i="6" s="1"/>
  <c r="J367" i="6"/>
  <c r="I367" i="6"/>
  <c r="F18" i="6"/>
  <c r="F192" i="6" s="1"/>
  <c r="H18" i="6"/>
  <c r="H192" i="6" s="1"/>
  <c r="E367" i="6"/>
  <c r="J17" i="6"/>
  <c r="I17" i="6"/>
  <c r="H17" i="6"/>
  <c r="G17" i="6"/>
  <c r="F17" i="6"/>
  <c r="J18" i="6"/>
  <c r="I18" i="6"/>
  <c r="H304" i="6"/>
  <c r="H311" i="6" s="1"/>
  <c r="E16" i="6"/>
  <c r="E18" i="6"/>
  <c r="J16" i="6"/>
  <c r="I16" i="6"/>
  <c r="E17" i="6"/>
  <c r="H367" i="6"/>
  <c r="H16" i="6"/>
  <c r="G367" i="6"/>
  <c r="F304" i="6"/>
  <c r="F311" i="6" s="1"/>
  <c r="G16" i="6"/>
  <c r="F367" i="6"/>
  <c r="F16" i="6"/>
  <c r="G289" i="6"/>
  <c r="H62" i="2" s="1"/>
  <c r="F289" i="6"/>
  <c r="G62" i="2" s="1"/>
  <c r="H289" i="6"/>
  <c r="I62" i="2" s="1"/>
  <c r="I289" i="6"/>
  <c r="J62" i="2" s="1"/>
  <c r="J304" i="6"/>
  <c r="J311" i="6" s="1"/>
  <c r="I304" i="6"/>
  <c r="I311" i="6" s="1"/>
  <c r="E289" i="6"/>
  <c r="F62" i="2" s="1"/>
  <c r="J289" i="6"/>
  <c r="K62" i="2" s="1"/>
  <c r="G304" i="6"/>
  <c r="G311" i="6" s="1"/>
  <c r="E304" i="6"/>
  <c r="E311" i="6" s="1"/>
  <c r="F254" i="6"/>
  <c r="J11" i="2" s="1"/>
  <c r="J12" i="2" s="1"/>
  <c r="O254" i="6"/>
  <c r="K254" i="6"/>
  <c r="J254" i="6"/>
  <c r="N11" i="2" s="1"/>
  <c r="N12" i="2" s="1"/>
  <c r="M254" i="6"/>
  <c r="N254" i="6"/>
  <c r="E254" i="6"/>
  <c r="I11" i="2" s="1"/>
  <c r="I12" i="2" s="1"/>
  <c r="I254" i="6"/>
  <c r="M11" i="2" s="1"/>
  <c r="M12" i="2" s="1"/>
  <c r="H254" i="6"/>
  <c r="L11" i="2" s="1"/>
  <c r="L12" i="2" s="1"/>
  <c r="G254" i="6"/>
  <c r="K11" i="2" s="1"/>
  <c r="K12" i="2" s="1"/>
  <c r="L254" i="6"/>
  <c r="J359" i="6"/>
  <c r="I105" i="2" s="1"/>
  <c r="E359" i="6"/>
  <c r="D105" i="2" s="1"/>
  <c r="H359" i="6"/>
  <c r="G105" i="2" s="1"/>
  <c r="F359" i="6"/>
  <c r="E105" i="2" s="1"/>
  <c r="G359" i="6"/>
  <c r="F105" i="2" s="1"/>
  <c r="I359" i="6"/>
  <c r="H105" i="2" s="1"/>
  <c r="O11" i="2" l="1"/>
  <c r="O12" i="2" s="1"/>
  <c r="Q11" i="2"/>
  <c r="Q12" i="2" s="1"/>
  <c r="P11" i="2"/>
  <c r="P12" i="2" s="1"/>
  <c r="S11" i="2"/>
  <c r="S12" i="2" s="1"/>
  <c r="R11" i="2"/>
  <c r="R12" i="2" s="1"/>
  <c r="E360" i="6"/>
  <c r="F358" i="6" s="1"/>
  <c r="F360" i="6" s="1"/>
  <c r="G358" i="6" s="1"/>
  <c r="G360" i="6" s="1"/>
  <c r="H358" i="6" s="1"/>
  <c r="H360" i="6" s="1"/>
  <c r="I358" i="6" s="1"/>
  <c r="I360" i="6" s="1"/>
  <c r="J358" i="6" s="1"/>
  <c r="J360" i="6" s="1"/>
  <c r="K358" i="6" s="1"/>
  <c r="N557" i="6"/>
  <c r="N348" i="6" s="1"/>
  <c r="N597" i="6"/>
  <c r="M578" i="6"/>
  <c r="M589" i="6" s="1"/>
  <c r="M597" i="6"/>
  <c r="O578" i="6"/>
  <c r="O589" i="6" s="1"/>
  <c r="O597" i="6"/>
  <c r="F209" i="6"/>
  <c r="F97" i="6"/>
  <c r="F496" i="6"/>
  <c r="F153" i="6"/>
  <c r="J496" i="6"/>
  <c r="J153" i="6"/>
  <c r="J209" i="6"/>
  <c r="J97" i="6"/>
  <c r="G153" i="6"/>
  <c r="G496" i="6"/>
  <c r="G209" i="6"/>
  <c r="G97" i="6"/>
  <c r="E496" i="6"/>
  <c r="E153" i="6"/>
  <c r="E209" i="6"/>
  <c r="E97" i="6"/>
  <c r="H496" i="6"/>
  <c r="H209" i="6"/>
  <c r="H97" i="6"/>
  <c r="H153" i="6"/>
  <c r="I209" i="6"/>
  <c r="I97" i="6"/>
  <c r="I496" i="6"/>
  <c r="I153" i="6"/>
  <c r="K480" i="6"/>
  <c r="K295" i="6" s="1"/>
  <c r="K503" i="6"/>
  <c r="O506" i="6"/>
  <c r="O353" i="6" s="1"/>
  <c r="O503" i="6"/>
  <c r="L480" i="6"/>
  <c r="L295" i="6" s="1"/>
  <c r="L503" i="6"/>
  <c r="I218" i="6"/>
  <c r="H162" i="6"/>
  <c r="H629" i="6"/>
  <c r="H106" i="6"/>
  <c r="N506" i="6"/>
  <c r="N353" i="6" s="1"/>
  <c r="G162" i="6"/>
  <c r="G218" i="6"/>
  <c r="G629" i="6"/>
  <c r="E162" i="6"/>
  <c r="I162" i="6"/>
  <c r="E629" i="6"/>
  <c r="I629" i="6"/>
  <c r="E106" i="6"/>
  <c r="J157" i="6"/>
  <c r="J402" i="6"/>
  <c r="J213" i="6"/>
  <c r="J101" i="6"/>
  <c r="E157" i="6"/>
  <c r="E402" i="6"/>
  <c r="E213" i="6"/>
  <c r="E101" i="6"/>
  <c r="J629" i="6"/>
  <c r="F402" i="6"/>
  <c r="F213" i="6"/>
  <c r="F101" i="6"/>
  <c r="F157" i="6"/>
  <c r="J106" i="6"/>
  <c r="J218" i="6"/>
  <c r="G402" i="6"/>
  <c r="G213" i="6"/>
  <c r="G101" i="6"/>
  <c r="G157" i="6"/>
  <c r="F162" i="6"/>
  <c r="H157" i="6"/>
  <c r="H402" i="6"/>
  <c r="H213" i="6"/>
  <c r="H101" i="6"/>
  <c r="F629" i="6"/>
  <c r="F106" i="6"/>
  <c r="I157" i="6"/>
  <c r="I402" i="6"/>
  <c r="I213" i="6"/>
  <c r="I101" i="6"/>
  <c r="H653" i="6"/>
  <c r="H644" i="6"/>
  <c r="H645" i="6"/>
  <c r="I653" i="6"/>
  <c r="I644" i="6"/>
  <c r="I645" i="6"/>
  <c r="J644" i="6"/>
  <c r="J653" i="6"/>
  <c r="J645" i="6"/>
  <c r="O650" i="6"/>
  <c r="O647" i="6"/>
  <c r="K650" i="6"/>
  <c r="K647" i="6"/>
  <c r="L650" i="6"/>
  <c r="L647" i="6"/>
  <c r="M650" i="6"/>
  <c r="M647" i="6"/>
  <c r="N650" i="6"/>
  <c r="N647" i="6"/>
  <c r="M630" i="6"/>
  <c r="M330" i="6" s="1"/>
  <c r="M637" i="6"/>
  <c r="O630" i="6"/>
  <c r="O330" i="6" s="1"/>
  <c r="O637" i="6"/>
  <c r="H634" i="6"/>
  <c r="H635" i="6"/>
  <c r="L630" i="6"/>
  <c r="L330" i="6" s="1"/>
  <c r="L637" i="6"/>
  <c r="I634" i="6"/>
  <c r="I635" i="6"/>
  <c r="K630" i="6"/>
  <c r="K330" i="6" s="1"/>
  <c r="K637" i="6"/>
  <c r="N630" i="6"/>
  <c r="N330" i="6" s="1"/>
  <c r="N637" i="6"/>
  <c r="J634" i="6"/>
  <c r="J635" i="6"/>
  <c r="M617" i="6"/>
  <c r="M281" i="6" s="1"/>
  <c r="L21" i="4" s="1"/>
  <c r="M626" i="6"/>
  <c r="M624" i="6"/>
  <c r="O617" i="6"/>
  <c r="O281" i="6" s="1"/>
  <c r="N21" i="4" s="1"/>
  <c r="N22" i="4" s="1"/>
  <c r="O624" i="6"/>
  <c r="O626" i="6"/>
  <c r="H621" i="6"/>
  <c r="H622" i="6"/>
  <c r="L617" i="6"/>
  <c r="L281" i="6" s="1"/>
  <c r="K21" i="4" s="1"/>
  <c r="L624" i="6"/>
  <c r="L626" i="6"/>
  <c r="I621" i="6"/>
  <c r="I622" i="6"/>
  <c r="N617" i="6"/>
  <c r="N281" i="6" s="1"/>
  <c r="M21" i="4" s="1"/>
  <c r="N624" i="6"/>
  <c r="N626" i="6"/>
  <c r="K617" i="6"/>
  <c r="K281" i="6" s="1"/>
  <c r="J21" i="4" s="1"/>
  <c r="K624" i="6"/>
  <c r="K626" i="6"/>
  <c r="J621" i="6"/>
  <c r="J622" i="6"/>
  <c r="E616" i="6"/>
  <c r="E146" i="6"/>
  <c r="E90" i="6"/>
  <c r="E202" i="6"/>
  <c r="G616" i="6"/>
  <c r="G202" i="6"/>
  <c r="G90" i="6"/>
  <c r="G146" i="6"/>
  <c r="H616" i="6"/>
  <c r="H202" i="6"/>
  <c r="H90" i="6"/>
  <c r="H146" i="6"/>
  <c r="I616" i="6"/>
  <c r="I146" i="6"/>
  <c r="I202" i="6"/>
  <c r="I90" i="6"/>
  <c r="J616" i="6"/>
  <c r="J146" i="6"/>
  <c r="J202" i="6"/>
  <c r="J90" i="6"/>
  <c r="F616" i="6"/>
  <c r="F90" i="6"/>
  <c r="F146" i="6"/>
  <c r="F202" i="6"/>
  <c r="O489" i="6"/>
  <c r="O296" i="6" s="1"/>
  <c r="O505" i="6"/>
  <c r="O352" i="6" s="1"/>
  <c r="N489" i="6"/>
  <c r="N296" i="6" s="1"/>
  <c r="O480" i="6"/>
  <c r="O295" i="6" s="1"/>
  <c r="N505" i="6"/>
  <c r="N352" i="6" s="1"/>
  <c r="L489" i="6"/>
  <c r="L296" i="6" s="1"/>
  <c r="K506" i="6"/>
  <c r="K353" i="6" s="1"/>
  <c r="K505" i="6"/>
  <c r="K352" i="6" s="1"/>
  <c r="M506" i="6"/>
  <c r="M353" i="6" s="1"/>
  <c r="M505" i="6"/>
  <c r="M352" i="6" s="1"/>
  <c r="K489" i="6"/>
  <c r="K296" i="6" s="1"/>
  <c r="M480" i="6"/>
  <c r="M295" i="6" s="1"/>
  <c r="M489" i="6"/>
  <c r="M296" i="6" s="1"/>
  <c r="N480" i="6"/>
  <c r="N295" i="6" s="1"/>
  <c r="L505" i="6"/>
  <c r="L352" i="6" s="1"/>
  <c r="L506" i="6"/>
  <c r="L353" i="6" s="1"/>
  <c r="E479" i="6"/>
  <c r="F479" i="6"/>
  <c r="I479" i="6"/>
  <c r="G479" i="6"/>
  <c r="J479" i="6"/>
  <c r="H479" i="6"/>
  <c r="F227" i="6"/>
  <c r="F171" i="6"/>
  <c r="F115" i="6"/>
  <c r="G226" i="6"/>
  <c r="G170" i="6"/>
  <c r="G114" i="6"/>
  <c r="G227" i="6"/>
  <c r="G171" i="6"/>
  <c r="G115" i="6"/>
  <c r="H226" i="6"/>
  <c r="H170" i="6"/>
  <c r="H114" i="6"/>
  <c r="H227" i="6"/>
  <c r="H171" i="6"/>
  <c r="H115" i="6"/>
  <c r="F226" i="6"/>
  <c r="F170" i="6"/>
  <c r="F114" i="6"/>
  <c r="I226" i="6"/>
  <c r="I170" i="6"/>
  <c r="I114" i="6"/>
  <c r="I227" i="6"/>
  <c r="I171" i="6"/>
  <c r="I115" i="6"/>
  <c r="J226" i="6"/>
  <c r="J170" i="6"/>
  <c r="J114" i="6"/>
  <c r="J227" i="6"/>
  <c r="J171" i="6"/>
  <c r="J115" i="6"/>
  <c r="E226" i="6"/>
  <c r="E170" i="6"/>
  <c r="E114" i="6"/>
  <c r="E227" i="6"/>
  <c r="E171" i="6"/>
  <c r="E115" i="6"/>
  <c r="H484" i="6"/>
  <c r="H152" i="6"/>
  <c r="H208" i="6"/>
  <c r="H96" i="6"/>
  <c r="I208" i="6"/>
  <c r="I96" i="6"/>
  <c r="I484" i="6"/>
  <c r="I152" i="6"/>
  <c r="F200" i="6"/>
  <c r="F152" i="6"/>
  <c r="F484" i="6"/>
  <c r="F208" i="6"/>
  <c r="F96" i="6"/>
  <c r="F144" i="6"/>
  <c r="E208" i="6"/>
  <c r="E96" i="6"/>
  <c r="E484" i="6"/>
  <c r="E152" i="6"/>
  <c r="G152" i="6"/>
  <c r="G96" i="6"/>
  <c r="G208" i="6"/>
  <c r="G484" i="6"/>
  <c r="J208" i="6"/>
  <c r="J96" i="6"/>
  <c r="J484" i="6"/>
  <c r="J152" i="6"/>
  <c r="M377" i="6"/>
  <c r="M293" i="6" s="1"/>
  <c r="L24" i="4" s="1"/>
  <c r="F88" i="6"/>
  <c r="L377" i="6"/>
  <c r="L393" i="6" s="1"/>
  <c r="O377" i="6"/>
  <c r="O393" i="6" s="1"/>
  <c r="I200" i="6"/>
  <c r="I144" i="6"/>
  <c r="J88" i="6"/>
  <c r="J200" i="6"/>
  <c r="E200" i="6"/>
  <c r="G200" i="6"/>
  <c r="G88" i="6"/>
  <c r="J144" i="6"/>
  <c r="E144" i="6"/>
  <c r="E88" i="6"/>
  <c r="H88" i="6"/>
  <c r="G144" i="6"/>
  <c r="H200" i="6"/>
  <c r="H144" i="6"/>
  <c r="I88" i="6"/>
  <c r="M468" i="6"/>
  <c r="M469" i="6" s="1"/>
  <c r="M329" i="6" s="1"/>
  <c r="L280" i="6"/>
  <c r="O280" i="6"/>
  <c r="L468" i="6"/>
  <c r="L469" i="6" s="1"/>
  <c r="L329" i="6" s="1"/>
  <c r="K280" i="6"/>
  <c r="K469" i="6"/>
  <c r="K329" i="6" s="1"/>
  <c r="N578" i="6"/>
  <c r="N587" i="6" s="1"/>
  <c r="O468" i="6"/>
  <c r="O469" i="6" s="1"/>
  <c r="O329" i="6" s="1"/>
  <c r="N280" i="6"/>
  <c r="K376" i="6"/>
  <c r="K279" i="6" s="1"/>
  <c r="J20" i="4" s="1"/>
  <c r="N376" i="6"/>
  <c r="O389" i="6" s="1"/>
  <c r="O390" i="6" s="1"/>
  <c r="O328" i="6" s="1"/>
  <c r="N468" i="6"/>
  <c r="N469" i="6" s="1"/>
  <c r="N329" i="6" s="1"/>
  <c r="M280" i="6"/>
  <c r="F203" i="6"/>
  <c r="F457" i="6"/>
  <c r="I203" i="6"/>
  <c r="I457" i="6"/>
  <c r="E203" i="6"/>
  <c r="E457" i="6"/>
  <c r="G203" i="6"/>
  <c r="G457" i="6"/>
  <c r="J203" i="6"/>
  <c r="J457" i="6"/>
  <c r="H203" i="6"/>
  <c r="H457" i="6"/>
  <c r="O460" i="6"/>
  <c r="O285" i="6" s="1"/>
  <c r="O459" i="6"/>
  <c r="O277" i="6" s="1"/>
  <c r="K460" i="6"/>
  <c r="K285" i="6" s="1"/>
  <c r="L460" i="6"/>
  <c r="L285" i="6" s="1"/>
  <c r="L459" i="6"/>
  <c r="L277" i="6" s="1"/>
  <c r="M460" i="6"/>
  <c r="M285" i="6" s="1"/>
  <c r="M459" i="6"/>
  <c r="M277" i="6" s="1"/>
  <c r="N460" i="6"/>
  <c r="N285" i="6" s="1"/>
  <c r="N459" i="6"/>
  <c r="N277" i="6" s="1"/>
  <c r="E87" i="6"/>
  <c r="E199" i="6"/>
  <c r="E143" i="6"/>
  <c r="G87" i="6"/>
  <c r="G199" i="6"/>
  <c r="G143" i="6"/>
  <c r="F87" i="6"/>
  <c r="F199" i="6"/>
  <c r="F143" i="6"/>
  <c r="I91" i="6"/>
  <c r="I147" i="6"/>
  <c r="L560" i="6"/>
  <c r="L351" i="6" s="1"/>
  <c r="E91" i="6"/>
  <c r="E147" i="6"/>
  <c r="G91" i="6"/>
  <c r="G147" i="6"/>
  <c r="J87" i="6"/>
  <c r="J199" i="6"/>
  <c r="J143" i="6"/>
  <c r="H87" i="6"/>
  <c r="H199" i="6"/>
  <c r="H143" i="6"/>
  <c r="I87" i="6"/>
  <c r="I199" i="6"/>
  <c r="I143" i="6"/>
  <c r="J91" i="6"/>
  <c r="J147" i="6"/>
  <c r="H91" i="6"/>
  <c r="H147" i="6"/>
  <c r="F91" i="6"/>
  <c r="F147" i="6"/>
  <c r="N560" i="6"/>
  <c r="N351" i="6" s="1"/>
  <c r="O560" i="6"/>
  <c r="O351" i="6" s="1"/>
  <c r="K560" i="6"/>
  <c r="K351" i="6" s="1"/>
  <c r="M560" i="6"/>
  <c r="M351" i="6" s="1"/>
  <c r="O557" i="6"/>
  <c r="O348" i="6" s="1"/>
  <c r="K557" i="6"/>
  <c r="K348" i="6" s="1"/>
  <c r="K578" i="6"/>
  <c r="K589" i="6" s="1"/>
  <c r="L578" i="6"/>
  <c r="L587" i="6" s="1"/>
  <c r="L557" i="6"/>
  <c r="L348" i="6" s="1"/>
  <c r="M557" i="6"/>
  <c r="M348" i="6" s="1"/>
  <c r="H236" i="6"/>
  <c r="H124" i="6"/>
  <c r="H180" i="6"/>
  <c r="E236" i="6"/>
  <c r="E180" i="6"/>
  <c r="E124" i="6"/>
  <c r="I180" i="6"/>
  <c r="I236" i="6"/>
  <c r="I124" i="6"/>
  <c r="J180" i="6"/>
  <c r="J236" i="6"/>
  <c r="J124" i="6"/>
  <c r="F180" i="6"/>
  <c r="F124" i="6"/>
  <c r="F236" i="6"/>
  <c r="G180" i="6"/>
  <c r="G236" i="6"/>
  <c r="G124" i="6"/>
  <c r="I103" i="6"/>
  <c r="H215" i="6"/>
  <c r="E215" i="6"/>
  <c r="J159" i="6"/>
  <c r="J215" i="6"/>
  <c r="J158" i="6"/>
  <c r="J102" i="6"/>
  <c r="J214" i="6"/>
  <c r="H158" i="6"/>
  <c r="H102" i="6"/>
  <c r="H214" i="6"/>
  <c r="I214" i="6"/>
  <c r="I158" i="6"/>
  <c r="I102" i="6"/>
  <c r="F158" i="6"/>
  <c r="F214" i="6"/>
  <c r="F102" i="6"/>
  <c r="E214" i="6"/>
  <c r="E158" i="6"/>
  <c r="E102" i="6"/>
  <c r="G158" i="6"/>
  <c r="G214" i="6"/>
  <c r="G102" i="6"/>
  <c r="G159" i="6"/>
  <c r="F159" i="6"/>
  <c r="F215" i="6"/>
  <c r="G103" i="6"/>
  <c r="F103" i="6"/>
  <c r="I159" i="6"/>
  <c r="I215" i="6"/>
  <c r="G215" i="6"/>
  <c r="H159" i="6"/>
  <c r="H103" i="6"/>
  <c r="E103" i="6"/>
  <c r="E166" i="6"/>
  <c r="E110" i="6"/>
  <c r="E222" i="6"/>
  <c r="J222" i="6"/>
  <c r="J166" i="6"/>
  <c r="J110" i="6"/>
  <c r="E159" i="6"/>
  <c r="F166" i="6"/>
  <c r="F222" i="6"/>
  <c r="F110" i="6"/>
  <c r="I166" i="6"/>
  <c r="I110" i="6"/>
  <c r="I222" i="6"/>
  <c r="G110" i="6"/>
  <c r="G222" i="6"/>
  <c r="G166" i="6"/>
  <c r="J103" i="6"/>
  <c r="H166" i="6"/>
  <c r="H110" i="6"/>
  <c r="H222" i="6"/>
  <c r="M534" i="6"/>
  <c r="M539" i="6"/>
  <c r="M529" i="6"/>
  <c r="N529" i="6"/>
  <c r="N534" i="6"/>
  <c r="N539" i="6"/>
  <c r="O529" i="6"/>
  <c r="O534" i="6"/>
  <c r="O539" i="6"/>
  <c r="K529" i="6"/>
  <c r="K534" i="6"/>
  <c r="K539" i="6"/>
  <c r="L534" i="6"/>
  <c r="L539" i="6"/>
  <c r="L529" i="6"/>
  <c r="N278" i="6"/>
  <c r="M19" i="4" s="1"/>
  <c r="O385" i="6"/>
  <c r="O386" i="6" s="1"/>
  <c r="O327" i="6" s="1"/>
  <c r="M278" i="6"/>
  <c r="L19" i="4" s="1"/>
  <c r="N385" i="6"/>
  <c r="N386" i="6" s="1"/>
  <c r="N327" i="6" s="1"/>
  <c r="N293" i="6"/>
  <c r="M24" i="4" s="1"/>
  <c r="L279" i="6"/>
  <c r="K20" i="4" s="1"/>
  <c r="M389" i="6"/>
  <c r="M390" i="6" s="1"/>
  <c r="M328" i="6" s="1"/>
  <c r="K385" i="6"/>
  <c r="K386" i="6" s="1"/>
  <c r="K327" i="6" s="1"/>
  <c r="L385" i="6"/>
  <c r="L386" i="6" s="1"/>
  <c r="L327" i="6" s="1"/>
  <c r="L278" i="6"/>
  <c r="K19" i="4" s="1"/>
  <c r="M385" i="6"/>
  <c r="M386" i="6" s="1"/>
  <c r="M327" i="6" s="1"/>
  <c r="M279" i="6"/>
  <c r="L20" i="4" s="1"/>
  <c r="K380" i="6"/>
  <c r="K278" i="6"/>
  <c r="J19" i="4" s="1"/>
  <c r="K382" i="6"/>
  <c r="K293" i="6"/>
  <c r="J24" i="4" s="1"/>
  <c r="E84" i="6"/>
  <c r="E140" i="6"/>
  <c r="J196" i="6"/>
  <c r="J140" i="6"/>
  <c r="E196" i="6"/>
  <c r="F84" i="6"/>
  <c r="G84" i="6"/>
  <c r="G196" i="6"/>
  <c r="F196" i="6"/>
  <c r="F140" i="6"/>
  <c r="G140" i="6"/>
  <c r="H196" i="6"/>
  <c r="I84" i="6"/>
  <c r="I196" i="6"/>
  <c r="I140" i="6"/>
  <c r="H84" i="6"/>
  <c r="H140" i="6"/>
  <c r="J84" i="6"/>
  <c r="G142" i="6"/>
  <c r="G86" i="6"/>
  <c r="G198" i="6"/>
  <c r="E85" i="6"/>
  <c r="E141" i="6"/>
  <c r="E197" i="6"/>
  <c r="H85" i="6"/>
  <c r="H141" i="6"/>
  <c r="H197" i="6"/>
  <c r="G197" i="6"/>
  <c r="G85" i="6"/>
  <c r="G141" i="6"/>
  <c r="H142" i="6"/>
  <c r="H198" i="6"/>
  <c r="H86" i="6"/>
  <c r="F197" i="6"/>
  <c r="F85" i="6"/>
  <c r="F141" i="6"/>
  <c r="F142" i="6"/>
  <c r="F198" i="6"/>
  <c r="F86" i="6"/>
  <c r="I197" i="6"/>
  <c r="I141" i="6"/>
  <c r="I85" i="6"/>
  <c r="I142" i="6"/>
  <c r="I198" i="6"/>
  <c r="I86" i="6"/>
  <c r="J141" i="6"/>
  <c r="J85" i="6"/>
  <c r="J197" i="6"/>
  <c r="E142" i="6"/>
  <c r="E86" i="6"/>
  <c r="E198" i="6"/>
  <c r="J198" i="6"/>
  <c r="J86" i="6"/>
  <c r="J142" i="6"/>
  <c r="O380" i="6"/>
  <c r="H136" i="6"/>
  <c r="H80" i="6"/>
  <c r="M381" i="6"/>
  <c r="L380" i="6"/>
  <c r="N380" i="6"/>
  <c r="M380" i="6"/>
  <c r="G80" i="6"/>
  <c r="G192" i="6"/>
  <c r="I133" i="6"/>
  <c r="I189" i="6"/>
  <c r="I77" i="6"/>
  <c r="J133" i="6"/>
  <c r="J189" i="6"/>
  <c r="J77" i="6"/>
  <c r="E77" i="6"/>
  <c r="E133" i="6"/>
  <c r="E189" i="6"/>
  <c r="H133" i="6"/>
  <c r="H189" i="6"/>
  <c r="H77" i="6"/>
  <c r="G133" i="6"/>
  <c r="G189" i="6"/>
  <c r="G77" i="6"/>
  <c r="F189" i="6"/>
  <c r="F77" i="6"/>
  <c r="F133" i="6"/>
  <c r="F136" i="6"/>
  <c r="F80" i="6"/>
  <c r="E135" i="6"/>
  <c r="E191" i="6"/>
  <c r="E79" i="6"/>
  <c r="G190" i="6"/>
  <c r="G134" i="6"/>
  <c r="G78" i="6"/>
  <c r="H78" i="6"/>
  <c r="H134" i="6"/>
  <c r="H190" i="6"/>
  <c r="E186" i="6"/>
  <c r="E130" i="6"/>
  <c r="E74" i="6"/>
  <c r="F190" i="6"/>
  <c r="F134" i="6"/>
  <c r="F78" i="6"/>
  <c r="F191" i="6"/>
  <c r="F135" i="6"/>
  <c r="F79" i="6"/>
  <c r="I186" i="6"/>
  <c r="I130" i="6"/>
  <c r="I74" i="6"/>
  <c r="H186" i="6"/>
  <c r="H74" i="6"/>
  <c r="H130" i="6"/>
  <c r="G191" i="6"/>
  <c r="G135" i="6"/>
  <c r="G79" i="6"/>
  <c r="J191" i="6"/>
  <c r="J135" i="6"/>
  <c r="J79" i="6"/>
  <c r="J186" i="6"/>
  <c r="J130" i="6"/>
  <c r="J74" i="6"/>
  <c r="I190" i="6"/>
  <c r="I134" i="6"/>
  <c r="I78" i="6"/>
  <c r="E80" i="6"/>
  <c r="E192" i="6"/>
  <c r="E136" i="6"/>
  <c r="E78" i="6"/>
  <c r="E190" i="6"/>
  <c r="E134" i="6"/>
  <c r="G186" i="6"/>
  <c r="G130" i="6"/>
  <c r="G74" i="6"/>
  <c r="I192" i="6"/>
  <c r="I136" i="6"/>
  <c r="I80" i="6"/>
  <c r="J190" i="6"/>
  <c r="J134" i="6"/>
  <c r="J78" i="6"/>
  <c r="J192" i="6"/>
  <c r="J136" i="6"/>
  <c r="J80" i="6"/>
  <c r="H191" i="6"/>
  <c r="H135" i="6"/>
  <c r="H79" i="6"/>
  <c r="F186" i="6"/>
  <c r="F130" i="6"/>
  <c r="F74" i="6"/>
  <c r="I191" i="6"/>
  <c r="I135" i="6"/>
  <c r="I79" i="6"/>
  <c r="F313" i="6"/>
  <c r="G261" i="6"/>
  <c r="F261" i="6"/>
  <c r="H261" i="6"/>
  <c r="I261" i="6"/>
  <c r="E261" i="6"/>
  <c r="J261" i="6"/>
  <c r="I313" i="6"/>
  <c r="J313" i="6"/>
  <c r="G313" i="6"/>
  <c r="H313" i="6"/>
  <c r="E313" i="6"/>
  <c r="K259" i="6"/>
  <c r="N17" i="2" l="1"/>
  <c r="N18" i="2" s="1"/>
  <c r="N14" i="2"/>
  <c r="N15" i="2" s="1"/>
  <c r="L17" i="2"/>
  <c r="L18" i="2" s="1"/>
  <c r="L14" i="2"/>
  <c r="L15" i="2" s="1"/>
  <c r="J17" i="2"/>
  <c r="J18" i="2" s="1"/>
  <c r="J14" i="2"/>
  <c r="J15" i="2" s="1"/>
  <c r="I17" i="2"/>
  <c r="I18" i="2" s="1"/>
  <c r="I14" i="2"/>
  <c r="I15" i="2" s="1"/>
  <c r="M17" i="2"/>
  <c r="M18" i="2" s="1"/>
  <c r="M14" i="2"/>
  <c r="M15" i="2" s="1"/>
  <c r="K14" i="2"/>
  <c r="K15" i="2" s="1"/>
  <c r="K17" i="2"/>
  <c r="K18" i="2" s="1"/>
  <c r="L22" i="4"/>
  <c r="J264" i="6"/>
  <c r="J267" i="6" s="1"/>
  <c r="I11" i="4"/>
  <c r="I13" i="4" s="1"/>
  <c r="I31" i="4" s="1"/>
  <c r="I264" i="6"/>
  <c r="I267" i="6" s="1"/>
  <c r="H11" i="4"/>
  <c r="H13" i="4" s="1"/>
  <c r="H31" i="4" s="1"/>
  <c r="E264" i="6"/>
  <c r="E267" i="6" s="1"/>
  <c r="D11" i="4"/>
  <c r="D13" i="4" s="1"/>
  <c r="D31" i="4" s="1"/>
  <c r="G264" i="6"/>
  <c r="G19" i="6" s="1"/>
  <c r="F9" i="4" s="1"/>
  <c r="F11" i="4"/>
  <c r="F13" i="4" s="1"/>
  <c r="F31" i="4" s="1"/>
  <c r="H264" i="6"/>
  <c r="H267" i="6" s="1"/>
  <c r="G11" i="4"/>
  <c r="G13" i="4" s="1"/>
  <c r="G31" i="4" s="1"/>
  <c r="F264" i="6"/>
  <c r="F267" i="6" s="1"/>
  <c r="E11" i="4"/>
  <c r="E13" i="4" s="1"/>
  <c r="E31" i="4" s="1"/>
  <c r="K22" i="4"/>
  <c r="J22" i="4"/>
  <c r="M587" i="6"/>
  <c r="O587" i="6"/>
  <c r="O293" i="6"/>
  <c r="N24" i="4" s="1"/>
  <c r="K635" i="6"/>
  <c r="K640" i="6" s="1"/>
  <c r="K487" i="6"/>
  <c r="K354" i="6" s="1"/>
  <c r="L486" i="6"/>
  <c r="M486" i="6" s="1"/>
  <c r="M487" i="6" s="1"/>
  <c r="M354" i="6" s="1"/>
  <c r="N486" i="6"/>
  <c r="O486" i="6" s="1"/>
  <c r="O487" i="6" s="1"/>
  <c r="O354" i="6" s="1"/>
  <c r="O382" i="6"/>
  <c r="L293" i="6"/>
  <c r="K24" i="4" s="1"/>
  <c r="N393" i="6"/>
  <c r="K381" i="6"/>
  <c r="N381" i="6"/>
  <c r="O381" i="6"/>
  <c r="N382" i="6"/>
  <c r="M393" i="6"/>
  <c r="M382" i="6"/>
  <c r="L382" i="6"/>
  <c r="N389" i="6"/>
  <c r="N390" i="6" s="1"/>
  <c r="N328" i="6" s="1"/>
  <c r="L389" i="6"/>
  <c r="L390" i="6" s="1"/>
  <c r="L328" i="6" s="1"/>
  <c r="N589" i="6"/>
  <c r="K389" i="6"/>
  <c r="K390" i="6" s="1"/>
  <c r="K328" i="6" s="1"/>
  <c r="L381" i="6"/>
  <c r="N279" i="6"/>
  <c r="M20" i="4" s="1"/>
  <c r="M22" i="4" s="1"/>
  <c r="O461" i="6"/>
  <c r="M461" i="6"/>
  <c r="N461" i="6"/>
  <c r="L461" i="6"/>
  <c r="L589" i="6"/>
  <c r="K587" i="6"/>
  <c r="K261" i="6"/>
  <c r="O17" i="2" s="1"/>
  <c r="O18" i="2" s="1"/>
  <c r="K547" i="6"/>
  <c r="K579" i="6" s="1"/>
  <c r="K323" i="6" s="1"/>
  <c r="K538" i="6"/>
  <c r="K649" i="6" s="1"/>
  <c r="K537" i="6"/>
  <c r="K639" i="6" s="1"/>
  <c r="O538" i="6"/>
  <c r="O649" i="6" s="1"/>
  <c r="O537" i="6"/>
  <c r="O639" i="6" s="1"/>
  <c r="N538" i="6"/>
  <c r="N649" i="6" s="1"/>
  <c r="N537" i="6"/>
  <c r="N639" i="6" s="1"/>
  <c r="L538" i="6"/>
  <c r="L649" i="6" s="1"/>
  <c r="L537" i="6"/>
  <c r="L639" i="6" s="1"/>
  <c r="M538" i="6"/>
  <c r="M649" i="6" s="1"/>
  <c r="M537" i="6"/>
  <c r="M639" i="6" s="1"/>
  <c r="K528" i="6"/>
  <c r="K527" i="6"/>
  <c r="K625" i="6" s="1"/>
  <c r="K627" i="6" s="1"/>
  <c r="K287" i="6" s="1"/>
  <c r="O533" i="6"/>
  <c r="O648" i="6" s="1"/>
  <c r="O532" i="6"/>
  <c r="O638" i="6" s="1"/>
  <c r="O527" i="6"/>
  <c r="O625" i="6" s="1"/>
  <c r="O627" i="6" s="1"/>
  <c r="O287" i="6" s="1"/>
  <c r="O528" i="6"/>
  <c r="N533" i="6"/>
  <c r="N648" i="6" s="1"/>
  <c r="N532" i="6"/>
  <c r="N638" i="6" s="1"/>
  <c r="N527" i="6"/>
  <c r="N625" i="6" s="1"/>
  <c r="N627" i="6" s="1"/>
  <c r="N287" i="6" s="1"/>
  <c r="N528" i="6"/>
  <c r="L528" i="6"/>
  <c r="L527" i="6"/>
  <c r="L625" i="6" s="1"/>
  <c r="L627" i="6" s="1"/>
  <c r="L287" i="6" s="1"/>
  <c r="M528" i="6"/>
  <c r="M527" i="6"/>
  <c r="M625" i="6" s="1"/>
  <c r="M627" i="6" s="1"/>
  <c r="M287" i="6" s="1"/>
  <c r="K533" i="6"/>
  <c r="K648" i="6" s="1"/>
  <c r="K532" i="6"/>
  <c r="K638" i="6" s="1"/>
  <c r="L533" i="6"/>
  <c r="L648" i="6" s="1"/>
  <c r="L532" i="6"/>
  <c r="L638" i="6" s="1"/>
  <c r="M533" i="6"/>
  <c r="M648" i="6" s="1"/>
  <c r="M532" i="6"/>
  <c r="M638" i="6" s="1"/>
  <c r="G188" i="6"/>
  <c r="G132" i="6"/>
  <c r="G76" i="6"/>
  <c r="H188" i="6"/>
  <c r="H132" i="6"/>
  <c r="H76" i="6"/>
  <c r="E76" i="6"/>
  <c r="E132" i="6"/>
  <c r="E188" i="6"/>
  <c r="I188" i="6"/>
  <c r="I132" i="6"/>
  <c r="I76" i="6"/>
  <c r="F188" i="6"/>
  <c r="F132" i="6"/>
  <c r="F76" i="6"/>
  <c r="J188" i="6"/>
  <c r="J132" i="6"/>
  <c r="J76" i="6"/>
  <c r="H19" i="6"/>
  <c r="J19" i="6"/>
  <c r="I9" i="4" s="1"/>
  <c r="L259" i="6"/>
  <c r="E19" i="6" l="1"/>
  <c r="D9" i="4" s="1"/>
  <c r="I19" i="6"/>
  <c r="H9" i="4" s="1"/>
  <c r="L20" i="2"/>
  <c r="L21" i="2"/>
  <c r="J20" i="2"/>
  <c r="J21" i="2"/>
  <c r="M20" i="2"/>
  <c r="M21" i="2"/>
  <c r="N20" i="2"/>
  <c r="N21" i="2"/>
  <c r="I20" i="2"/>
  <c r="I21" i="2"/>
  <c r="G267" i="6"/>
  <c r="F19" i="6"/>
  <c r="E9" i="4" s="1"/>
  <c r="G9" i="4"/>
  <c r="J21" i="3"/>
  <c r="J22" i="3" s="1"/>
  <c r="N17" i="3" s="1"/>
  <c r="N18" i="3" s="1"/>
  <c r="K264" i="6"/>
  <c r="K266" i="6" s="1"/>
  <c r="J11" i="4"/>
  <c r="N651" i="6"/>
  <c r="N302" i="6" s="1"/>
  <c r="K651" i="6"/>
  <c r="K302" i="6" s="1"/>
  <c r="L501" i="6"/>
  <c r="L297" i="6" s="1"/>
  <c r="M651" i="6"/>
  <c r="M302" i="6" s="1"/>
  <c r="L651" i="6"/>
  <c r="L302" i="6" s="1"/>
  <c r="O651" i="6"/>
  <c r="O302" i="6" s="1"/>
  <c r="K641" i="6"/>
  <c r="K294" i="6" s="1"/>
  <c r="J25" i="4" s="1"/>
  <c r="J26" i="4" s="1"/>
  <c r="J28" i="4" s="1"/>
  <c r="J29" i="4" s="1"/>
  <c r="L635" i="6"/>
  <c r="L487" i="6"/>
  <c r="L354" i="6" s="1"/>
  <c r="K501" i="6"/>
  <c r="K297" i="6" s="1"/>
  <c r="K502" i="6"/>
  <c r="K301" i="6" s="1"/>
  <c r="N487" i="6"/>
  <c r="N354" i="6" s="1"/>
  <c r="J50" i="6"/>
  <c r="J554" i="6" s="1"/>
  <c r="J61" i="6"/>
  <c r="I61" i="6"/>
  <c r="I50" i="6"/>
  <c r="I554" i="6" s="1"/>
  <c r="H50" i="6"/>
  <c r="H554" i="6" s="1"/>
  <c r="H61" i="6"/>
  <c r="F50" i="6"/>
  <c r="F554" i="6" s="1"/>
  <c r="F61" i="6"/>
  <c r="E50" i="6"/>
  <c r="E554" i="6" s="1"/>
  <c r="E61" i="6"/>
  <c r="K558" i="6"/>
  <c r="K349" i="6" s="1"/>
  <c r="K581" i="6"/>
  <c r="K588" i="6" s="1"/>
  <c r="K590" i="6" s="1"/>
  <c r="K307" i="6" s="1"/>
  <c r="K583" i="6"/>
  <c r="K596" i="6" s="1"/>
  <c r="L261" i="6"/>
  <c r="P17" i="2" s="1"/>
  <c r="P18" i="2" s="1"/>
  <c r="L547" i="6"/>
  <c r="L579" i="6" s="1"/>
  <c r="L323" i="6" s="1"/>
  <c r="E169" i="6"/>
  <c r="E113" i="6"/>
  <c r="E225" i="6"/>
  <c r="I169" i="6"/>
  <c r="I113" i="6"/>
  <c r="I225" i="6"/>
  <c r="J169" i="6"/>
  <c r="J113" i="6"/>
  <c r="J225" i="6"/>
  <c r="F225" i="6"/>
  <c r="F113" i="6"/>
  <c r="F169" i="6"/>
  <c r="G113" i="6"/>
  <c r="G169" i="6"/>
  <c r="G225" i="6"/>
  <c r="H225" i="6"/>
  <c r="H113" i="6"/>
  <c r="H169" i="6"/>
  <c r="E548" i="6"/>
  <c r="I548" i="6"/>
  <c r="I594" i="6" s="1"/>
  <c r="J548" i="6"/>
  <c r="J594" i="6" s="1"/>
  <c r="F548" i="6"/>
  <c r="F594" i="6" s="1"/>
  <c r="H548" i="6"/>
  <c r="H594" i="6" s="1"/>
  <c r="G193" i="6"/>
  <c r="G137" i="6"/>
  <c r="G81" i="6"/>
  <c r="H193" i="6"/>
  <c r="H137" i="6"/>
  <c r="H81" i="6"/>
  <c r="E193" i="6"/>
  <c r="E137" i="6"/>
  <c r="E81" i="6"/>
  <c r="J193" i="6"/>
  <c r="J137" i="6"/>
  <c r="J81" i="6"/>
  <c r="M259" i="6"/>
  <c r="I81" i="6" l="1"/>
  <c r="I137" i="6"/>
  <c r="I193" i="6"/>
  <c r="F81" i="6"/>
  <c r="K20" i="2"/>
  <c r="K21" i="2"/>
  <c r="G50" i="6"/>
  <c r="G554" i="6" s="1"/>
  <c r="G548" i="6"/>
  <c r="G594" i="6" s="1"/>
  <c r="G61" i="6"/>
  <c r="F137" i="6"/>
  <c r="F193" i="6"/>
  <c r="K91" i="2"/>
  <c r="I68" i="2"/>
  <c r="C38" i="4" s="1"/>
  <c r="C80" i="2"/>
  <c r="C91" i="2"/>
  <c r="K80" i="2"/>
  <c r="K298" i="6"/>
  <c r="L264" i="6"/>
  <c r="L266" i="6" s="1"/>
  <c r="K11" i="4"/>
  <c r="K267" i="6"/>
  <c r="O20" i="2" s="1"/>
  <c r="J12" i="4"/>
  <c r="J13" i="4" s="1"/>
  <c r="K303" i="6"/>
  <c r="L502" i="6"/>
  <c r="L301" i="6" s="1"/>
  <c r="L303" i="6" s="1"/>
  <c r="M635" i="6"/>
  <c r="L640" i="6"/>
  <c r="L641" i="6" s="1"/>
  <c r="L294" i="6" s="1"/>
  <c r="L586" i="6"/>
  <c r="E235" i="6"/>
  <c r="E179" i="6"/>
  <c r="E123" i="6"/>
  <c r="E575" i="6"/>
  <c r="F235" i="6"/>
  <c r="F179" i="6"/>
  <c r="F123" i="6"/>
  <c r="F575" i="6"/>
  <c r="F224" i="6"/>
  <c r="F168" i="6"/>
  <c r="F112" i="6"/>
  <c r="H235" i="6"/>
  <c r="H179" i="6"/>
  <c r="H123" i="6"/>
  <c r="H575" i="6"/>
  <c r="H224" i="6"/>
  <c r="H112" i="6"/>
  <c r="H168" i="6"/>
  <c r="G168" i="6"/>
  <c r="G112" i="6"/>
  <c r="I224" i="6"/>
  <c r="I168" i="6"/>
  <c r="I112" i="6"/>
  <c r="J575" i="6"/>
  <c r="J235" i="6"/>
  <c r="J179" i="6"/>
  <c r="J123" i="6"/>
  <c r="E224" i="6"/>
  <c r="E168" i="6"/>
  <c r="E112" i="6"/>
  <c r="G235" i="6"/>
  <c r="G179" i="6"/>
  <c r="G123" i="6"/>
  <c r="G575" i="6"/>
  <c r="I575" i="6"/>
  <c r="I235" i="6"/>
  <c r="I179" i="6"/>
  <c r="I123" i="6"/>
  <c r="J224" i="6"/>
  <c r="J168" i="6"/>
  <c r="J112" i="6"/>
  <c r="E594" i="6"/>
  <c r="E599" i="6" s="1"/>
  <c r="L558" i="6"/>
  <c r="L349" i="6" s="1"/>
  <c r="L581" i="6"/>
  <c r="L588" i="6" s="1"/>
  <c r="L583" i="6"/>
  <c r="L596" i="6" s="1"/>
  <c r="M261" i="6"/>
  <c r="Q17" i="2" s="1"/>
  <c r="Q18" i="2" s="1"/>
  <c r="M547" i="6"/>
  <c r="M579" i="6" s="1"/>
  <c r="M323" i="6" s="1"/>
  <c r="N259" i="6"/>
  <c r="G224" i="6" l="1"/>
  <c r="K320" i="6"/>
  <c r="O21" i="2"/>
  <c r="K304" i="6"/>
  <c r="C90" i="2"/>
  <c r="C89" i="2" s="1"/>
  <c r="C92" i="2"/>
  <c r="C93" i="2" s="1"/>
  <c r="C79" i="2"/>
  <c r="C78" i="2" s="1"/>
  <c r="C81" i="2"/>
  <c r="C82" i="2" s="1"/>
  <c r="K79" i="2"/>
  <c r="K78" i="2" s="1"/>
  <c r="K81" i="2"/>
  <c r="K82" i="2" s="1"/>
  <c r="K548" i="6"/>
  <c r="K595" i="6" s="1"/>
  <c r="K90" i="2"/>
  <c r="K89" i="2" s="1"/>
  <c r="K92" i="2"/>
  <c r="K93" i="2" s="1"/>
  <c r="M264" i="6"/>
  <c r="M266" i="6" s="1"/>
  <c r="L11" i="4"/>
  <c r="L298" i="6"/>
  <c r="L304" i="6" s="1"/>
  <c r="K25" i="4"/>
  <c r="K26" i="4" s="1"/>
  <c r="K28" i="4" s="1"/>
  <c r="K29" i="4" s="1"/>
  <c r="L267" i="6"/>
  <c r="P20" i="2" s="1"/>
  <c r="K12" i="4"/>
  <c r="K13" i="4" s="1"/>
  <c r="M501" i="6"/>
  <c r="M297" i="6" s="1"/>
  <c r="M502" i="6"/>
  <c r="M301" i="6" s="1"/>
  <c r="M303" i="6" s="1"/>
  <c r="N635" i="6"/>
  <c r="M640" i="6"/>
  <c r="M641" i="6" s="1"/>
  <c r="M294" i="6" s="1"/>
  <c r="L25" i="4" s="1"/>
  <c r="L26" i="4" s="1"/>
  <c r="L28" i="4" s="1"/>
  <c r="L590" i="6"/>
  <c r="L307" i="6" s="1"/>
  <c r="N501" i="6"/>
  <c r="N297" i="6" s="1"/>
  <c r="N502" i="6"/>
  <c r="N301" i="6" s="1"/>
  <c r="N303" i="6" s="1"/>
  <c r="F593" i="6"/>
  <c r="F599" i="6" s="1"/>
  <c r="E607" i="6"/>
  <c r="M558" i="6"/>
  <c r="M349" i="6" s="1"/>
  <c r="M581" i="6"/>
  <c r="M588" i="6" s="1"/>
  <c r="M583" i="6"/>
  <c r="M596" i="6" s="1"/>
  <c r="N261" i="6"/>
  <c r="R17" i="2" s="1"/>
  <c r="R18" i="2" s="1"/>
  <c r="N547" i="6"/>
  <c r="N579" i="6" s="1"/>
  <c r="N323" i="6" s="1"/>
  <c r="O259" i="6"/>
  <c r="L548" i="6" l="1"/>
  <c r="L559" i="6" s="1"/>
  <c r="L350" i="6" s="1"/>
  <c r="L356" i="6" s="1"/>
  <c r="K104" i="2" s="1"/>
  <c r="P21" i="2"/>
  <c r="K594" i="6"/>
  <c r="K559" i="6"/>
  <c r="K350" i="6" s="1"/>
  <c r="K356" i="6" s="1"/>
  <c r="J104" i="2" s="1"/>
  <c r="L29" i="4"/>
  <c r="N264" i="6"/>
  <c r="N266" i="6" s="1"/>
  <c r="M11" i="4"/>
  <c r="M267" i="6"/>
  <c r="Q20" i="2" s="1"/>
  <c r="L12" i="4"/>
  <c r="L13" i="4" s="1"/>
  <c r="L320" i="6"/>
  <c r="M586" i="6"/>
  <c r="M590" i="6" s="1"/>
  <c r="M307" i="6" s="1"/>
  <c r="M298" i="6"/>
  <c r="M304" i="6" s="1"/>
  <c r="N640" i="6"/>
  <c r="N641" i="6" s="1"/>
  <c r="N294" i="6" s="1"/>
  <c r="O635" i="6"/>
  <c r="O640" i="6" s="1"/>
  <c r="O641" i="6" s="1"/>
  <c r="O294" i="6" s="1"/>
  <c r="N25" i="4" s="1"/>
  <c r="N26" i="4" s="1"/>
  <c r="N28" i="4" s="1"/>
  <c r="O501" i="6"/>
  <c r="O297" i="6" s="1"/>
  <c r="O502" i="6"/>
  <c r="O301" i="6" s="1"/>
  <c r="O303" i="6" s="1"/>
  <c r="G593" i="6"/>
  <c r="G599" i="6" s="1"/>
  <c r="F607" i="6"/>
  <c r="N558" i="6"/>
  <c r="N349" i="6" s="1"/>
  <c r="N581" i="6"/>
  <c r="N588" i="6" s="1"/>
  <c r="N583" i="6"/>
  <c r="N596" i="6" s="1"/>
  <c r="O261" i="6"/>
  <c r="S17" i="2" s="1"/>
  <c r="S18" i="2" s="1"/>
  <c r="O547" i="6"/>
  <c r="O579" i="6" s="1"/>
  <c r="O323" i="6" s="1"/>
  <c r="L595" i="6" l="1"/>
  <c r="L594" i="6"/>
  <c r="M548" i="6"/>
  <c r="M595" i="6" s="1"/>
  <c r="Q21" i="2"/>
  <c r="M320" i="6"/>
  <c r="O264" i="6"/>
  <c r="O266" i="6" s="1"/>
  <c r="N11" i="4"/>
  <c r="N298" i="6"/>
  <c r="N304" i="6" s="1"/>
  <c r="M25" i="4"/>
  <c r="M26" i="4" s="1"/>
  <c r="M28" i="4" s="1"/>
  <c r="M29" i="4" s="1"/>
  <c r="N267" i="6"/>
  <c r="R20" i="2" s="1"/>
  <c r="M12" i="4"/>
  <c r="M13" i="4" s="1"/>
  <c r="N586" i="6"/>
  <c r="N590" i="6" s="1"/>
  <c r="N307" i="6" s="1"/>
  <c r="O298" i="6"/>
  <c r="O304" i="6" s="1"/>
  <c r="H593" i="6"/>
  <c r="H599" i="6" s="1"/>
  <c r="G607" i="6"/>
  <c r="O558" i="6"/>
  <c r="O349" i="6" s="1"/>
  <c r="O581" i="6"/>
  <c r="O588" i="6" s="1"/>
  <c r="O583" i="6"/>
  <c r="O596" i="6" s="1"/>
  <c r="M594" i="6" l="1"/>
  <c r="M559" i="6"/>
  <c r="M350" i="6" s="1"/>
  <c r="M356" i="6" s="1"/>
  <c r="L104" i="2" s="1"/>
  <c r="N320" i="6"/>
  <c r="R21" i="2"/>
  <c r="O267" i="6"/>
  <c r="S20" i="2" s="1"/>
  <c r="N12" i="4"/>
  <c r="N13" i="4" s="1"/>
  <c r="N548" i="6"/>
  <c r="N559" i="6" s="1"/>
  <c r="N350" i="6" s="1"/>
  <c r="N356" i="6" s="1"/>
  <c r="M104" i="2" s="1"/>
  <c r="N29" i="4"/>
  <c r="O586" i="6"/>
  <c r="O590" i="6" s="1"/>
  <c r="O307" i="6" s="1"/>
  <c r="I593" i="6"/>
  <c r="I599" i="6" s="1"/>
  <c r="H607" i="6"/>
  <c r="O548" i="6" l="1"/>
  <c r="O594" i="6" s="1"/>
  <c r="S21" i="2"/>
  <c r="O320" i="6"/>
  <c r="N595" i="6"/>
  <c r="N594" i="6"/>
  <c r="J593" i="6"/>
  <c r="J599" i="6" s="1"/>
  <c r="K593" i="6" s="1"/>
  <c r="I607" i="6"/>
  <c r="O559" i="6" l="1"/>
  <c r="O350" i="6" s="1"/>
  <c r="O356" i="6" s="1"/>
  <c r="N104" i="2" s="1"/>
  <c r="O595" i="6"/>
  <c r="K599" i="6"/>
  <c r="K308" i="6" s="1"/>
  <c r="J607" i="6"/>
  <c r="L394" i="6"/>
  <c r="L331" i="6" s="1"/>
  <c r="M394" i="6"/>
  <c r="M331" i="6" s="1"/>
  <c r="N394" i="6"/>
  <c r="N331" i="6" s="1"/>
  <c r="O394" i="6"/>
  <c r="O331" i="6" s="1"/>
  <c r="K607" i="6" l="1"/>
  <c r="L593" i="6"/>
  <c r="L599" i="6" s="1"/>
  <c r="L308" i="6" s="1"/>
  <c r="K310" i="6"/>
  <c r="K311" i="6" l="1"/>
  <c r="L63" i="2"/>
  <c r="L607" i="6"/>
  <c r="M593" i="6"/>
  <c r="M599" i="6" s="1"/>
  <c r="M308" i="6" s="1"/>
  <c r="L310" i="6"/>
  <c r="L311" i="6" l="1"/>
  <c r="M63" i="2"/>
  <c r="M607" i="6"/>
  <c r="N593" i="6"/>
  <c r="N599" i="6" s="1"/>
  <c r="N308" i="6" s="1"/>
  <c r="M310" i="6"/>
  <c r="M311" i="6" l="1"/>
  <c r="N63" i="2"/>
  <c r="N607" i="6"/>
  <c r="O593" i="6"/>
  <c r="O599" i="6" s="1"/>
  <c r="O308" i="6" s="1"/>
  <c r="N310" i="6"/>
  <c r="F529" i="6"/>
  <c r="G529" i="6"/>
  <c r="H529" i="6"/>
  <c r="I529" i="6"/>
  <c r="J529" i="6"/>
  <c r="J517" i="6" s="1"/>
  <c r="N311" i="6" l="1"/>
  <c r="O63" i="2"/>
  <c r="O310" i="6"/>
  <c r="O607" i="6"/>
  <c r="I518" i="6"/>
  <c r="I517" i="6"/>
  <c r="H518" i="6"/>
  <c r="H517" i="6"/>
  <c r="G513" i="6"/>
  <c r="G517" i="6"/>
  <c r="F513" i="6"/>
  <c r="F517" i="6"/>
  <c r="J518" i="6"/>
  <c r="G518" i="6"/>
  <c r="F518" i="6"/>
  <c r="I513" i="6"/>
  <c r="H513" i="6"/>
  <c r="J513" i="6"/>
  <c r="F534" i="6"/>
  <c r="F520" i="6" s="1"/>
  <c r="G534" i="6"/>
  <c r="G520" i="6" s="1"/>
  <c r="H534" i="6"/>
  <c r="H521" i="6" s="1"/>
  <c r="I534" i="6"/>
  <c r="I515" i="6" s="1"/>
  <c r="J534" i="6"/>
  <c r="O311" i="6" l="1"/>
  <c r="P63" i="2"/>
  <c r="H520" i="6"/>
  <c r="H515" i="6"/>
  <c r="J521" i="6"/>
  <c r="I521" i="6"/>
  <c r="J520" i="6"/>
  <c r="I520" i="6"/>
  <c r="G515" i="6"/>
  <c r="F515" i="6"/>
  <c r="G521" i="6"/>
  <c r="F521" i="6"/>
  <c r="J515" i="6"/>
  <c r="F539" i="6"/>
  <c r="F514" i="6" s="1"/>
  <c r="G539" i="6"/>
  <c r="G514" i="6" s="1"/>
  <c r="H539" i="6"/>
  <c r="H524" i="6" s="1"/>
  <c r="I539" i="6"/>
  <c r="I524" i="6" s="1"/>
  <c r="J539" i="6"/>
  <c r="G524" i="6" l="1"/>
  <c r="F524" i="6"/>
  <c r="J523" i="6"/>
  <c r="I523" i="6"/>
  <c r="G523" i="6"/>
  <c r="H523" i="6"/>
  <c r="H514" i="6"/>
  <c r="F523" i="6"/>
  <c r="J514" i="6"/>
  <c r="I514" i="6"/>
  <c r="J524" i="6"/>
  <c r="K456" i="6" l="1"/>
  <c r="K459" i="6" s="1"/>
  <c r="K461" i="6" l="1"/>
  <c r="K277" i="6"/>
  <c r="O14" i="2"/>
  <c r="P14" i="2"/>
  <c r="Q14" i="2"/>
  <c r="R14" i="2"/>
  <c r="S14" i="2"/>
  <c r="O15" i="2"/>
  <c r="P15" i="2"/>
  <c r="Q15" i="2"/>
  <c r="R15" i="2"/>
  <c r="S15" i="2"/>
  <c r="E16" i="2"/>
  <c r="L57" i="2"/>
  <c r="M57" i="2"/>
  <c r="N57" i="2"/>
  <c r="O57" i="2"/>
  <c r="P57" i="2"/>
  <c r="L58" i="2"/>
  <c r="M58" i="2"/>
  <c r="N58" i="2"/>
  <c r="O58" i="2"/>
  <c r="P58" i="2"/>
  <c r="L62" i="2"/>
  <c r="M62" i="2"/>
  <c r="N62" i="2"/>
  <c r="O62" i="2"/>
  <c r="P62" i="2"/>
  <c r="D67" i="2"/>
  <c r="D68" i="2"/>
  <c r="D69" i="2"/>
  <c r="C77" i="2"/>
  <c r="J102" i="2"/>
  <c r="K102" i="2"/>
  <c r="L102" i="2"/>
  <c r="M102" i="2"/>
  <c r="N102" i="2"/>
  <c r="J103" i="2"/>
  <c r="K103" i="2"/>
  <c r="L103" i="2"/>
  <c r="M103" i="2"/>
  <c r="N103" i="2"/>
  <c r="J105" i="2"/>
  <c r="K105" i="2"/>
  <c r="L105" i="2"/>
  <c r="M105" i="2"/>
  <c r="N105" i="2"/>
  <c r="J15" i="4"/>
  <c r="K15" i="4"/>
  <c r="L15" i="4"/>
  <c r="M15" i="4"/>
  <c r="N15" i="4"/>
  <c r="J16" i="4"/>
  <c r="K16" i="4"/>
  <c r="L16" i="4"/>
  <c r="M16" i="4"/>
  <c r="N16" i="4"/>
  <c r="J31" i="4"/>
  <c r="K31" i="4"/>
  <c r="L31" i="4"/>
  <c r="M31" i="4"/>
  <c r="N31" i="4"/>
  <c r="H40" i="4"/>
  <c r="I40" i="4"/>
  <c r="J40" i="4"/>
  <c r="K40" i="4"/>
  <c r="L40" i="4"/>
  <c r="M40" i="4"/>
  <c r="H43" i="4"/>
  <c r="I43" i="4"/>
  <c r="J43" i="4"/>
  <c r="K43" i="4"/>
  <c r="L43" i="4"/>
  <c r="L44" i="4"/>
  <c r="H45" i="4"/>
  <c r="I45" i="4"/>
  <c r="J45" i="4"/>
  <c r="K45" i="4"/>
  <c r="L45" i="4"/>
  <c r="H50" i="4"/>
  <c r="I50" i="4"/>
  <c r="J50" i="4"/>
  <c r="K50" i="4"/>
  <c r="L50" i="4"/>
  <c r="L51" i="4"/>
  <c r="H52" i="4"/>
  <c r="I52" i="4"/>
  <c r="J52" i="4"/>
  <c r="K52" i="4"/>
  <c r="L52" i="4"/>
  <c r="E56" i="4"/>
  <c r="I56" i="4"/>
  <c r="J56" i="4"/>
  <c r="E57" i="4"/>
  <c r="I57" i="4"/>
  <c r="J57" i="4"/>
  <c r="I58" i="4"/>
  <c r="J58" i="4"/>
  <c r="E61" i="4"/>
  <c r="J61" i="4"/>
  <c r="E63" i="4"/>
  <c r="J63" i="4"/>
  <c r="K276" i="6"/>
  <c r="L276" i="6"/>
  <c r="M276" i="6"/>
  <c r="N276" i="6"/>
  <c r="O276" i="6"/>
  <c r="K282" i="6"/>
  <c r="L282" i="6"/>
  <c r="M282" i="6"/>
  <c r="N282" i="6"/>
  <c r="O282" i="6"/>
  <c r="K286" i="6"/>
  <c r="L286" i="6"/>
  <c r="M286" i="6"/>
  <c r="N286" i="6"/>
  <c r="O286" i="6"/>
  <c r="K288" i="6"/>
  <c r="L288" i="6"/>
  <c r="M288" i="6"/>
  <c r="N288" i="6"/>
  <c r="O288" i="6"/>
  <c r="K289" i="6"/>
  <c r="L289" i="6"/>
  <c r="M289" i="6"/>
  <c r="N289" i="6"/>
  <c r="O289" i="6"/>
  <c r="K313" i="6"/>
  <c r="L313" i="6"/>
  <c r="M313" i="6"/>
  <c r="N313" i="6"/>
  <c r="O313" i="6"/>
  <c r="K314" i="6"/>
  <c r="L314" i="6"/>
  <c r="M314" i="6"/>
  <c r="N314" i="6"/>
  <c r="O314" i="6"/>
  <c r="K322" i="6"/>
  <c r="L322" i="6"/>
  <c r="M322" i="6"/>
  <c r="N322" i="6"/>
  <c r="O322" i="6"/>
  <c r="K334" i="6"/>
  <c r="L334" i="6"/>
  <c r="M334" i="6"/>
  <c r="N334" i="6"/>
  <c r="O334" i="6"/>
  <c r="K337" i="6"/>
  <c r="L337" i="6"/>
  <c r="M337" i="6"/>
  <c r="N337" i="6"/>
  <c r="O337" i="6"/>
  <c r="K338" i="6"/>
  <c r="L338" i="6"/>
  <c r="M338" i="6"/>
  <c r="N338" i="6"/>
  <c r="O338" i="6"/>
  <c r="K339" i="6"/>
  <c r="L339" i="6"/>
  <c r="M339" i="6"/>
  <c r="N339" i="6"/>
  <c r="O339" i="6"/>
  <c r="K340" i="6"/>
  <c r="L340" i="6"/>
  <c r="M340" i="6"/>
  <c r="N340" i="6"/>
  <c r="O340" i="6"/>
  <c r="K341" i="6"/>
  <c r="L341" i="6"/>
  <c r="M341" i="6"/>
  <c r="N341" i="6"/>
  <c r="O341" i="6"/>
  <c r="K342" i="6"/>
  <c r="L342" i="6"/>
  <c r="M342" i="6"/>
  <c r="N342" i="6"/>
  <c r="O342" i="6"/>
  <c r="K343" i="6"/>
  <c r="L343" i="6"/>
  <c r="M343" i="6"/>
  <c r="N343" i="6"/>
  <c r="O343" i="6"/>
  <c r="K344" i="6"/>
  <c r="L344" i="6"/>
  <c r="M344" i="6"/>
  <c r="N344" i="6"/>
  <c r="O344" i="6"/>
  <c r="K345" i="6"/>
  <c r="L345" i="6"/>
  <c r="M345" i="6"/>
  <c r="N345" i="6"/>
  <c r="O345" i="6"/>
  <c r="L358" i="6"/>
  <c r="M358" i="6"/>
  <c r="N358" i="6"/>
  <c r="O358" i="6"/>
  <c r="K359" i="6"/>
  <c r="L359" i="6"/>
  <c r="M359" i="6"/>
  <c r="N359" i="6"/>
  <c r="O359" i="6"/>
  <c r="K360" i="6"/>
  <c r="L360" i="6"/>
  <c r="M360" i="6"/>
  <c r="N360" i="6"/>
  <c r="O360" i="6"/>
  <c r="K404" i="6"/>
  <c r="L404" i="6"/>
  <c r="M404" i="6"/>
  <c r="N404" i="6"/>
  <c r="O404" i="6"/>
  <c r="K406" i="6"/>
  <c r="L406" i="6"/>
  <c r="M406" i="6"/>
  <c r="N406" i="6"/>
  <c r="O406" i="6"/>
  <c r="K408" i="6"/>
  <c r="L408" i="6"/>
  <c r="M408" i="6"/>
  <c r="N408" i="6"/>
  <c r="O408" i="6"/>
  <c r="I429" i="6"/>
  <c r="J429" i="6"/>
  <c r="K429" i="6"/>
  <c r="L429" i="6"/>
  <c r="M429" i="6"/>
  <c r="N429" i="6"/>
  <c r="O429" i="6"/>
  <c r="I430" i="6"/>
  <c r="J430" i="6"/>
  <c r="K430" i="6"/>
  <c r="L430" i="6"/>
  <c r="M430" i="6"/>
  <c r="N430" i="6"/>
  <c r="O430" i="6"/>
  <c r="I431" i="6"/>
  <c r="J431" i="6"/>
  <c r="K431" i="6"/>
  <c r="L431" i="6"/>
  <c r="M431" i="6"/>
  <c r="N431" i="6"/>
  <c r="O431" i="6"/>
  <c r="I432" i="6"/>
  <c r="J432" i="6"/>
  <c r="K432" i="6"/>
  <c r="L432" i="6"/>
  <c r="M432" i="6"/>
  <c r="N432" i="6"/>
  <c r="O432" i="6"/>
  <c r="I433" i="6"/>
  <c r="J433" i="6"/>
  <c r="K433" i="6"/>
  <c r="L433" i="6"/>
  <c r="M433" i="6"/>
  <c r="N433" i="6"/>
  <c r="O433" i="6"/>
  <c r="K438" i="6"/>
  <c r="L438" i="6"/>
  <c r="M438" i="6"/>
  <c r="N438" i="6"/>
  <c r="O438" i="6"/>
  <c r="K439" i="6"/>
  <c r="L439" i="6"/>
  <c r="M439" i="6"/>
  <c r="N439" i="6"/>
  <c r="O439" i="6"/>
  <c r="L449" i="6"/>
  <c r="M449" i="6"/>
  <c r="N449" i="6"/>
  <c r="O449" i="6"/>
  <c r="K450" i="6"/>
  <c r="L450" i="6"/>
  <c r="M450" i="6"/>
  <c r="N450" i="6"/>
  <c r="O450" i="6"/>
  <c r="K451" i="6"/>
  <c r="L451" i="6"/>
  <c r="M451" i="6"/>
  <c r="N451" i="6"/>
  <c r="O451" i="6"/>
  <c r="K452" i="6"/>
  <c r="L452" i="6"/>
  <c r="M452" i="6"/>
  <c r="N452" i="6"/>
  <c r="O452" i="6"/>
</calcChain>
</file>

<file path=xl/sharedStrings.xml><?xml version="1.0" encoding="utf-8"?>
<sst xmlns="http://schemas.openxmlformats.org/spreadsheetml/2006/main" count="721" uniqueCount="407">
  <si>
    <t>Valuation Model</t>
  </si>
  <si>
    <t>Table of Contents</t>
  </si>
  <si>
    <t>Dashboard</t>
  </si>
  <si>
    <t>WACC</t>
  </si>
  <si>
    <t>DCF</t>
  </si>
  <si>
    <t>Comparable Company Analysis</t>
  </si>
  <si>
    <t>Financial Model</t>
  </si>
  <si>
    <t>Days in Period</t>
  </si>
  <si>
    <t>Income Statement</t>
  </si>
  <si>
    <t>Balance Sheet</t>
  </si>
  <si>
    <t>Goodwill &amp; Intangible Assets, Net (YoY Growth Rate)</t>
  </si>
  <si>
    <t>Other Current Liabilities (% of Revenue)</t>
  </si>
  <si>
    <t>Other Non-Current Liabilities (YoY Growth Rate)</t>
  </si>
  <si>
    <t>Cash Flow Statement</t>
  </si>
  <si>
    <t>Revenues</t>
  </si>
  <si>
    <t>Cost of Goods Sold (COGS)</t>
  </si>
  <si>
    <t>Gross Profit</t>
  </si>
  <si>
    <t>Operarting Expenese</t>
  </si>
  <si>
    <t>Total Operating Expenses</t>
  </si>
  <si>
    <t>Operating Income (EBIT)</t>
  </si>
  <si>
    <t>Income Before Tax (EBT)</t>
  </si>
  <si>
    <t>Income Tax (benefit) Expense</t>
  </si>
  <si>
    <t>Net Income (loss)</t>
  </si>
  <si>
    <t>Assets</t>
  </si>
  <si>
    <t>Current assets:</t>
  </si>
  <si>
    <t>Cash and cash equivalents</t>
  </si>
  <si>
    <t>Accounts receivable</t>
  </si>
  <si>
    <t>Inventories</t>
  </si>
  <si>
    <t>Other current assets</t>
  </si>
  <si>
    <t>Total current assets</t>
  </si>
  <si>
    <t>Non-current assets:</t>
  </si>
  <si>
    <t>Property and equipment, net</t>
  </si>
  <si>
    <t>Other non-current assets</t>
  </si>
  <si>
    <t>Total assets</t>
  </si>
  <si>
    <t>Liabilities and Shareholders’ Deficit</t>
  </si>
  <si>
    <t>Current liabilities:</t>
  </si>
  <si>
    <t>Accounts payable</t>
  </si>
  <si>
    <t>Other current liabilities</t>
  </si>
  <si>
    <t>Total current liabilities</t>
  </si>
  <si>
    <t>Non-current liabilities:</t>
  </si>
  <si>
    <t>Other non-current liabilities</t>
  </si>
  <si>
    <t>Total liabilities</t>
  </si>
  <si>
    <t>Shareholders’ deficit:</t>
  </si>
  <si>
    <t>Common stock</t>
  </si>
  <si>
    <t>Total shareholders’ deficit</t>
  </si>
  <si>
    <t>Total liabilities and shareholders’ deficit</t>
  </si>
  <si>
    <t>Balance Sheet Check</t>
  </si>
  <si>
    <t>Cash flows from operating activities:</t>
  </si>
  <si>
    <t>Net income</t>
  </si>
  <si>
    <t>Depreciation and amortization</t>
  </si>
  <si>
    <t>Changes in operating assets and liabilities:</t>
  </si>
  <si>
    <t>Net cash provided by operating activities</t>
  </si>
  <si>
    <t>Cash flows from investing activities:</t>
  </si>
  <si>
    <t>Net cash used in investing activities</t>
  </si>
  <si>
    <t>Cash flows from financing activities:</t>
  </si>
  <si>
    <t>Repurchases of common stock</t>
  </si>
  <si>
    <t>Proceeds from issuance of common stock</t>
  </si>
  <si>
    <t>Net cash used in financing activities</t>
  </si>
  <si>
    <t>Cash and cash equivalents, at beginning of period</t>
  </si>
  <si>
    <t>Net (decrease) increase in cash and cash equivalents</t>
  </si>
  <si>
    <t>Cash and cash equivalents, at end of period</t>
  </si>
  <si>
    <t>Products</t>
  </si>
  <si>
    <t>Services</t>
  </si>
  <si>
    <t>Total Net Sales</t>
  </si>
  <si>
    <t>Total Cost of Sales</t>
  </si>
  <si>
    <t>Selling, General &amp; Administrative (SG&amp;A)</t>
  </si>
  <si>
    <t>Research &amp; Development (R&amp;D)</t>
  </si>
  <si>
    <t>Other income / (expense), net</t>
  </si>
  <si>
    <t>Marketable Securities</t>
  </si>
  <si>
    <t>Accounts receivable, net</t>
  </si>
  <si>
    <t>Vendor non-trade receivables</t>
  </si>
  <si>
    <t>Total non-current assets</t>
  </si>
  <si>
    <t>Deferred revenue</t>
  </si>
  <si>
    <t>Commercial paper</t>
  </si>
  <si>
    <t>Term debt</t>
  </si>
  <si>
    <t>Total non-current liabilities</t>
  </si>
  <si>
    <t>Accumulated other comprehensive income</t>
  </si>
  <si>
    <t>Retained Earnings</t>
  </si>
  <si>
    <t>Adjustments to reconcile net income to cash generated by operating activities:</t>
  </si>
  <si>
    <t>Share-based compensation expense</t>
  </si>
  <si>
    <t>Deferred income tax benefit</t>
  </si>
  <si>
    <t>Other</t>
  </si>
  <si>
    <t>Other current &amp; non-current assets</t>
  </si>
  <si>
    <t>Other current &amp; non-current liabilities</t>
  </si>
  <si>
    <t>Purchases of marketable securities</t>
  </si>
  <si>
    <t>Proceeds from maturities of marketable securities</t>
  </si>
  <si>
    <t>Proceeds from sales of marketable securities</t>
  </si>
  <si>
    <t>Payments for acquisition of property, plant and equipment</t>
  </si>
  <si>
    <t>Payments made in connection with business acquisitions, net</t>
  </si>
  <si>
    <t>Purchases of non-marketable securities</t>
  </si>
  <si>
    <t>Proceeds from non-marketable securities</t>
  </si>
  <si>
    <t>Payments for taxes related to net share settlement of equity awards</t>
  </si>
  <si>
    <t>Payments for dividends and dividend equivalents</t>
  </si>
  <si>
    <t>Proceeds from issuance of term debt, net</t>
  </si>
  <si>
    <t>Repayments of term debt</t>
  </si>
  <si>
    <t>Proceeds from/(Repayments of) commercial paper, net</t>
  </si>
  <si>
    <t>Revenue</t>
  </si>
  <si>
    <t>Cost of Goods Sold</t>
  </si>
  <si>
    <t>Accounts Receivable Days</t>
  </si>
  <si>
    <t>Inventory Days</t>
  </si>
  <si>
    <t>Accounts Payable Days</t>
  </si>
  <si>
    <t>Working Capital</t>
  </si>
  <si>
    <t>Accounts Receivable</t>
  </si>
  <si>
    <t>Inventory</t>
  </si>
  <si>
    <t>Accounts Payable</t>
  </si>
  <si>
    <t>Change in Working Capital</t>
  </si>
  <si>
    <t>Research &amp; Development (R&amp;D) (% of Revenue)</t>
  </si>
  <si>
    <t>Selling, General &amp; Administrative (SG&amp;A) (% of Revenue)</t>
  </si>
  <si>
    <t>Other income / (expense), net (% of Revenue)</t>
  </si>
  <si>
    <t>Other Current Assets  (% of Revenue)</t>
  </si>
  <si>
    <t>Marketable securities, current (% of Revenue)</t>
  </si>
  <si>
    <t>Other Non-Current Assets (% of Revenue)</t>
  </si>
  <si>
    <t>Deferred Revenue</t>
  </si>
  <si>
    <t>Commerical Paper</t>
  </si>
  <si>
    <t>Term Debt</t>
  </si>
  <si>
    <t>Share-Based Compensation Expense (% of Revenue)</t>
  </si>
  <si>
    <t>Live Case</t>
  </si>
  <si>
    <t>Case Scenarios</t>
  </si>
  <si>
    <t>Base Case</t>
  </si>
  <si>
    <t>Optimistic Case</t>
  </si>
  <si>
    <t>Pessimistic Case</t>
  </si>
  <si>
    <t>Case Switch</t>
  </si>
  <si>
    <t>Revenue, Product (YoY Growth)</t>
  </si>
  <si>
    <t>Revenue, Services (YoY Growth)</t>
  </si>
  <si>
    <t>Cost of Sales, Products</t>
  </si>
  <si>
    <t>Cost of Sales, Services</t>
  </si>
  <si>
    <t>Depreciation Schedule</t>
  </si>
  <si>
    <t>All figures in USD millions unless stated</t>
  </si>
  <si>
    <t>Capex</t>
  </si>
  <si>
    <t>EXISTING ASSETS</t>
  </si>
  <si>
    <t>Years</t>
  </si>
  <si>
    <t>Useful Life: Existing Assets</t>
  </si>
  <si>
    <t>PP&amp;E at End of 2024</t>
  </si>
  <si>
    <t>Percent of Full Year</t>
  </si>
  <si>
    <t>First Year Accounting Depreciation</t>
  </si>
  <si>
    <t>Year</t>
  </si>
  <si>
    <t>Life</t>
  </si>
  <si>
    <t>Amounts for Depreciation</t>
  </si>
  <si>
    <t>Per Yr</t>
  </si>
  <si>
    <t>Total Asset Depreciation</t>
  </si>
  <si>
    <t>Existing Assets</t>
  </si>
  <si>
    <t>New Assets</t>
  </si>
  <si>
    <t>D&amp;A</t>
  </si>
  <si>
    <t>Other Amortization Expense</t>
  </si>
  <si>
    <t>Depreiciation on PP&amp;E</t>
  </si>
  <si>
    <t>Other Amortization Expense (% of Revenue)</t>
  </si>
  <si>
    <t>Property &amp; Equipment, Beginning</t>
  </si>
  <si>
    <t>Capital Expenditue (Capex)</t>
  </si>
  <si>
    <t>Depreciation on Property &amp; Equipment</t>
  </si>
  <si>
    <t>Property &amp; Equipment, Ending</t>
  </si>
  <si>
    <t>Total Depreciation, PP&amp;E</t>
  </si>
  <si>
    <t>Weighted Average Useful Life: Existing Assets</t>
  </si>
  <si>
    <t>Land &amp; Building</t>
  </si>
  <si>
    <t>Machinery &amp; Equipment</t>
  </si>
  <si>
    <t>Leasehold Improvement</t>
  </si>
  <si>
    <t>Total Weighted Average Useful Life</t>
  </si>
  <si>
    <t>Calculate Change in Working Capital</t>
  </si>
  <si>
    <t>Difference</t>
  </si>
  <si>
    <t>Accounts Receivable (Change from Cash Flow Statement)</t>
  </si>
  <si>
    <t>A/R (Calculated Change)</t>
  </si>
  <si>
    <t>Inventory, (Change from Cash Flow Statement)</t>
  </si>
  <si>
    <t>A/P, (Change from Cash Flow Statement)</t>
  </si>
  <si>
    <t>Inventory, (Calculated Change)</t>
  </si>
  <si>
    <t>A/P, (Calculated Change)</t>
  </si>
  <si>
    <t>Right-of-use assets:</t>
  </si>
  <si>
    <t>Operating Lease Schedule</t>
  </si>
  <si>
    <t>Operating Lease, Other current liabilities</t>
  </si>
  <si>
    <t>Operating Lease, Other non-current liabilities</t>
  </si>
  <si>
    <t>Finance Lease, Other current liabilities</t>
  </si>
  <si>
    <t>Finance Lease, Other non-current liabilities</t>
  </si>
  <si>
    <t>Operating Lease, other non-current assets</t>
  </si>
  <si>
    <t>Total Operating Lease Liability</t>
  </si>
  <si>
    <t>Operating Lease Liabilities:</t>
  </si>
  <si>
    <t>Finance Lease Liabilities:</t>
  </si>
  <si>
    <t>Finance Lease, PP&amp;E</t>
  </si>
  <si>
    <t>Total ROU Assets</t>
  </si>
  <si>
    <t>Operating Lease, other non-current assets (% of Total ROU)</t>
  </si>
  <si>
    <t>Finance Lease, PP&amp;E (% of Total)</t>
  </si>
  <si>
    <t>Operating Lease, Other current liabilities (% of Total)</t>
  </si>
  <si>
    <t>Operating Lease, Other non-current liabilities (% of Total)</t>
  </si>
  <si>
    <t>Finance Lease, Other current liabilities (% of Total)</t>
  </si>
  <si>
    <t>Finance Lease, Other non-current liabilities (% of Total)</t>
  </si>
  <si>
    <t>Total ROU Assets (% of Revenue)</t>
  </si>
  <si>
    <t>Total Operating Lease (% of Revenue)</t>
  </si>
  <si>
    <t>Total Finance Lease Liabilities</t>
  </si>
  <si>
    <t>Total Finance Lease (% of Revenue)</t>
  </si>
  <si>
    <t>Equity Schedule</t>
  </si>
  <si>
    <t>Net Income</t>
  </si>
  <si>
    <t>Proceeds from issuance of common stock (% of Revenue)</t>
  </si>
  <si>
    <t>COMMON EQUITY (Cash Flow Statement Items)</t>
  </si>
  <si>
    <t>Common stock and additional paid-in capital:</t>
  </si>
  <si>
    <t>Beginning balances</t>
  </si>
  <si>
    <t>Common stock issued</t>
  </si>
  <si>
    <t>Common stock withheld related to net share settlement of equity awards</t>
  </si>
  <si>
    <t>Share-based compensation</t>
  </si>
  <si>
    <t>Ending balances</t>
  </si>
  <si>
    <t>Retained earnings/(Accumulated deficit):</t>
  </si>
  <si>
    <t>Dividends and dividend equivalents declared</t>
  </si>
  <si>
    <t>Common stock repurchased</t>
  </si>
  <si>
    <t>Accumulated other comprehensive income/(loss):</t>
  </si>
  <si>
    <t>Other comprehensive income/(loss)</t>
  </si>
  <si>
    <t>Total shareholders’ equity, ending balances</t>
  </si>
  <si>
    <t>Share Based Compensation Expense</t>
  </si>
  <si>
    <t>Share Based Compensation</t>
  </si>
  <si>
    <t>Common Stock &amp; APIC</t>
  </si>
  <si>
    <t>Cumulative effects of changes in accounting principles</t>
  </si>
  <si>
    <t>Share Based Compensation (% of Revenue)</t>
  </si>
  <si>
    <t>Share-Based Compensation Expense (% of Total Operating Expense)</t>
  </si>
  <si>
    <t>Share Based Compensation Expense (% of Total Operating Expense)</t>
  </si>
  <si>
    <t>Total Operating Expense</t>
  </si>
  <si>
    <t>Payments for taxes related to net share settlement of equity awards (% of SBC Expense)</t>
  </si>
  <si>
    <t>Common stock issued (% of Share Based Compensation)</t>
  </si>
  <si>
    <t>Common stock related to net share settlement of equity awards (Common Stock; % of SBC Expense)</t>
  </si>
  <si>
    <t>Common stock related to net share settlement of equity awards (Retained Earnings; % of SBC Expense)</t>
  </si>
  <si>
    <t>Common stock repurchased (% of Revenue)</t>
  </si>
  <si>
    <t>Common stock repurchased (% of revenue)</t>
  </si>
  <si>
    <t>Repurchases of common stock (% of Revenue)</t>
  </si>
  <si>
    <t>Consolidated Statement of Shareholder's Equity</t>
  </si>
  <si>
    <t>Dividend &amp; dividend equivalents declared (% of Net Income)</t>
  </si>
  <si>
    <t>Payments for dividends and dividend equivalents (% of Net Income)</t>
  </si>
  <si>
    <t>Dividends and dividend equivalents declared (% of Net Income)</t>
  </si>
  <si>
    <t>CONSOLIDATED STATEMENT OF SHAREHOLDER'S EQUITY</t>
  </si>
  <si>
    <t>Asset Schedule</t>
  </si>
  <si>
    <t>PROPERTY, PLANT &amp; EQUIPMENT (PP&amp;E)</t>
  </si>
  <si>
    <t>MARKETABLE SECURITIES</t>
  </si>
  <si>
    <t>Marketable Securities (Current)</t>
  </si>
  <si>
    <t>Marketable Securities (Non-Current)</t>
  </si>
  <si>
    <t>Total Marketable Securities</t>
  </si>
  <si>
    <t>Marketable Securities (Current; % of Revenue)</t>
  </si>
  <si>
    <t>Marketable Securities (Non-Current; % of Revenue)</t>
  </si>
  <si>
    <t>Marketable securities, non-current (% of Revenue)</t>
  </si>
  <si>
    <t>VENDOR NON-TRDE RECEIVABLES</t>
  </si>
  <si>
    <t>Change in vendor non-trade receivables</t>
  </si>
  <si>
    <t>Vendor non-trade receivables, Beginning</t>
  </si>
  <si>
    <t>Vendor non-trade receivables, Ending</t>
  </si>
  <si>
    <t>Cost of Sales</t>
  </si>
  <si>
    <t>Vendor non-trade receivables, Ending (% of Cost of Sales)</t>
  </si>
  <si>
    <t>Vendor non-trade receivables (% of Cost of Sales)</t>
  </si>
  <si>
    <t>Liabilities &amp; Debt Schedule</t>
  </si>
  <si>
    <t>Term Debt, current</t>
  </si>
  <si>
    <t>Term Debt, non-current</t>
  </si>
  <si>
    <t>Deferred Revenue, current liability</t>
  </si>
  <si>
    <t>Deferred Revenue, current liability (% of Revenue)</t>
  </si>
  <si>
    <t>Commercial Paper, Beginning</t>
  </si>
  <si>
    <t>Commercial Paper, Ending</t>
  </si>
  <si>
    <t>Small Adjustment</t>
  </si>
  <si>
    <t>Commercial Paper, Ending (% of Revenue)</t>
  </si>
  <si>
    <t>DEFERRED REVENUE</t>
  </si>
  <si>
    <t>COMMERICAL PAPER</t>
  </si>
  <si>
    <t>TERM DEBT</t>
  </si>
  <si>
    <t>Term Debt, current (% of Total)</t>
  </si>
  <si>
    <t>Term Debt, non-current (% of Total)</t>
  </si>
  <si>
    <t>Total Term Debt, Ending</t>
  </si>
  <si>
    <t>Proceeds from issuance of term debt, net (% of Revenue)</t>
  </si>
  <si>
    <t>Repayments of term debt (% of Revenue)</t>
  </si>
  <si>
    <t>Deferred Income Tax Benefit</t>
  </si>
  <si>
    <t>Other Assets &amp; Liabilities (Current &amp; Non-Current)</t>
  </si>
  <si>
    <t>Other Current Assets</t>
  </si>
  <si>
    <t>Other Current Assets (% of Revenue)</t>
  </si>
  <si>
    <t>OTHER NON-CURRENT ASSETS</t>
  </si>
  <si>
    <t>Other non-current Assets</t>
  </si>
  <si>
    <t>Deferred tax assets</t>
  </si>
  <si>
    <t>Total other non-current assets</t>
  </si>
  <si>
    <t>Deferred Tax Assets (% of Revenue)</t>
  </si>
  <si>
    <t>Change in Other Current &amp; Non-Current Assets</t>
  </si>
  <si>
    <t>OTHER CURRENT ASSETS</t>
  </si>
  <si>
    <t>Change in Other Current &amp; Non-Current Assets (% of Revenue)</t>
  </si>
  <si>
    <t>OTHER CURRENT LIABILITIES</t>
  </si>
  <si>
    <t>Income tax payable</t>
  </si>
  <si>
    <t>Total other current liabilities</t>
  </si>
  <si>
    <t>Income tax payable (% of Revenue)</t>
  </si>
  <si>
    <t>Other current liabilities (% of Revenue)</t>
  </si>
  <si>
    <t>OTHER NON-CURRENT LIABILITIES</t>
  </si>
  <si>
    <t>Total other non-current liabilities</t>
  </si>
  <si>
    <t>Other non-current liabilities (% of Revenue)</t>
  </si>
  <si>
    <t>Change in Other current &amp; non-current liabilities</t>
  </si>
  <si>
    <t>Change in Other current &amp; non-current liabilities (% of Revenue)</t>
  </si>
  <si>
    <t>Other Amortization Expenses</t>
  </si>
  <si>
    <t>Other amortization expenses</t>
  </si>
  <si>
    <t>Other amortizaton expenses</t>
  </si>
  <si>
    <t>Income Tax (% of EBT)</t>
  </si>
  <si>
    <t>Working Capital Schedule</t>
  </si>
  <si>
    <t>Cost of Sales, Products (% of Product Revenue)</t>
  </si>
  <si>
    <t>Cost of Sales, Services (% of Services Revenue)</t>
  </si>
  <si>
    <t>Total Term Debt (% of Revenue)</t>
  </si>
  <si>
    <t>Weighted Average Cost of Capital (WACC)</t>
  </si>
  <si>
    <t>Total Value</t>
  </si>
  <si>
    <t>Terminal Growth Rate</t>
  </si>
  <si>
    <t>EQUITY</t>
  </si>
  <si>
    <t>DEBT</t>
  </si>
  <si>
    <t>($/sh)</t>
  </si>
  <si>
    <t>Weight of Equity</t>
  </si>
  <si>
    <t>Number of Shares Outstanding</t>
  </si>
  <si>
    <t>Total Debt</t>
  </si>
  <si>
    <t>Cost of Equity</t>
  </si>
  <si>
    <t>Market Value of Equity ($)</t>
  </si>
  <si>
    <t>Weight of Debt</t>
  </si>
  <si>
    <t>Annual Interest Expense</t>
  </si>
  <si>
    <t>After-Tax Cost of Debt</t>
  </si>
  <si>
    <t>Risk-free Rate</t>
  </si>
  <si>
    <t>Before Tax Cost of Debt</t>
  </si>
  <si>
    <t>Beta</t>
  </si>
  <si>
    <t>Tax Rate</t>
  </si>
  <si>
    <t>Equity Risk Premium</t>
  </si>
  <si>
    <t>Market Value of Equity (numbers in millions unless stated)</t>
  </si>
  <si>
    <t>Commercial Paper</t>
  </si>
  <si>
    <t>Unlevered Free Cash Flow</t>
  </si>
  <si>
    <t>Income tax (% of EBIT)</t>
  </si>
  <si>
    <t>Less: Income Taxes</t>
  </si>
  <si>
    <t>Adjusted NOPAT</t>
  </si>
  <si>
    <t>Depreciation &amp; Amortization (D&amp;A)</t>
  </si>
  <si>
    <t>Purchase of Property &amp; Equipment (CAPEX)</t>
  </si>
  <si>
    <t>Change in Net Working Capital</t>
  </si>
  <si>
    <t>Total</t>
  </si>
  <si>
    <t>Other Current Liabilities</t>
  </si>
  <si>
    <t>Net Working Capital (NWC)</t>
  </si>
  <si>
    <t>Unlevered Free Cash Flow (UFCF)</t>
  </si>
  <si>
    <t>Discounted Free Cashflow Schedule (DCF): Perpetuity Method</t>
  </si>
  <si>
    <t>Valuation</t>
  </si>
  <si>
    <t>Discrete Forecast</t>
  </si>
  <si>
    <t>Terminal</t>
  </si>
  <si>
    <t>(YY-MM-DD)</t>
  </si>
  <si>
    <t>Fiscal Year End</t>
  </si>
  <si>
    <t>Unadjusted Cash Flow</t>
  </si>
  <si>
    <t>Terminal Value</t>
  </si>
  <si>
    <t>Total Cash Flow</t>
  </si>
  <si>
    <t>Time Period</t>
  </si>
  <si>
    <t>Manually Discounted Cash Flow</t>
  </si>
  <si>
    <t>ENTERPRISE VALUE</t>
  </si>
  <si>
    <t>Manual Method</t>
  </si>
  <si>
    <t>PV of Discrete</t>
  </si>
  <si>
    <t>Debt</t>
  </si>
  <si>
    <t>XNPV Method</t>
  </si>
  <si>
    <t>PV of Terminal</t>
  </si>
  <si>
    <t>Cash</t>
  </si>
  <si>
    <t>Enterprise Value</t>
  </si>
  <si>
    <t>Net Debt</t>
  </si>
  <si>
    <t>EQUITY VALUE</t>
  </si>
  <si>
    <t>EQUITY VALUE PER SHARE</t>
  </si>
  <si>
    <t>Equity Value</t>
  </si>
  <si>
    <t>Less: Net Debt</t>
  </si>
  <si>
    <t>Shares Outstanding</t>
  </si>
  <si>
    <t>Equity Vaue per Share</t>
  </si>
  <si>
    <t>Sensitivity Analysis</t>
  </si>
  <si>
    <t>Equity Value Per Share</t>
  </si>
  <si>
    <t>Current Share Price</t>
  </si>
  <si>
    <t>Premium (Discount) on Share Price</t>
  </si>
  <si>
    <t>(Based on 2024 Data)</t>
  </si>
  <si>
    <t>NET DEBT (2024 Data)</t>
  </si>
  <si>
    <t>Overview &amp; Key Trends (2019 - 2029)</t>
  </si>
  <si>
    <t>Company Name</t>
  </si>
  <si>
    <t>Ticker</t>
  </si>
  <si>
    <t>P/E Ratio</t>
  </si>
  <si>
    <t>EV/EBITDA Ratio</t>
  </si>
  <si>
    <t>CAGR (2019 to 2024)</t>
  </si>
  <si>
    <t>Enterprise Value (DCF)</t>
  </si>
  <si>
    <t>(USD thousands)</t>
  </si>
  <si>
    <t>Financial Performance Overview (2019 - 2024)</t>
  </si>
  <si>
    <t>LIQUIDITY RATIOS</t>
  </si>
  <si>
    <t>Current Ratio</t>
  </si>
  <si>
    <t>Quick Ratio</t>
  </si>
  <si>
    <t>Debt-to-Asset Ratio</t>
  </si>
  <si>
    <t>Public Company Comparable</t>
  </si>
  <si>
    <t>Peer Companies</t>
  </si>
  <si>
    <t>Share Price</t>
  </si>
  <si>
    <t>EBITDA</t>
  </si>
  <si>
    <t>EV / EBITDA</t>
  </si>
  <si>
    <t>EPS</t>
  </si>
  <si>
    <t>P / E Ratio</t>
  </si>
  <si>
    <t>(LTM)</t>
  </si>
  <si>
    <t>Target Company Valuation</t>
  </si>
  <si>
    <t>Average</t>
  </si>
  <si>
    <t>Median</t>
  </si>
  <si>
    <t>Maximum</t>
  </si>
  <si>
    <t>Minimum</t>
  </si>
  <si>
    <t>Apple Inc.</t>
  </si>
  <si>
    <t>AAPL</t>
  </si>
  <si>
    <t>Hewlett Packard Enterprise Company</t>
  </si>
  <si>
    <t>HPE</t>
  </si>
  <si>
    <t>Dell Technologies Inc.</t>
  </si>
  <si>
    <t>DELL</t>
  </si>
  <si>
    <t>Microsoft</t>
  </si>
  <si>
    <t>Alphabet</t>
  </si>
  <si>
    <t>GOOG</t>
  </si>
  <si>
    <t>MSFT</t>
  </si>
  <si>
    <t>QUALCOMM Inc.</t>
  </si>
  <si>
    <t>QCOM</t>
  </si>
  <si>
    <t>Debt to Equity</t>
  </si>
  <si>
    <t>SOLVENCY RATIOS</t>
  </si>
  <si>
    <t>Dashboard Data</t>
  </si>
  <si>
    <t>CASH FLOW STATEMENT</t>
  </si>
  <si>
    <t>Operations</t>
  </si>
  <si>
    <t>Investing</t>
  </si>
  <si>
    <t>Financing</t>
  </si>
  <si>
    <t>Change in Cash</t>
  </si>
  <si>
    <t>EBITDA Margin</t>
  </si>
  <si>
    <t>Net Income Margin</t>
  </si>
  <si>
    <t>Gross Profit Margin</t>
  </si>
  <si>
    <t>Enterprise Value (CCA; High)</t>
  </si>
  <si>
    <t>Enterprise Value (CCA; Low)</t>
  </si>
  <si>
    <t>Enterprise Value (CCA; Avg.)</t>
  </si>
  <si>
    <t>Operating Profit</t>
  </si>
  <si>
    <t>Operating Profit Margin</t>
  </si>
  <si>
    <t>(Mar 30, 2025)</t>
  </si>
  <si>
    <t>REVENUE TREND</t>
  </si>
  <si>
    <t>NET INCOME TREND</t>
  </si>
  <si>
    <t>Share Price (As on 11 April 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</si>
</sst>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0">
    <numFmt numFmtId="44" formatCode="_ &quot;₹&quot;\ * #,##0.00_ ;_ &quot;₹&quot;\ * \-#,##0.00_ ;_ &quot;₹&quot;\ * &quot;-&quot;??_ ;_ @_ "/>
    <numFmt numFmtId="43" formatCode="_ * #,##0.00_ ;_ * \-#,##0.00_ ;_ * &quot;-&quot;??_ ;_ @_ "/>
    <numFmt numFmtId="164" formatCode="0&quot;A&quot;"/>
    <numFmt numFmtId="165" formatCode="0&quot;F&quot;"/>
    <numFmt numFmtId="166" formatCode="_(#,##0_);\(#,##0\);_(&quot;–&quot;_);_(@_)"/>
    <numFmt numFmtId="167" formatCode="_(#,##0.0%_);\(#,##0.0%\);_(&quot;–&quot;_);_(@_)"/>
    <numFmt numFmtId="168" formatCode="0.0%"/>
    <numFmt numFmtId="169" formatCode="_(#,##0.00_);\(#,##0.00\);_(&quot;–&quot;_);_(@_)"/>
    <numFmt numFmtId="170" formatCode="&quot;Yr &quot;0"/>
    <numFmt numFmtId="171" formatCode="0&quot;F&quot;\ "/>
    <numFmt numFmtId="172" formatCode="#,##0.00_);\(#,##0.00\);\-"/>
    <numFmt numFmtId="173" formatCode="_(#,##0.0%_);\(#,##0.0%\);_(&quot;–&quot;_)_%;_(@_)_%"/>
    <numFmt numFmtId="174" formatCode="#,##0_);\(#,##0\);\-"/>
    <numFmt numFmtId="175" formatCode="_(#,##0%_);\(#,##0%\);_(&quot;–&quot;_);_(@_)"/>
    <numFmt numFmtId="176" formatCode="0.000%"/>
    <numFmt numFmtId="177" formatCode="_(#,##0.00%_);\(#,##0.00%\);_(&quot;–&quot;_);_(@_)"/>
    <numFmt numFmtId="178" formatCode="yy/mm/dd"/>
    <numFmt numFmtId="179" formatCode="_ * #,##0_ ;_ * \-#,##0_ ;_ * &quot;-&quot;??_ ;_ @_ "/>
    <numFmt numFmtId="180" formatCode="_(#,##0.0_);\(#,##0.0\);_(&quot;–&quot;_);_(@_)"/>
    <numFmt numFmtId="181" formatCode="_-[$$-409]* #,##0.00_ ;_-[$$-409]* \-#,##0.00\ ;_-[$$-409]* &quot;-&quot;??_ ;_-@_ "/>
  </numFmts>
  <fonts count="27" x14ac:knownFonts="1">
    <font>
      <sz val="11"/>
      <color theme="1"/>
      <name val="Aptos Narrow"/>
      <family val="2"/>
      <scheme val="minor"/>
    </font>
    <font>
      <sz val="11"/>
      <color theme="1"/>
      <name val="Aptos Narrow"/>
      <family val="2"/>
      <scheme val="minor"/>
    </font>
    <font>
      <sz val="11"/>
      <color theme="0"/>
      <name val="Aptos Narrow"/>
      <family val="2"/>
      <scheme val="minor"/>
    </font>
    <font>
      <u/>
      <sz val="11"/>
      <color theme="10"/>
      <name val="Aptos Narrow"/>
      <family val="2"/>
      <scheme val="minor"/>
    </font>
    <font>
      <b/>
      <sz val="12"/>
      <color theme="1"/>
      <name val="Calibri"/>
      <family val="2"/>
    </font>
    <font>
      <b/>
      <sz val="9.5"/>
      <color rgb="FF3271D2"/>
      <name val="Calibri"/>
      <family val="2"/>
    </font>
    <font>
      <b/>
      <sz val="9.5"/>
      <color theme="1"/>
      <name val="Calibri"/>
      <family val="2"/>
    </font>
    <font>
      <sz val="9.5"/>
      <color rgb="FF3271D2"/>
      <name val="Calibri"/>
      <family val="2"/>
    </font>
    <font>
      <b/>
      <sz val="10"/>
      <color theme="1"/>
      <name val="Calibri"/>
      <family val="2"/>
    </font>
    <font>
      <sz val="9.5"/>
      <color theme="1"/>
      <name val="Calibri"/>
      <family val="2"/>
    </font>
    <font>
      <b/>
      <sz val="9.5"/>
      <color theme="2" tint="-0.749992370372631"/>
      <name val="Calibri"/>
      <family val="2"/>
    </font>
    <font>
      <b/>
      <sz val="9.5"/>
      <color theme="0" tint="-4.9989318521683403E-2"/>
      <name val="Calibri"/>
      <family val="2"/>
    </font>
    <font>
      <b/>
      <sz val="9.5"/>
      <name val="Calibri"/>
      <family val="2"/>
    </font>
    <font>
      <sz val="9.5"/>
      <color rgb="FF000000"/>
      <name val="Calibri"/>
      <family val="2"/>
    </font>
    <font>
      <sz val="9.5"/>
      <name val="Calibri"/>
      <family val="2"/>
    </font>
    <font>
      <b/>
      <sz val="11"/>
      <color theme="1"/>
      <name val="Aptos Narrow"/>
      <family val="2"/>
      <scheme val="minor"/>
    </font>
    <font>
      <sz val="9"/>
      <color theme="1"/>
      <name val="Aptos Narrow"/>
      <family val="2"/>
      <scheme val="minor"/>
    </font>
    <font>
      <i/>
      <sz val="9"/>
      <color theme="1"/>
      <name val="Calibri"/>
      <family val="2"/>
    </font>
    <font>
      <b/>
      <i/>
      <sz val="9.5"/>
      <color theme="2" tint="-0.749992370372631"/>
      <name val="Calibri"/>
      <family val="2"/>
    </font>
    <font>
      <sz val="9.5"/>
      <color theme="0"/>
      <name val="Calibri"/>
      <family val="2"/>
    </font>
    <font>
      <b/>
      <sz val="9"/>
      <color theme="1"/>
      <name val="Calibri"/>
      <family val="2"/>
    </font>
    <font>
      <sz val="8"/>
      <color theme="1"/>
      <name val="Calibri"/>
      <family val="2"/>
    </font>
    <font>
      <b/>
      <sz val="11"/>
      <color theme="2" tint="-0.749992370372631"/>
      <name val="Aptos Narrow"/>
      <family val="2"/>
      <scheme val="minor"/>
    </font>
    <font>
      <sz val="9"/>
      <color theme="1"/>
      <name val="Calibri"/>
      <family val="2"/>
    </font>
    <font>
      <i/>
      <sz val="9.5"/>
      <color theme="1"/>
      <name val="Calibri"/>
      <family val="2"/>
    </font>
    <font>
      <u/>
      <sz val="11"/>
      <color theme="1" tint="0.249977111117893"/>
      <name val="Aptos Narrow"/>
      <family val="2"/>
      <scheme val="minor"/>
    </font>
    <font>
      <b/>
      <sz val="20"/>
      <color theme="1" tint="0.249977111117893"/>
      <name val="Calibri"/>
      <family val="2"/>
    </font>
  </fonts>
  <fills count="7">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theme="1" tint="0.249977111117893"/>
        <bgColor indexed="64"/>
      </patternFill>
    </fill>
    <fill>
      <patternFill patternType="solid">
        <fgColor theme="0"/>
        <bgColor rgb="FF000000"/>
      </patternFill>
    </fill>
  </fills>
  <borders count="52">
    <border>
      <left/>
      <right/>
      <top/>
      <bottom/>
      <diagonal/>
    </border>
    <border>
      <left/>
      <right/>
      <top/>
      <bottom style="thin">
        <color auto="1"/>
      </bottom>
      <diagonal/>
    </border>
    <border>
      <left/>
      <right/>
      <top/>
      <bottom style="medium">
        <color rgb="FF3271D2"/>
      </bottom>
      <diagonal/>
    </border>
    <border>
      <left/>
      <right/>
      <top style="thin">
        <color rgb="FF3271D2"/>
      </top>
      <bottom style="medium">
        <color rgb="FF3271D2"/>
      </bottom>
      <diagonal/>
    </border>
    <border>
      <left/>
      <right/>
      <top style="hair">
        <color auto="1"/>
      </top>
      <bottom/>
      <diagonal/>
    </border>
    <border>
      <left/>
      <right/>
      <top style="medium">
        <color auto="1"/>
      </top>
      <bottom style="medium">
        <color auto="1"/>
      </bottom>
      <diagonal/>
    </border>
    <border>
      <left/>
      <right/>
      <top style="hair">
        <color auto="1"/>
      </top>
      <bottom style="medium">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hair">
        <color auto="1"/>
      </right>
      <top style="hair">
        <color auto="1"/>
      </top>
      <bottom style="hair">
        <color auto="1"/>
      </bottom>
      <diagonal/>
    </border>
    <border>
      <left/>
      <right/>
      <top style="thin">
        <color auto="1"/>
      </top>
      <bottom/>
      <diagonal/>
    </border>
    <border>
      <left/>
      <right/>
      <top style="thin">
        <color auto="1"/>
      </top>
      <bottom style="double">
        <color auto="1"/>
      </bottom>
      <diagonal/>
    </border>
    <border>
      <left style="hair">
        <color auto="1"/>
      </left>
      <right/>
      <top style="hair">
        <color auto="1"/>
      </top>
      <bottom/>
      <diagonal/>
    </border>
    <border>
      <left/>
      <right style="hair">
        <color auto="1"/>
      </right>
      <top style="hair">
        <color auto="1"/>
      </top>
      <bottom/>
      <diagonal/>
    </border>
    <border>
      <left style="hair">
        <color auto="1"/>
      </left>
      <right/>
      <top/>
      <bottom/>
      <diagonal/>
    </border>
    <border>
      <left/>
      <right style="hair">
        <color auto="1"/>
      </right>
      <top/>
      <bottom/>
      <diagonal/>
    </border>
    <border>
      <left style="hair">
        <color auto="1"/>
      </left>
      <right/>
      <top/>
      <bottom style="hair">
        <color auto="1"/>
      </bottom>
      <diagonal/>
    </border>
    <border>
      <left/>
      <right/>
      <top/>
      <bottom style="hair">
        <color auto="1"/>
      </bottom>
      <diagonal/>
    </border>
    <border>
      <left/>
      <right style="hair">
        <color auto="1"/>
      </right>
      <top/>
      <bottom style="hair">
        <color auto="1"/>
      </bottom>
      <diagonal/>
    </border>
    <border>
      <left style="hair">
        <color rgb="FF000000"/>
      </left>
      <right/>
      <top style="hair">
        <color rgb="FF000000"/>
      </top>
      <bottom/>
      <diagonal/>
    </border>
    <border>
      <left/>
      <right/>
      <top style="hair">
        <color rgb="FF000000"/>
      </top>
      <bottom/>
      <diagonal/>
    </border>
    <border>
      <left/>
      <right style="hair">
        <color rgb="FF000000"/>
      </right>
      <top style="hair">
        <color rgb="FF000000"/>
      </top>
      <bottom/>
      <diagonal/>
    </border>
    <border>
      <left style="hair">
        <color rgb="FF000000"/>
      </left>
      <right/>
      <top/>
      <bottom/>
      <diagonal/>
    </border>
    <border>
      <left/>
      <right style="hair">
        <color rgb="FF000000"/>
      </right>
      <top/>
      <bottom/>
      <diagonal/>
    </border>
    <border>
      <left style="hair">
        <color rgb="FF000000"/>
      </left>
      <right/>
      <top/>
      <bottom style="hair">
        <color rgb="FF000000"/>
      </bottom>
      <diagonal/>
    </border>
    <border>
      <left/>
      <right/>
      <top/>
      <bottom style="hair">
        <color rgb="FF000000"/>
      </bottom>
      <diagonal/>
    </border>
    <border>
      <left/>
      <right style="hair">
        <color rgb="FF000000"/>
      </right>
      <top/>
      <bottom style="hair">
        <color rgb="FF000000"/>
      </bottom>
      <diagonal/>
    </border>
    <border>
      <left style="hair">
        <color auto="1"/>
      </left>
      <right style="hair">
        <color auto="1"/>
      </right>
      <top style="hair">
        <color auto="1"/>
      </top>
      <bottom/>
      <diagonal/>
    </border>
    <border>
      <left style="hair">
        <color auto="1"/>
      </left>
      <right style="hair">
        <color auto="1"/>
      </right>
      <top/>
      <bottom/>
      <diagonal/>
    </border>
    <border>
      <left style="hair">
        <color auto="1"/>
      </left>
      <right style="hair">
        <color auto="1"/>
      </right>
      <top style="hair">
        <color auto="1"/>
      </top>
      <bottom style="hair">
        <color auto="1"/>
      </bottom>
      <diagonal/>
    </border>
    <border>
      <left/>
      <right style="thin">
        <color rgb="FF3271D2"/>
      </right>
      <top style="thin">
        <color rgb="FF3271D2"/>
      </top>
      <bottom style="thin">
        <color rgb="FF3271D2"/>
      </bottom>
      <diagonal/>
    </border>
    <border>
      <left/>
      <right/>
      <top style="thin">
        <color rgb="FF3271D2"/>
      </top>
      <bottom style="thin">
        <color rgb="FF3271D2"/>
      </bottom>
      <diagonal/>
    </border>
    <border>
      <left style="thin">
        <color rgb="FF3271D2"/>
      </left>
      <right/>
      <top style="thin">
        <color rgb="FF3271D2"/>
      </top>
      <bottom style="thin">
        <color rgb="FF3271D2"/>
      </bottom>
      <diagonal/>
    </border>
    <border>
      <left style="thin">
        <color rgb="FF3271D2"/>
      </left>
      <right style="thin">
        <color rgb="FF3271D2"/>
      </right>
      <top style="thin">
        <color rgb="FF3271D2"/>
      </top>
      <bottom/>
      <diagonal/>
    </border>
    <border>
      <left style="thin">
        <color rgb="FF3271D2"/>
      </left>
      <right/>
      <top style="thin">
        <color rgb="FF3271D2"/>
      </top>
      <bottom/>
      <diagonal/>
    </border>
    <border>
      <left/>
      <right/>
      <top style="thin">
        <color rgb="FF3271D2"/>
      </top>
      <bottom/>
      <diagonal/>
    </border>
    <border>
      <left/>
      <right style="thin">
        <color rgb="FF3271D2"/>
      </right>
      <top style="thin">
        <color rgb="FF3271D2"/>
      </top>
      <bottom/>
      <diagonal/>
    </border>
    <border>
      <left style="thin">
        <color rgb="FF3271D2"/>
      </left>
      <right style="thin">
        <color rgb="FF3271D2"/>
      </right>
      <top/>
      <bottom style="thin">
        <color rgb="FF3271D2"/>
      </bottom>
      <diagonal/>
    </border>
    <border>
      <left style="thin">
        <color rgb="FF3271D2"/>
      </left>
      <right/>
      <top/>
      <bottom style="thin">
        <color rgb="FF3271D2"/>
      </bottom>
      <diagonal/>
    </border>
    <border>
      <left/>
      <right/>
      <top/>
      <bottom style="thin">
        <color rgb="FF3271D2"/>
      </bottom>
      <diagonal/>
    </border>
    <border>
      <left/>
      <right style="thin">
        <color rgb="FF3271D2"/>
      </right>
      <top/>
      <bottom style="thin">
        <color rgb="FF3271D2"/>
      </bottom>
      <diagonal/>
    </border>
    <border>
      <left style="thin">
        <color auto="1"/>
      </left>
      <right style="thin">
        <color auto="1"/>
      </right>
      <top style="thin">
        <color auto="1"/>
      </top>
      <bottom style="thin">
        <color auto="1"/>
      </bottom>
      <diagonal/>
    </border>
    <border>
      <left style="hair">
        <color auto="1"/>
      </left>
      <right/>
      <top/>
      <bottom style="thin">
        <color rgb="FF3271D2"/>
      </bottom>
      <diagonal/>
    </border>
    <border>
      <left/>
      <right style="hair">
        <color auto="1"/>
      </right>
      <top/>
      <bottom style="thin">
        <color rgb="FF3271D2"/>
      </bottom>
      <diagonal/>
    </border>
    <border>
      <left style="thick">
        <color theme="1" tint="0.24994659260841701"/>
      </left>
      <right/>
      <top style="thick">
        <color theme="1" tint="0.24994659260841701"/>
      </top>
      <bottom/>
      <diagonal/>
    </border>
    <border>
      <left/>
      <right/>
      <top style="thick">
        <color theme="1" tint="0.24994659260841701"/>
      </top>
      <bottom/>
      <diagonal/>
    </border>
    <border>
      <left/>
      <right style="thick">
        <color theme="1" tint="0.24994659260841701"/>
      </right>
      <top style="thick">
        <color theme="1" tint="0.24994659260841701"/>
      </top>
      <bottom/>
      <diagonal/>
    </border>
    <border>
      <left style="thick">
        <color theme="1" tint="0.24994659260841701"/>
      </left>
      <right/>
      <top/>
      <bottom/>
      <diagonal/>
    </border>
    <border>
      <left/>
      <right style="thick">
        <color theme="1" tint="0.24994659260841701"/>
      </right>
      <top/>
      <bottom/>
      <diagonal/>
    </border>
    <border>
      <left style="thick">
        <color theme="1" tint="0.24994659260841701"/>
      </left>
      <right/>
      <top/>
      <bottom style="thick">
        <color theme="1" tint="0.24994659260841701"/>
      </bottom>
      <diagonal/>
    </border>
    <border>
      <left/>
      <right/>
      <top/>
      <bottom style="thick">
        <color theme="1" tint="0.24994659260841701"/>
      </bottom>
      <diagonal/>
    </border>
    <border>
      <left/>
      <right style="thick">
        <color theme="1" tint="0.24994659260841701"/>
      </right>
      <top/>
      <bottom style="thick">
        <color theme="1" tint="0.24994659260841701"/>
      </bottom>
      <diagonal/>
    </border>
  </borders>
  <cellStyleXfs count="5">
    <xf numFmtId="0" fontId="0"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3" fillId="0" borderId="0" applyNumberFormat="0" applyFill="0" applyBorder="0" applyAlignment="0" applyProtection="0"/>
  </cellStyleXfs>
  <cellXfs count="300">
    <xf numFmtId="0" fontId="0" fillId="0" borderId="0" xfId="0"/>
    <xf numFmtId="0" fontId="4" fillId="0" borderId="1" xfId="0" applyFont="1" applyBorder="1" applyAlignment="1">
      <alignment horizontal="left" vertical="center" indent="1"/>
    </xf>
    <xf numFmtId="0" fontId="8" fillId="0" borderId="0" xfId="0" applyFont="1" applyAlignment="1">
      <alignment horizontal="right" vertical="center"/>
    </xf>
    <xf numFmtId="0" fontId="9" fillId="0" borderId="0" xfId="0" applyFont="1" applyAlignment="1">
      <alignment horizontal="left" vertical="center"/>
    </xf>
    <xf numFmtId="37" fontId="9" fillId="0" borderId="0" xfId="0" applyNumberFormat="1" applyFont="1" applyAlignment="1">
      <alignment horizontal="centerContinuous" vertical="center"/>
    </xf>
    <xf numFmtId="165" fontId="12" fillId="0" borderId="0" xfId="0" applyNumberFormat="1" applyFont="1" applyAlignment="1">
      <alignment horizontal="centerContinuous" vertical="center"/>
    </xf>
    <xf numFmtId="0" fontId="12" fillId="0" borderId="0" xfId="0" applyFont="1" applyAlignment="1">
      <alignment horizontal="centerContinuous" vertical="center"/>
    </xf>
    <xf numFmtId="0" fontId="6" fillId="0" borderId="0" xfId="0" applyFont="1" applyAlignment="1">
      <alignment horizontal="centerContinuous" vertical="center"/>
    </xf>
    <xf numFmtId="0" fontId="6" fillId="0" borderId="0" xfId="0" applyFont="1" applyAlignment="1">
      <alignment vertical="center"/>
    </xf>
    <xf numFmtId="0" fontId="0" fillId="0" borderId="0" xfId="0" applyAlignment="1">
      <alignment vertical="center"/>
    </xf>
    <xf numFmtId="166" fontId="9" fillId="0" borderId="0" xfId="1" applyNumberFormat="1" applyFont="1" applyAlignment="1">
      <alignment vertical="center"/>
    </xf>
    <xf numFmtId="0" fontId="6" fillId="0" borderId="0" xfId="0" applyFont="1" applyAlignment="1">
      <alignment horizontal="left" vertical="center"/>
    </xf>
    <xf numFmtId="166" fontId="6" fillId="0" borderId="4" xfId="1" applyNumberFormat="1" applyFont="1" applyBorder="1" applyAlignment="1">
      <alignment vertical="center"/>
    </xf>
    <xf numFmtId="166" fontId="6" fillId="0" borderId="4" xfId="1" applyNumberFormat="1" applyFont="1" applyFill="1" applyBorder="1" applyAlignment="1">
      <alignment vertical="center"/>
    </xf>
    <xf numFmtId="166" fontId="6" fillId="0" borderId="0" xfId="1" applyNumberFormat="1" applyFont="1" applyBorder="1" applyAlignment="1">
      <alignment vertical="center"/>
    </xf>
    <xf numFmtId="166" fontId="6" fillId="0" borderId="0" xfId="1" applyNumberFormat="1" applyFont="1" applyFill="1" applyBorder="1" applyAlignment="1">
      <alignment vertical="center"/>
    </xf>
    <xf numFmtId="0" fontId="15" fillId="0" borderId="1" xfId="0" applyFont="1" applyBorder="1" applyAlignment="1">
      <alignment vertical="center"/>
    </xf>
    <xf numFmtId="0" fontId="0" fillId="0" borderId="1" xfId="0" applyBorder="1" applyAlignment="1">
      <alignment vertical="center"/>
    </xf>
    <xf numFmtId="0" fontId="18" fillId="4" borderId="0" xfId="0" applyFont="1" applyFill="1" applyAlignment="1">
      <alignment horizontal="centerContinuous" vertical="center"/>
    </xf>
    <xf numFmtId="166" fontId="6" fillId="3" borderId="8" xfId="0" applyNumberFormat="1" applyFont="1" applyFill="1" applyBorder="1" applyAlignment="1">
      <alignment vertical="center"/>
    </xf>
    <xf numFmtId="166" fontId="6" fillId="3" borderId="9" xfId="0" applyNumberFormat="1" applyFont="1" applyFill="1" applyBorder="1" applyAlignment="1">
      <alignment vertical="center"/>
    </xf>
    <xf numFmtId="0" fontId="6" fillId="0" borderId="30" xfId="0" applyFont="1" applyBorder="1" applyAlignment="1">
      <alignment horizontal="center" vertical="center"/>
    </xf>
    <xf numFmtId="0" fontId="6" fillId="0" borderId="31" xfId="0" applyFont="1" applyBorder="1" applyAlignment="1">
      <alignment horizontal="centerContinuous" vertical="center"/>
    </xf>
    <xf numFmtId="0" fontId="6" fillId="0" borderId="32" xfId="0" applyFont="1" applyBorder="1" applyAlignment="1">
      <alignment horizontal="center" vertical="center"/>
    </xf>
    <xf numFmtId="0" fontId="9" fillId="0" borderId="33" xfId="0" applyFont="1" applyBorder="1" applyAlignment="1">
      <alignment horizontal="center" vertical="center"/>
    </xf>
    <xf numFmtId="0" fontId="9" fillId="0" borderId="34" xfId="0" applyFont="1" applyBorder="1" applyAlignment="1">
      <alignment horizontal="center" vertical="center"/>
    </xf>
    <xf numFmtId="0" fontId="9" fillId="0" borderId="35" xfId="0" applyFont="1" applyBorder="1" applyAlignment="1">
      <alignment horizontal="center" vertical="center"/>
    </xf>
    <xf numFmtId="0" fontId="9" fillId="0" borderId="36" xfId="0" applyFont="1" applyBorder="1" applyAlignment="1">
      <alignment horizontal="center" vertical="center"/>
    </xf>
    <xf numFmtId="178" fontId="9" fillId="0" borderId="37" xfId="0" applyNumberFormat="1" applyFont="1" applyBorder="1" applyAlignment="1">
      <alignment horizontal="center" vertical="center"/>
    </xf>
    <xf numFmtId="178" fontId="9" fillId="0" borderId="38" xfId="0" applyNumberFormat="1" applyFont="1" applyBorder="1" applyAlignment="1">
      <alignment horizontal="center" vertical="center"/>
    </xf>
    <xf numFmtId="178" fontId="9" fillId="0" borderId="39" xfId="0" applyNumberFormat="1" applyFont="1" applyBorder="1" applyAlignment="1">
      <alignment horizontal="center" vertical="center"/>
    </xf>
    <xf numFmtId="178" fontId="9" fillId="0" borderId="40" xfId="0" applyNumberFormat="1" applyFont="1" applyBorder="1" applyAlignment="1">
      <alignment horizontal="center" vertical="center"/>
    </xf>
    <xf numFmtId="0" fontId="15" fillId="0" borderId="0" xfId="0" applyFont="1" applyAlignment="1">
      <alignment vertical="center"/>
    </xf>
    <xf numFmtId="0" fontId="15" fillId="0" borderId="39" xfId="0" applyFont="1" applyBorder="1" applyAlignment="1">
      <alignment horizontal="centerContinuous" vertical="center"/>
    </xf>
    <xf numFmtId="0" fontId="0" fillId="0" borderId="39" xfId="0" applyBorder="1" applyAlignment="1">
      <alignment horizontal="centerContinuous" vertical="center"/>
    </xf>
    <xf numFmtId="0" fontId="0" fillId="0" borderId="0" xfId="0" applyAlignment="1">
      <alignment horizontal="centerContinuous" vertical="center"/>
    </xf>
    <xf numFmtId="0" fontId="0" fillId="0" borderId="0" xfId="0" applyAlignment="1">
      <alignment horizontal="right" vertical="center"/>
    </xf>
    <xf numFmtId="0" fontId="21" fillId="0" borderId="0" xfId="0" applyFont="1" applyAlignment="1">
      <alignment horizontal="center" vertical="center"/>
    </xf>
    <xf numFmtId="0" fontId="15" fillId="0" borderId="1" xfId="0" applyFont="1" applyBorder="1" applyAlignment="1">
      <alignment horizontal="centerContinuous" vertical="center"/>
    </xf>
    <xf numFmtId="0" fontId="9" fillId="0" borderId="0" xfId="0" applyFont="1" applyAlignment="1">
      <alignment horizontal="centerContinuous" vertical="center"/>
    </xf>
    <xf numFmtId="0" fontId="15" fillId="0" borderId="39" xfId="0" applyFont="1" applyBorder="1" applyAlignment="1">
      <alignment vertical="center"/>
    </xf>
    <xf numFmtId="0" fontId="0" fillId="0" borderId="39" xfId="0" applyBorder="1" applyAlignment="1">
      <alignment vertical="center"/>
    </xf>
    <xf numFmtId="0" fontId="15" fillId="0" borderId="42" xfId="0" applyFont="1" applyBorder="1" applyAlignment="1">
      <alignment horizontal="center" vertical="center"/>
    </xf>
    <xf numFmtId="0" fontId="15" fillId="0" borderId="39" xfId="0" applyFont="1" applyBorder="1" applyAlignment="1">
      <alignment horizontal="center" vertical="center" wrapText="1"/>
    </xf>
    <xf numFmtId="0" fontId="15" fillId="0" borderId="43" xfId="0" applyFont="1" applyBorder="1" applyAlignment="1">
      <alignment horizontal="center" vertical="center" wrapText="1"/>
    </xf>
    <xf numFmtId="0" fontId="15" fillId="0" borderId="42" xfId="0" applyFont="1" applyBorder="1" applyAlignment="1">
      <alignment horizontal="center" vertical="center" wrapText="1"/>
    </xf>
    <xf numFmtId="0" fontId="16" fillId="0" borderId="0" xfId="0" applyFont="1" applyAlignment="1">
      <alignment vertical="center"/>
    </xf>
    <xf numFmtId="0" fontId="16" fillId="0" borderId="14" xfId="0" applyFont="1" applyBorder="1" applyAlignment="1">
      <alignment horizontal="center" vertical="center"/>
    </xf>
    <xf numFmtId="0" fontId="16" fillId="0" borderId="0" xfId="0" applyFont="1" applyAlignment="1">
      <alignment horizontal="center" vertical="center"/>
    </xf>
    <xf numFmtId="0" fontId="16" fillId="0" borderId="15" xfId="0" applyFont="1" applyBorder="1" applyAlignment="1">
      <alignment horizontal="center" vertical="center"/>
    </xf>
    <xf numFmtId="0" fontId="9" fillId="0" borderId="0" xfId="0" applyFont="1" applyAlignment="1">
      <alignment vertical="center"/>
    </xf>
    <xf numFmtId="0" fontId="9" fillId="0" borderId="14" xfId="0" applyFont="1" applyBorder="1" applyAlignment="1">
      <alignment horizontal="center" vertical="center"/>
    </xf>
    <xf numFmtId="169" fontId="7" fillId="0" borderId="0" xfId="1" applyNumberFormat="1" applyFont="1" applyAlignment="1">
      <alignment horizontal="center" vertical="center"/>
    </xf>
    <xf numFmtId="166" fontId="7" fillId="0" borderId="0" xfId="1" applyNumberFormat="1" applyFont="1" applyAlignment="1">
      <alignment horizontal="center" vertical="center"/>
    </xf>
    <xf numFmtId="166" fontId="7" fillId="0" borderId="14" xfId="1" applyNumberFormat="1" applyFont="1" applyBorder="1" applyAlignment="1">
      <alignment horizontal="center" vertical="center"/>
    </xf>
    <xf numFmtId="169" fontId="7" fillId="0" borderId="15" xfId="0" applyNumberFormat="1" applyFont="1" applyBorder="1" applyAlignment="1">
      <alignment horizontal="center" vertical="center"/>
    </xf>
    <xf numFmtId="169" fontId="7" fillId="0" borderId="14" xfId="0" applyNumberFormat="1" applyFont="1" applyBorder="1" applyAlignment="1">
      <alignment horizontal="center" vertical="center"/>
    </xf>
    <xf numFmtId="0" fontId="0" fillId="0" borderId="17" xfId="0" applyBorder="1" applyAlignment="1">
      <alignment vertical="center"/>
    </xf>
    <xf numFmtId="0" fontId="0" fillId="0" borderId="16" xfId="0" applyBorder="1" applyAlignment="1">
      <alignment horizontal="center" vertical="center"/>
    </xf>
    <xf numFmtId="0" fontId="0" fillId="0" borderId="16" xfId="0" applyBorder="1" applyAlignment="1">
      <alignment vertical="center"/>
    </xf>
    <xf numFmtId="0" fontId="0" fillId="0" borderId="18" xfId="0" applyBorder="1" applyAlignment="1">
      <alignment vertical="center"/>
    </xf>
    <xf numFmtId="0" fontId="0" fillId="0" borderId="0" xfId="0" applyAlignment="1">
      <alignment horizontal="center" vertical="center"/>
    </xf>
    <xf numFmtId="0" fontId="15" fillId="0" borderId="39" xfId="0" applyFont="1" applyBorder="1" applyAlignment="1">
      <alignment horizontal="center" vertical="center"/>
    </xf>
    <xf numFmtId="0" fontId="9" fillId="0" borderId="0" xfId="0" applyFont="1" applyAlignment="1">
      <alignment horizontal="center" vertical="center"/>
    </xf>
    <xf numFmtId="0" fontId="9" fillId="0" borderId="17" xfId="0" applyFont="1" applyBorder="1" applyAlignment="1">
      <alignment vertical="center"/>
    </xf>
    <xf numFmtId="0" fontId="9" fillId="0" borderId="17" xfId="0" applyFont="1" applyBorder="1" applyAlignment="1">
      <alignment horizontal="center" vertical="center"/>
    </xf>
    <xf numFmtId="169" fontId="7" fillId="0" borderId="18" xfId="0" applyNumberFormat="1" applyFont="1" applyBorder="1" applyAlignment="1">
      <alignment horizontal="center" vertical="center"/>
    </xf>
    <xf numFmtId="0" fontId="9" fillId="0" borderId="12" xfId="0" applyFont="1" applyBorder="1" applyAlignment="1">
      <alignment horizontal="left" vertical="center"/>
    </xf>
    <xf numFmtId="0" fontId="0" fillId="0" borderId="4" xfId="0" applyBorder="1" applyAlignment="1">
      <alignment vertical="center"/>
    </xf>
    <xf numFmtId="166" fontId="9" fillId="3" borderId="13" xfId="1" applyNumberFormat="1" applyFont="1" applyFill="1" applyBorder="1" applyAlignment="1">
      <alignment vertical="center"/>
    </xf>
    <xf numFmtId="0" fontId="9" fillId="0" borderId="16" xfId="0" applyFont="1" applyBorder="1" applyAlignment="1">
      <alignment horizontal="left" vertical="center"/>
    </xf>
    <xf numFmtId="166" fontId="9" fillId="3" borderId="18" xfId="1" applyNumberFormat="1" applyFont="1" applyFill="1" applyBorder="1" applyAlignment="1">
      <alignment vertical="center"/>
    </xf>
    <xf numFmtId="0" fontId="10" fillId="4" borderId="0" xfId="0" applyFont="1" applyFill="1" applyAlignment="1">
      <alignment horizontal="left" vertical="center"/>
    </xf>
    <xf numFmtId="1" fontId="6" fillId="0" borderId="0" xfId="0" applyNumberFormat="1" applyFont="1" applyAlignment="1">
      <alignment horizontal="right" vertical="center"/>
    </xf>
    <xf numFmtId="0" fontId="11" fillId="5" borderId="0" xfId="0" applyFont="1" applyFill="1" applyAlignment="1">
      <alignment horizontal="left" vertical="center"/>
    </xf>
    <xf numFmtId="181" fontId="9" fillId="0" borderId="0" xfId="1" applyNumberFormat="1" applyFont="1" applyAlignment="1">
      <alignment vertical="center"/>
    </xf>
    <xf numFmtId="169" fontId="9" fillId="0" borderId="0" xfId="1" applyNumberFormat="1" applyFont="1" applyAlignment="1">
      <alignment vertical="center"/>
    </xf>
    <xf numFmtId="177" fontId="9" fillId="2" borderId="0" xfId="3" applyNumberFormat="1" applyFont="1" applyFill="1" applyBorder="1" applyAlignment="1">
      <alignment vertical="center"/>
    </xf>
    <xf numFmtId="164" fontId="5" fillId="0" borderId="2" xfId="0" applyNumberFormat="1" applyFont="1" applyBorder="1" applyAlignment="1">
      <alignment vertical="center"/>
    </xf>
    <xf numFmtId="167" fontId="9" fillId="2" borderId="0" xfId="3" applyNumberFormat="1" applyFont="1" applyFill="1" applyBorder="1" applyAlignment="1">
      <alignment vertical="center"/>
    </xf>
    <xf numFmtId="0" fontId="6" fillId="0" borderId="12" xfId="0" applyFont="1" applyBorder="1" applyAlignment="1">
      <alignment horizontal="left" vertical="center"/>
    </xf>
    <xf numFmtId="167" fontId="9" fillId="3" borderId="13" xfId="3" applyNumberFormat="1" applyFont="1" applyFill="1" applyBorder="1" applyAlignment="1">
      <alignment vertical="center"/>
    </xf>
    <xf numFmtId="0" fontId="6" fillId="0" borderId="14" xfId="0" applyFont="1" applyBorder="1" applyAlignment="1">
      <alignment horizontal="left" vertical="center"/>
    </xf>
    <xf numFmtId="166" fontId="9" fillId="3" borderId="15" xfId="1" applyNumberFormat="1" applyFont="1" applyFill="1" applyBorder="1" applyAlignment="1">
      <alignment vertical="center"/>
    </xf>
    <xf numFmtId="167" fontId="9" fillId="3" borderId="15" xfId="3" applyNumberFormat="1" applyFont="1" applyFill="1" applyBorder="1" applyAlignment="1">
      <alignment vertical="center"/>
    </xf>
    <xf numFmtId="0" fontId="6" fillId="0" borderId="16" xfId="0" applyFont="1" applyBorder="1" applyAlignment="1">
      <alignment horizontal="left" vertical="center"/>
    </xf>
    <xf numFmtId="169" fontId="9" fillId="3" borderId="18" xfId="1" applyNumberFormat="1" applyFont="1" applyFill="1" applyBorder="1" applyAlignment="1">
      <alignment vertical="center"/>
    </xf>
    <xf numFmtId="166" fontId="19" fillId="3" borderId="0" xfId="1" applyNumberFormat="1" applyFont="1" applyFill="1" applyBorder="1" applyAlignment="1">
      <alignment vertical="center"/>
    </xf>
    <xf numFmtId="167" fontId="9" fillId="0" borderId="0" xfId="3" applyNumberFormat="1" applyFont="1" applyFill="1" applyBorder="1" applyAlignment="1">
      <alignment vertical="center"/>
    </xf>
    <xf numFmtId="179" fontId="9" fillId="0" borderId="12" xfId="1" applyNumberFormat="1" applyFont="1" applyBorder="1" applyAlignment="1">
      <alignment vertical="center"/>
    </xf>
    <xf numFmtId="179" fontId="9" fillId="0" borderId="4" xfId="1" applyNumberFormat="1" applyFont="1" applyBorder="1" applyAlignment="1">
      <alignment vertical="center"/>
    </xf>
    <xf numFmtId="179" fontId="9" fillId="0" borderId="13" xfId="1" applyNumberFormat="1" applyFont="1" applyBorder="1" applyAlignment="1">
      <alignment vertical="center"/>
    </xf>
    <xf numFmtId="43" fontId="9" fillId="0" borderId="12" xfId="1" applyFont="1" applyBorder="1" applyAlignment="1">
      <alignment vertical="center"/>
    </xf>
    <xf numFmtId="43" fontId="9" fillId="0" borderId="4" xfId="1" applyFont="1" applyBorder="1" applyAlignment="1">
      <alignment vertical="center"/>
    </xf>
    <xf numFmtId="43" fontId="9" fillId="0" borderId="13" xfId="1" applyFont="1" applyBorder="1" applyAlignment="1">
      <alignment vertical="center"/>
    </xf>
    <xf numFmtId="179" fontId="9" fillId="0" borderId="14" xfId="1" applyNumberFormat="1" applyFont="1" applyBorder="1" applyAlignment="1">
      <alignment vertical="center"/>
    </xf>
    <xf numFmtId="179" fontId="9" fillId="0" borderId="0" xfId="1" applyNumberFormat="1" applyFont="1" applyBorder="1" applyAlignment="1">
      <alignment vertical="center"/>
    </xf>
    <xf numFmtId="179" fontId="9" fillId="0" borderId="15" xfId="1" applyNumberFormat="1" applyFont="1" applyBorder="1" applyAlignment="1">
      <alignment vertical="center"/>
    </xf>
    <xf numFmtId="43" fontId="9" fillId="0" borderId="14" xfId="1" applyFont="1" applyBorder="1" applyAlignment="1">
      <alignment vertical="center"/>
    </xf>
    <xf numFmtId="43" fontId="9" fillId="0" borderId="0" xfId="1" applyFont="1" applyBorder="1" applyAlignment="1">
      <alignment vertical="center"/>
    </xf>
    <xf numFmtId="43" fontId="9" fillId="0" borderId="15" xfId="1" applyFont="1" applyBorder="1" applyAlignment="1">
      <alignment vertical="center"/>
    </xf>
    <xf numFmtId="179" fontId="9" fillId="3" borderId="41" xfId="1" applyNumberFormat="1" applyFont="1" applyFill="1" applyBorder="1" applyAlignment="1">
      <alignment vertical="center"/>
    </xf>
    <xf numFmtId="43" fontId="9" fillId="3" borderId="41" xfId="1" applyFont="1" applyFill="1" applyBorder="1" applyAlignment="1">
      <alignment vertical="center"/>
    </xf>
    <xf numFmtId="179" fontId="9" fillId="0" borderId="16" xfId="1" applyNumberFormat="1" applyFont="1" applyBorder="1" applyAlignment="1">
      <alignment vertical="center"/>
    </xf>
    <xf numFmtId="179" fontId="9" fillId="0" borderId="17" xfId="1" applyNumberFormat="1" applyFont="1" applyBorder="1" applyAlignment="1">
      <alignment vertical="center"/>
    </xf>
    <xf numFmtId="179" fontId="9" fillId="0" borderId="18" xfId="1" applyNumberFormat="1" applyFont="1" applyBorder="1" applyAlignment="1">
      <alignment vertical="center"/>
    </xf>
    <xf numFmtId="43" fontId="9" fillId="0" borderId="16" xfId="1" applyFont="1" applyBorder="1" applyAlignment="1">
      <alignment vertical="center"/>
    </xf>
    <xf numFmtId="43" fontId="9" fillId="0" borderId="17" xfId="1" applyFont="1" applyBorder="1" applyAlignment="1">
      <alignment vertical="center"/>
    </xf>
    <xf numFmtId="43" fontId="9" fillId="0" borderId="18" xfId="1" applyFont="1" applyBorder="1" applyAlignment="1">
      <alignment vertical="center"/>
    </xf>
    <xf numFmtId="9" fontId="9" fillId="0" borderId="12" xfId="3" applyFont="1" applyBorder="1" applyAlignment="1">
      <alignment vertical="center"/>
    </xf>
    <xf numFmtId="9" fontId="9" fillId="0" borderId="4" xfId="3" applyFont="1" applyBorder="1" applyAlignment="1">
      <alignment vertical="center"/>
    </xf>
    <xf numFmtId="9" fontId="9" fillId="0" borderId="13" xfId="3" applyFont="1" applyBorder="1" applyAlignment="1">
      <alignment vertical="center"/>
    </xf>
    <xf numFmtId="9" fontId="9" fillId="0" borderId="14" xfId="3" applyFont="1" applyBorder="1" applyAlignment="1">
      <alignment vertical="center"/>
    </xf>
    <xf numFmtId="9" fontId="9" fillId="0" borderId="0" xfId="3" applyFont="1" applyBorder="1" applyAlignment="1">
      <alignment vertical="center"/>
    </xf>
    <xf numFmtId="9" fontId="9" fillId="0" borderId="15" xfId="3" applyFont="1" applyBorder="1" applyAlignment="1">
      <alignment vertical="center"/>
    </xf>
    <xf numFmtId="9" fontId="9" fillId="3" borderId="41" xfId="3" applyFont="1" applyFill="1" applyBorder="1" applyAlignment="1">
      <alignment vertical="center"/>
    </xf>
    <xf numFmtId="9" fontId="9" fillId="0" borderId="16" xfId="3" applyFont="1" applyBorder="1" applyAlignment="1">
      <alignment vertical="center"/>
    </xf>
    <xf numFmtId="9" fontId="9" fillId="0" borderId="17" xfId="3" applyFont="1" applyBorder="1" applyAlignment="1">
      <alignment vertical="center"/>
    </xf>
    <xf numFmtId="9" fontId="9" fillId="0" borderId="18" xfId="3" applyFont="1" applyBorder="1" applyAlignment="1">
      <alignment vertical="center"/>
    </xf>
    <xf numFmtId="177" fontId="9" fillId="3" borderId="18" xfId="3" applyNumberFormat="1" applyFont="1" applyFill="1" applyBorder="1" applyAlignment="1">
      <alignment vertical="center"/>
    </xf>
    <xf numFmtId="0" fontId="17" fillId="0" borderId="0" xfId="0" applyFont="1" applyAlignment="1">
      <alignment horizontal="right" vertical="center"/>
    </xf>
    <xf numFmtId="167" fontId="9" fillId="0" borderId="27" xfId="3" applyNumberFormat="1" applyFont="1" applyFill="1" applyBorder="1" applyAlignment="1">
      <alignment vertical="center"/>
    </xf>
    <xf numFmtId="0" fontId="9" fillId="0" borderId="14" xfId="0" applyFont="1" applyBorder="1" applyAlignment="1">
      <alignment horizontal="left" vertical="center"/>
    </xf>
    <xf numFmtId="0" fontId="0" fillId="0" borderId="14" xfId="0" applyBorder="1" applyAlignment="1">
      <alignment vertical="center"/>
    </xf>
    <xf numFmtId="167" fontId="9" fillId="0" borderId="28" xfId="3" applyNumberFormat="1" applyFont="1" applyFill="1" applyBorder="1" applyAlignment="1">
      <alignment vertical="center"/>
    </xf>
    <xf numFmtId="166" fontId="6" fillId="0" borderId="4" xfId="0" applyNumberFormat="1" applyFont="1" applyBorder="1" applyAlignment="1">
      <alignment vertical="center"/>
    </xf>
    <xf numFmtId="168" fontId="9" fillId="0" borderId="0" xfId="3" applyNumberFormat="1" applyFont="1" applyAlignment="1">
      <alignment vertical="center"/>
    </xf>
    <xf numFmtId="2" fontId="9" fillId="0" borderId="0" xfId="3" applyNumberFormat="1" applyFont="1" applyAlignment="1">
      <alignment vertical="center"/>
    </xf>
    <xf numFmtId="10" fontId="6" fillId="0" borderId="4" xfId="0" applyNumberFormat="1" applyFont="1" applyBorder="1" applyAlignment="1">
      <alignment vertical="center"/>
    </xf>
    <xf numFmtId="10" fontId="9" fillId="0" borderId="0" xfId="0" applyNumberFormat="1" applyFont="1" applyAlignment="1">
      <alignment vertical="center"/>
    </xf>
    <xf numFmtId="168" fontId="6" fillId="0" borderId="4" xfId="3" applyNumberFormat="1" applyFont="1" applyBorder="1" applyAlignment="1">
      <alignment vertical="center"/>
    </xf>
    <xf numFmtId="165" fontId="5" fillId="0" borderId="3" xfId="0" applyNumberFormat="1" applyFont="1" applyBorder="1" applyAlignment="1">
      <alignment vertical="center"/>
    </xf>
    <xf numFmtId="166" fontId="9" fillId="0" borderId="7" xfId="1" applyNumberFormat="1" applyFont="1" applyBorder="1" applyAlignment="1">
      <alignment vertical="center"/>
    </xf>
    <xf numFmtId="166" fontId="9" fillId="3" borderId="8" xfId="1" applyNumberFormat="1" applyFont="1" applyFill="1" applyBorder="1" applyAlignment="1">
      <alignment vertical="center"/>
    </xf>
    <xf numFmtId="166" fontId="9" fillId="3" borderId="9" xfId="1" applyNumberFormat="1" applyFont="1" applyFill="1" applyBorder="1" applyAlignment="1">
      <alignment vertical="center"/>
    </xf>
    <xf numFmtId="179" fontId="0" fillId="0" borderId="0" xfId="1" applyNumberFormat="1" applyFont="1" applyAlignment="1">
      <alignment vertical="center"/>
    </xf>
    <xf numFmtId="180" fontId="9" fillId="0" borderId="0" xfId="1" applyNumberFormat="1" applyFont="1" applyFill="1" applyAlignment="1">
      <alignment vertical="center"/>
    </xf>
    <xf numFmtId="166" fontId="9" fillId="3" borderId="0" xfId="1" applyNumberFormat="1" applyFont="1" applyFill="1" applyAlignment="1">
      <alignment vertical="center"/>
    </xf>
    <xf numFmtId="180" fontId="9" fillId="3" borderId="0" xfId="1" applyNumberFormat="1" applyFont="1" applyFill="1" applyAlignment="1">
      <alignment vertical="center"/>
    </xf>
    <xf numFmtId="168" fontId="9" fillId="0" borderId="4" xfId="3" applyNumberFormat="1" applyFont="1" applyBorder="1" applyAlignment="1">
      <alignment vertical="center"/>
    </xf>
    <xf numFmtId="166" fontId="9" fillId="0" borderId="13" xfId="1" applyNumberFormat="1" applyFont="1" applyBorder="1" applyAlignment="1">
      <alignment vertical="center"/>
    </xf>
    <xf numFmtId="168" fontId="9" fillId="0" borderId="0" xfId="3" applyNumberFormat="1" applyFont="1" applyBorder="1" applyAlignment="1">
      <alignment vertical="center"/>
    </xf>
    <xf numFmtId="166" fontId="9" fillId="0" borderId="15" xfId="1" applyNumberFormat="1" applyFont="1" applyBorder="1" applyAlignment="1">
      <alignment vertical="center"/>
    </xf>
    <xf numFmtId="0" fontId="15" fillId="0" borderId="17" xfId="0" applyFont="1" applyBorder="1" applyAlignment="1">
      <alignment vertical="center"/>
    </xf>
    <xf numFmtId="168" fontId="6" fillId="0" borderId="8" xfId="3" applyNumberFormat="1" applyFont="1" applyBorder="1" applyAlignment="1">
      <alignment vertical="center"/>
    </xf>
    <xf numFmtId="166" fontId="6" fillId="0" borderId="9" xfId="1" applyNumberFormat="1" applyFont="1" applyBorder="1" applyAlignment="1">
      <alignment vertical="center"/>
    </xf>
    <xf numFmtId="166" fontId="0" fillId="0" borderId="0" xfId="0" applyNumberFormat="1" applyAlignment="1">
      <alignment vertical="center"/>
    </xf>
    <xf numFmtId="0" fontId="20" fillId="0" borderId="17" xfId="0" applyFont="1" applyBorder="1" applyAlignment="1">
      <alignment vertical="center"/>
    </xf>
    <xf numFmtId="169" fontId="6" fillId="0" borderId="9" xfId="1" applyNumberFormat="1" applyFont="1" applyBorder="1" applyAlignment="1">
      <alignment vertical="center"/>
    </xf>
    <xf numFmtId="0" fontId="16" fillId="0" borderId="15" xfId="0" applyFont="1" applyBorder="1" applyAlignment="1">
      <alignment vertical="center"/>
    </xf>
    <xf numFmtId="166" fontId="7" fillId="0" borderId="15" xfId="1" applyNumberFormat="1" applyFont="1" applyBorder="1" applyAlignment="1">
      <alignment horizontal="center" vertical="center"/>
    </xf>
    <xf numFmtId="166" fontId="7" fillId="0" borderId="0" xfId="1" applyNumberFormat="1" applyFont="1" applyBorder="1" applyAlignment="1">
      <alignment horizontal="center" vertical="center"/>
    </xf>
    <xf numFmtId="169" fontId="7" fillId="0" borderId="17" xfId="1" applyNumberFormat="1" applyFont="1" applyBorder="1" applyAlignment="1">
      <alignment horizontal="center" vertical="center"/>
    </xf>
    <xf numFmtId="166" fontId="7" fillId="0" borderId="18" xfId="1" applyNumberFormat="1" applyFont="1" applyBorder="1" applyAlignment="1">
      <alignment horizontal="center" vertical="center"/>
    </xf>
    <xf numFmtId="166" fontId="7" fillId="0" borderId="17" xfId="1" applyNumberFormat="1" applyFont="1" applyBorder="1" applyAlignment="1">
      <alignment horizontal="center" vertical="center"/>
    </xf>
    <xf numFmtId="0" fontId="2" fillId="0" borderId="0" xfId="0" applyFont="1" applyAlignment="1">
      <alignment vertical="center"/>
    </xf>
    <xf numFmtId="164" fontId="5" fillId="0" borderId="0" xfId="0" applyNumberFormat="1" applyFont="1" applyAlignment="1">
      <alignment vertical="center"/>
    </xf>
    <xf numFmtId="165" fontId="5" fillId="0" borderId="0" xfId="0" applyNumberFormat="1" applyFont="1" applyAlignment="1">
      <alignment vertical="center"/>
    </xf>
    <xf numFmtId="166" fontId="7" fillId="0" borderId="0" xfId="0" applyNumberFormat="1" applyFont="1" applyAlignment="1">
      <alignment vertical="center"/>
    </xf>
    <xf numFmtId="167" fontId="9" fillId="3" borderId="0" xfId="3" applyNumberFormat="1" applyFont="1" applyFill="1" applyBorder="1" applyAlignment="1">
      <alignment vertical="center"/>
    </xf>
    <xf numFmtId="167" fontId="7" fillId="2" borderId="0" xfId="3" applyNumberFormat="1" applyFont="1" applyFill="1" applyBorder="1" applyAlignment="1">
      <alignment vertical="center"/>
    </xf>
    <xf numFmtId="167" fontId="9" fillId="3" borderId="0" xfId="3" applyNumberFormat="1" applyFont="1" applyFill="1" applyBorder="1" applyAlignment="1">
      <alignment horizontal="right" vertical="center"/>
    </xf>
    <xf numFmtId="167" fontId="0" fillId="0" borderId="0" xfId="0" applyNumberFormat="1" applyAlignment="1">
      <alignment vertical="center"/>
    </xf>
    <xf numFmtId="168" fontId="7" fillId="0" borderId="0" xfId="1" applyNumberFormat="1" applyFont="1" applyAlignment="1">
      <alignment vertical="center"/>
    </xf>
    <xf numFmtId="1" fontId="9" fillId="3" borderId="0" xfId="3" applyNumberFormat="1" applyFont="1" applyFill="1" applyBorder="1" applyAlignment="1">
      <alignment vertical="center"/>
    </xf>
    <xf numFmtId="1" fontId="7" fillId="0" borderId="0" xfId="3" applyNumberFormat="1" applyFont="1" applyFill="1" applyBorder="1" applyAlignment="1">
      <alignment vertical="center"/>
    </xf>
    <xf numFmtId="166" fontId="7" fillId="0" borderId="0" xfId="1" applyNumberFormat="1" applyFont="1" applyAlignment="1">
      <alignment vertical="center"/>
    </xf>
    <xf numFmtId="9" fontId="9" fillId="0" borderId="0" xfId="3" applyFont="1" applyAlignment="1">
      <alignment vertical="center"/>
    </xf>
    <xf numFmtId="9" fontId="7" fillId="0" borderId="0" xfId="3" applyFont="1" applyAlignment="1">
      <alignment vertical="center"/>
    </xf>
    <xf numFmtId="166" fontId="9" fillId="0" borderId="0" xfId="1" applyNumberFormat="1" applyFont="1" applyBorder="1" applyAlignment="1">
      <alignment vertical="center"/>
    </xf>
    <xf numFmtId="166" fontId="7" fillId="0" borderId="0" xfId="1" applyNumberFormat="1" applyFont="1" applyBorder="1" applyAlignment="1">
      <alignment vertical="center"/>
    </xf>
    <xf numFmtId="166" fontId="6" fillId="0" borderId="5" xfId="1" applyNumberFormat="1" applyFont="1" applyBorder="1" applyAlignment="1">
      <alignment vertical="center"/>
    </xf>
    <xf numFmtId="166" fontId="6" fillId="0" borderId="10" xfId="1" applyNumberFormat="1" applyFont="1" applyBorder="1" applyAlignment="1">
      <alignment vertical="center"/>
    </xf>
    <xf numFmtId="166" fontId="7" fillId="0" borderId="0" xfId="2" applyNumberFormat="1" applyFont="1" applyAlignment="1">
      <alignment vertical="center"/>
    </xf>
    <xf numFmtId="166" fontId="6" fillId="0" borderId="11" xfId="1" applyNumberFormat="1" applyFont="1" applyBorder="1" applyAlignment="1">
      <alignment vertical="center"/>
    </xf>
    <xf numFmtId="166" fontId="6" fillId="0" borderId="6" xfId="1" applyNumberFormat="1" applyFont="1" applyBorder="1" applyAlignment="1">
      <alignment vertical="center"/>
    </xf>
    <xf numFmtId="166" fontId="9" fillId="0" borderId="0" xfId="0" applyNumberFormat="1" applyFont="1" applyAlignment="1">
      <alignment vertical="center"/>
    </xf>
    <xf numFmtId="166" fontId="9" fillId="0" borderId="0" xfId="2" applyNumberFormat="1" applyFont="1" applyAlignment="1">
      <alignment vertical="center"/>
    </xf>
    <xf numFmtId="166" fontId="9" fillId="0" borderId="7" xfId="0" applyNumberFormat="1" applyFont="1" applyBorder="1" applyAlignment="1">
      <alignment vertical="center"/>
    </xf>
    <xf numFmtId="166" fontId="9" fillId="0" borderId="8" xfId="0" applyNumberFormat="1" applyFont="1" applyBorder="1" applyAlignment="1">
      <alignment vertical="center"/>
    </xf>
    <xf numFmtId="166" fontId="9" fillId="0" borderId="9" xfId="0" applyNumberFormat="1" applyFont="1" applyBorder="1" applyAlignment="1">
      <alignment vertical="center"/>
    </xf>
    <xf numFmtId="166" fontId="2" fillId="0" borderId="0" xfId="0" applyNumberFormat="1" applyFont="1" applyAlignment="1">
      <alignment vertical="center"/>
    </xf>
    <xf numFmtId="176" fontId="0" fillId="0" borderId="0" xfId="3" applyNumberFormat="1" applyFont="1" applyAlignment="1">
      <alignment vertical="center"/>
    </xf>
    <xf numFmtId="166" fontId="7" fillId="3" borderId="0" xfId="1" applyNumberFormat="1" applyFont="1" applyFill="1" applyAlignment="1">
      <alignment vertical="center"/>
    </xf>
    <xf numFmtId="166" fontId="9" fillId="3" borderId="12" xfId="1" applyNumberFormat="1" applyFont="1" applyFill="1" applyBorder="1" applyAlignment="1">
      <alignment vertical="center"/>
    </xf>
    <xf numFmtId="166" fontId="9" fillId="3" borderId="4" xfId="1" applyNumberFormat="1" applyFont="1" applyFill="1" applyBorder="1" applyAlignment="1">
      <alignment vertical="center"/>
    </xf>
    <xf numFmtId="166" fontId="9" fillId="3" borderId="14" xfId="1" applyNumberFormat="1" applyFont="1" applyFill="1" applyBorder="1" applyAlignment="1">
      <alignment vertical="center"/>
    </xf>
    <xf numFmtId="166" fontId="9" fillId="3" borderId="16" xfId="1" applyNumberFormat="1" applyFont="1" applyFill="1" applyBorder="1" applyAlignment="1">
      <alignment vertical="center"/>
    </xf>
    <xf numFmtId="166" fontId="9" fillId="3" borderId="17" xfId="1" applyNumberFormat="1" applyFont="1" applyFill="1" applyBorder="1" applyAlignment="1">
      <alignment vertical="center"/>
    </xf>
    <xf numFmtId="166" fontId="9" fillId="0" borderId="0" xfId="1" applyNumberFormat="1" applyFont="1" applyFill="1" applyAlignment="1">
      <alignment vertical="center"/>
    </xf>
    <xf numFmtId="166" fontId="6" fillId="0" borderId="0" xfId="0" applyNumberFormat="1" applyFont="1" applyAlignment="1">
      <alignment vertical="center"/>
    </xf>
    <xf numFmtId="166" fontId="9" fillId="3" borderId="0" xfId="1" applyNumberFormat="1" applyFont="1" applyFill="1" applyBorder="1" applyAlignment="1">
      <alignment vertical="center"/>
    </xf>
    <xf numFmtId="166" fontId="9" fillId="2" borderId="4" xfId="1" applyNumberFormat="1" applyFont="1" applyFill="1" applyBorder="1" applyAlignment="1">
      <alignment vertical="center"/>
    </xf>
    <xf numFmtId="0" fontId="6" fillId="0" borderId="0" xfId="0" applyFont="1" applyAlignment="1">
      <alignment horizontal="right" vertical="center"/>
    </xf>
    <xf numFmtId="0" fontId="9" fillId="0" borderId="12" xfId="0" applyFont="1" applyBorder="1" applyAlignment="1">
      <alignment vertical="center"/>
    </xf>
    <xf numFmtId="169" fontId="7" fillId="0" borderId="13" xfId="1" applyNumberFormat="1" applyFont="1" applyBorder="1" applyAlignment="1">
      <alignment vertical="center"/>
    </xf>
    <xf numFmtId="170" fontId="6" fillId="0" borderId="0" xfId="0" applyNumberFormat="1" applyFont="1" applyAlignment="1">
      <alignment vertical="center"/>
    </xf>
    <xf numFmtId="0" fontId="9" fillId="0" borderId="16" xfId="0" applyFont="1" applyBorder="1" applyAlignment="1">
      <alignment vertical="center"/>
    </xf>
    <xf numFmtId="166" fontId="7" fillId="0" borderId="18" xfId="1" applyNumberFormat="1" applyFont="1" applyBorder="1" applyAlignment="1">
      <alignment vertical="center"/>
    </xf>
    <xf numFmtId="9" fontId="9" fillId="3" borderId="7" xfId="3" applyFont="1" applyFill="1" applyBorder="1" applyAlignment="1">
      <alignment vertical="center"/>
    </xf>
    <xf numFmtId="9" fontId="9" fillId="3" borderId="8" xfId="3" applyFont="1" applyFill="1" applyBorder="1" applyAlignment="1">
      <alignment vertical="center"/>
    </xf>
    <xf numFmtId="9" fontId="9" fillId="3" borderId="9" xfId="3" applyFont="1" applyFill="1" applyBorder="1" applyAlignment="1">
      <alignment vertical="center"/>
    </xf>
    <xf numFmtId="9" fontId="7" fillId="0" borderId="18" xfId="3" applyFont="1" applyBorder="1" applyAlignment="1">
      <alignment vertical="center"/>
    </xf>
    <xf numFmtId="169" fontId="9" fillId="0" borderId="0" xfId="0" applyNumberFormat="1" applyFont="1" applyAlignment="1">
      <alignment vertical="center"/>
    </xf>
    <xf numFmtId="164" fontId="12" fillId="0" borderId="0" xfId="0" applyNumberFormat="1" applyFont="1" applyAlignment="1">
      <alignment horizontal="right" vertical="center"/>
    </xf>
    <xf numFmtId="0" fontId="12" fillId="0" borderId="0" xfId="0" applyFont="1" applyAlignment="1">
      <alignment horizontal="left" vertical="center"/>
    </xf>
    <xf numFmtId="171" fontId="12" fillId="0" borderId="0" xfId="0" applyNumberFormat="1" applyFont="1" applyAlignment="1">
      <alignment horizontal="right" vertical="center"/>
    </xf>
    <xf numFmtId="165" fontId="12" fillId="0" borderId="19" xfId="0" applyNumberFormat="1" applyFont="1" applyBorder="1" applyAlignment="1">
      <alignment horizontal="left" vertical="center"/>
    </xf>
    <xf numFmtId="172" fontId="13" fillId="0" borderId="20" xfId="0" applyNumberFormat="1" applyFont="1" applyBorder="1" applyAlignment="1">
      <alignment horizontal="left" vertical="center"/>
    </xf>
    <xf numFmtId="165" fontId="14" fillId="0" borderId="21" xfId="0" applyNumberFormat="1" applyFont="1" applyBorder="1" applyAlignment="1">
      <alignment horizontal="left" vertical="center"/>
    </xf>
    <xf numFmtId="173" fontId="13" fillId="6" borderId="20" xfId="0" applyNumberFormat="1" applyFont="1" applyFill="1" applyBorder="1" applyAlignment="1">
      <alignment horizontal="right" vertical="center"/>
    </xf>
    <xf numFmtId="173" fontId="13" fillId="6" borderId="21" xfId="0" applyNumberFormat="1" applyFont="1" applyFill="1" applyBorder="1" applyAlignment="1">
      <alignment horizontal="right" vertical="center"/>
    </xf>
    <xf numFmtId="169" fontId="6" fillId="3" borderId="4" xfId="0" applyNumberFormat="1" applyFont="1" applyFill="1" applyBorder="1" applyAlignment="1">
      <alignment vertical="center"/>
    </xf>
    <xf numFmtId="165" fontId="12" fillId="0" borderId="22" xfId="0" applyNumberFormat="1" applyFont="1" applyBorder="1" applyAlignment="1">
      <alignment horizontal="left" vertical="center"/>
    </xf>
    <xf numFmtId="172" fontId="13" fillId="0" borderId="0" xfId="0" applyNumberFormat="1" applyFont="1" applyAlignment="1">
      <alignment horizontal="left" vertical="center"/>
    </xf>
    <xf numFmtId="165" fontId="14" fillId="0" borderId="23" xfId="0" applyNumberFormat="1" applyFont="1" applyBorder="1" applyAlignment="1">
      <alignment horizontal="left" vertical="center"/>
    </xf>
    <xf numFmtId="173" fontId="13" fillId="6" borderId="0" xfId="0" applyNumberFormat="1" applyFont="1" applyFill="1" applyAlignment="1">
      <alignment horizontal="right" vertical="center"/>
    </xf>
    <xf numFmtId="173" fontId="13" fillId="6" borderId="23" xfId="0" applyNumberFormat="1" applyFont="1" applyFill="1" applyBorder="1" applyAlignment="1">
      <alignment horizontal="right" vertical="center"/>
    </xf>
    <xf numFmtId="165" fontId="12" fillId="0" borderId="24" xfId="0" applyNumberFormat="1" applyFont="1" applyBorder="1" applyAlignment="1">
      <alignment horizontal="left" vertical="center"/>
    </xf>
    <xf numFmtId="172" fontId="13" fillId="0" borderId="25" xfId="0" applyNumberFormat="1" applyFont="1" applyBorder="1" applyAlignment="1">
      <alignment horizontal="left" vertical="center"/>
    </xf>
    <xf numFmtId="165" fontId="14" fillId="0" borderId="26" xfId="0" applyNumberFormat="1" applyFont="1" applyBorder="1" applyAlignment="1">
      <alignment horizontal="left" vertical="center"/>
    </xf>
    <xf numFmtId="173" fontId="13" fillId="6" borderId="25" xfId="0" applyNumberFormat="1" applyFont="1" applyFill="1" applyBorder="1" applyAlignment="1">
      <alignment horizontal="right" vertical="center"/>
    </xf>
    <xf numFmtId="173" fontId="13" fillId="6" borderId="26" xfId="0" applyNumberFormat="1" applyFont="1" applyFill="1" applyBorder="1" applyAlignment="1">
      <alignment horizontal="right" vertical="center"/>
    </xf>
    <xf numFmtId="165" fontId="12" fillId="0" borderId="0" xfId="0" applyNumberFormat="1" applyFont="1" applyAlignment="1">
      <alignment horizontal="right" vertical="center"/>
    </xf>
    <xf numFmtId="174" fontId="13" fillId="6" borderId="20" xfId="0" applyNumberFormat="1" applyFont="1" applyFill="1" applyBorder="1" applyAlignment="1">
      <alignment horizontal="left" vertical="center"/>
    </xf>
    <xf numFmtId="174" fontId="13" fillId="6" borderId="19" xfId="0" applyNumberFormat="1" applyFont="1" applyFill="1" applyBorder="1" applyAlignment="1">
      <alignment horizontal="right" vertical="center"/>
    </xf>
    <xf numFmtId="174" fontId="13" fillId="6" borderId="20" xfId="0" applyNumberFormat="1" applyFont="1" applyFill="1" applyBorder="1" applyAlignment="1">
      <alignment horizontal="right" vertical="center"/>
    </xf>
    <xf numFmtId="174" fontId="13" fillId="6" borderId="21" xfId="0" applyNumberFormat="1" applyFont="1" applyFill="1" applyBorder="1" applyAlignment="1">
      <alignment horizontal="right" vertical="center"/>
    </xf>
    <xf numFmtId="174" fontId="13" fillId="6" borderId="0" xfId="0" applyNumberFormat="1" applyFont="1" applyFill="1" applyAlignment="1">
      <alignment horizontal="left" vertical="center"/>
    </xf>
    <xf numFmtId="174" fontId="13" fillId="6" borderId="22" xfId="0" applyNumberFormat="1" applyFont="1" applyFill="1" applyBorder="1" applyAlignment="1">
      <alignment horizontal="right" vertical="center"/>
    </xf>
    <xf numFmtId="174" fontId="13" fillId="6" borderId="0" xfId="0" applyNumberFormat="1" applyFont="1" applyFill="1" applyAlignment="1">
      <alignment horizontal="right" vertical="center"/>
    </xf>
    <xf numFmtId="174" fontId="13" fillId="6" borderId="23" xfId="0" applyNumberFormat="1" applyFont="1" applyFill="1" applyBorder="1" applyAlignment="1">
      <alignment horizontal="right" vertical="center"/>
    </xf>
    <xf numFmtId="174" fontId="13" fillId="6" borderId="25" xfId="0" applyNumberFormat="1" applyFont="1" applyFill="1" applyBorder="1" applyAlignment="1">
      <alignment horizontal="left" vertical="center"/>
    </xf>
    <xf numFmtId="174" fontId="13" fillId="6" borderId="24" xfId="0" applyNumberFormat="1" applyFont="1" applyFill="1" applyBorder="1" applyAlignment="1">
      <alignment horizontal="right" vertical="center"/>
    </xf>
    <xf numFmtId="174" fontId="13" fillId="6" borderId="25" xfId="0" applyNumberFormat="1" applyFont="1" applyFill="1" applyBorder="1" applyAlignment="1">
      <alignment horizontal="right" vertical="center"/>
    </xf>
    <xf numFmtId="174" fontId="13" fillId="6" borderId="26" xfId="0" applyNumberFormat="1" applyFont="1" applyFill="1" applyBorder="1" applyAlignment="1">
      <alignment horizontal="right" vertical="center"/>
    </xf>
    <xf numFmtId="166" fontId="9" fillId="0" borderId="4" xfId="0" applyNumberFormat="1" applyFont="1" applyBorder="1" applyAlignment="1">
      <alignment vertical="center"/>
    </xf>
    <xf numFmtId="166" fontId="5" fillId="3" borderId="4" xfId="1" applyNumberFormat="1" applyFont="1" applyFill="1" applyBorder="1" applyAlignment="1">
      <alignment vertical="center"/>
    </xf>
    <xf numFmtId="0" fontId="6" fillId="0" borderId="4" xfId="0" applyFont="1" applyBorder="1" applyAlignment="1">
      <alignment horizontal="left" vertical="center"/>
    </xf>
    <xf numFmtId="0" fontId="15" fillId="0" borderId="4" xfId="0" applyFont="1" applyBorder="1" applyAlignment="1">
      <alignment vertical="center"/>
    </xf>
    <xf numFmtId="166" fontId="9" fillId="2" borderId="0" xfId="1" applyNumberFormat="1" applyFont="1" applyFill="1" applyAlignment="1">
      <alignment vertical="center"/>
    </xf>
    <xf numFmtId="9" fontId="9" fillId="3" borderId="0" xfId="3" applyFont="1" applyFill="1" applyBorder="1" applyAlignment="1">
      <alignment vertical="center"/>
    </xf>
    <xf numFmtId="175" fontId="7" fillId="3" borderId="0" xfId="3" applyNumberFormat="1" applyFont="1" applyFill="1" applyBorder="1" applyAlignment="1">
      <alignment vertical="center"/>
    </xf>
    <xf numFmtId="175" fontId="7" fillId="3" borderId="15" xfId="3" applyNumberFormat="1" applyFont="1" applyFill="1" applyBorder="1" applyAlignment="1">
      <alignment vertical="center"/>
    </xf>
    <xf numFmtId="168" fontId="9" fillId="3" borderId="17" xfId="3" applyNumberFormat="1" applyFont="1" applyFill="1" applyBorder="1" applyAlignment="1">
      <alignment vertical="center"/>
    </xf>
    <xf numFmtId="167" fontId="7" fillId="3" borderId="17" xfId="3" applyNumberFormat="1" applyFont="1" applyFill="1" applyBorder="1" applyAlignment="1">
      <alignment vertical="center"/>
    </xf>
    <xf numFmtId="167" fontId="7" fillId="3" borderId="18" xfId="3" applyNumberFormat="1" applyFont="1" applyFill="1" applyBorder="1" applyAlignment="1">
      <alignment vertical="center"/>
    </xf>
    <xf numFmtId="0" fontId="0" fillId="3" borderId="4" xfId="0" applyFill="1" applyBorder="1" applyAlignment="1">
      <alignment vertical="center"/>
    </xf>
    <xf numFmtId="9" fontId="9" fillId="3" borderId="4" xfId="3" applyFont="1" applyFill="1" applyBorder="1" applyAlignment="1">
      <alignment vertical="center"/>
    </xf>
    <xf numFmtId="9" fontId="7" fillId="3" borderId="4" xfId="3" applyFont="1" applyFill="1" applyBorder="1" applyAlignment="1">
      <alignment vertical="center"/>
    </xf>
    <xf numFmtId="9" fontId="7" fillId="3" borderId="13" xfId="3" applyFont="1" applyFill="1" applyBorder="1" applyAlignment="1">
      <alignment vertical="center"/>
    </xf>
    <xf numFmtId="0" fontId="0" fillId="3" borderId="0" xfId="0" applyFill="1" applyAlignment="1">
      <alignment vertical="center"/>
    </xf>
    <xf numFmtId="9" fontId="7" fillId="3" borderId="0" xfId="3" applyFont="1" applyFill="1" applyBorder="1" applyAlignment="1">
      <alignment vertical="center"/>
    </xf>
    <xf numFmtId="9" fontId="7" fillId="3" borderId="15" xfId="3" applyFont="1" applyFill="1" applyBorder="1" applyAlignment="1">
      <alignment vertical="center"/>
    </xf>
    <xf numFmtId="0" fontId="0" fillId="0" borderId="14" xfId="0" applyBorder="1" applyAlignment="1">
      <alignment horizontal="left" vertical="center"/>
    </xf>
    <xf numFmtId="0" fontId="0" fillId="3" borderId="15" xfId="0" applyFill="1" applyBorder="1" applyAlignment="1">
      <alignment vertical="center"/>
    </xf>
    <xf numFmtId="0" fontId="0" fillId="3" borderId="17" xfId="0" applyFill="1" applyBorder="1" applyAlignment="1">
      <alignment vertical="center"/>
    </xf>
    <xf numFmtId="9" fontId="9" fillId="3" borderId="17" xfId="3" applyFont="1" applyFill="1" applyBorder="1" applyAlignment="1">
      <alignment vertical="center"/>
    </xf>
    <xf numFmtId="9" fontId="7" fillId="3" borderId="17" xfId="3" applyFont="1" applyFill="1" applyBorder="1" applyAlignment="1">
      <alignment vertical="center"/>
    </xf>
    <xf numFmtId="9" fontId="7" fillId="3" borderId="18" xfId="3" applyFont="1" applyFill="1" applyBorder="1" applyAlignment="1">
      <alignment vertical="center"/>
    </xf>
    <xf numFmtId="167" fontId="9" fillId="3" borderId="4" xfId="3" applyNumberFormat="1" applyFont="1" applyFill="1" applyBorder="1" applyAlignment="1">
      <alignment vertical="center"/>
    </xf>
    <xf numFmtId="167" fontId="9" fillId="3" borderId="17" xfId="3" applyNumberFormat="1" applyFont="1" applyFill="1" applyBorder="1" applyAlignment="1">
      <alignment vertical="center"/>
    </xf>
    <xf numFmtId="167" fontId="9" fillId="3" borderId="18" xfId="3" applyNumberFormat="1" applyFont="1" applyFill="1" applyBorder="1" applyAlignment="1">
      <alignment vertical="center"/>
    </xf>
    <xf numFmtId="0" fontId="0" fillId="0" borderId="15" xfId="0" applyBorder="1" applyAlignment="1">
      <alignment vertical="center"/>
    </xf>
    <xf numFmtId="168" fontId="9" fillId="3" borderId="0" xfId="3" applyNumberFormat="1" applyFont="1" applyFill="1" applyBorder="1" applyAlignment="1">
      <alignment vertical="center"/>
    </xf>
    <xf numFmtId="168" fontId="9" fillId="2" borderId="0" xfId="3" applyNumberFormat="1" applyFont="1" applyFill="1" applyBorder="1" applyAlignment="1">
      <alignment vertical="center"/>
    </xf>
    <xf numFmtId="0" fontId="9" fillId="0" borderId="4" xfId="0" applyFont="1" applyBorder="1" applyAlignment="1">
      <alignment horizontal="left" vertical="center"/>
    </xf>
    <xf numFmtId="0" fontId="10" fillId="4" borderId="7" xfId="0" applyFont="1" applyFill="1" applyBorder="1" applyAlignment="1">
      <alignment horizontal="left" vertical="center"/>
    </xf>
    <xf numFmtId="0" fontId="22" fillId="4" borderId="8" xfId="0" applyFont="1" applyFill="1" applyBorder="1" applyAlignment="1">
      <alignment vertical="center"/>
    </xf>
    <xf numFmtId="167" fontId="10" fillId="4" borderId="29" xfId="3" applyNumberFormat="1" applyFont="1" applyFill="1" applyBorder="1" applyAlignment="1">
      <alignment vertical="center"/>
    </xf>
    <xf numFmtId="168" fontId="10" fillId="4" borderId="13" xfId="3" applyNumberFormat="1" applyFont="1" applyFill="1" applyBorder="1" applyAlignment="1">
      <alignment horizontal="center" vertical="center"/>
    </xf>
    <xf numFmtId="168" fontId="10" fillId="4" borderId="18" xfId="3" applyNumberFormat="1" applyFont="1" applyFill="1" applyBorder="1" applyAlignment="1">
      <alignment horizontal="center" vertical="center"/>
    </xf>
    <xf numFmtId="168" fontId="7" fillId="0" borderId="0" xfId="3" applyNumberFormat="1" applyFont="1" applyAlignment="1">
      <alignment vertical="center"/>
    </xf>
    <xf numFmtId="9" fontId="0" fillId="0" borderId="0" xfId="3" applyFont="1" applyAlignment="1">
      <alignment vertical="center"/>
    </xf>
    <xf numFmtId="166" fontId="23" fillId="0" borderId="0" xfId="1" applyNumberFormat="1" applyFont="1" applyAlignment="1">
      <alignment vertical="center"/>
    </xf>
    <xf numFmtId="167" fontId="24" fillId="2" borderId="0" xfId="3" applyNumberFormat="1" applyFont="1" applyFill="1" applyBorder="1" applyAlignment="1">
      <alignment vertical="center"/>
    </xf>
    <xf numFmtId="0" fontId="9" fillId="0" borderId="0" xfId="0" applyFont="1" applyAlignment="1">
      <alignment horizontal="left" vertical="center" indent="1"/>
    </xf>
    <xf numFmtId="0" fontId="9" fillId="0" borderId="0" xfId="0" applyFont="1" applyAlignment="1">
      <alignment horizontal="right" vertical="center"/>
    </xf>
    <xf numFmtId="0" fontId="11" fillId="5" borderId="0" xfId="0" applyFont="1" applyFill="1" applyAlignment="1">
      <alignment horizontal="left" vertical="center" indent="1"/>
    </xf>
    <xf numFmtId="0" fontId="10" fillId="4" borderId="0" xfId="0" applyFont="1" applyFill="1" applyAlignment="1">
      <alignment horizontal="left" vertical="center" indent="1"/>
    </xf>
    <xf numFmtId="0" fontId="0" fillId="4" borderId="0" xfId="0" applyFill="1" applyAlignment="1">
      <alignment vertical="center"/>
    </xf>
    <xf numFmtId="169" fontId="7" fillId="0" borderId="0" xfId="0" applyNumberFormat="1" applyFont="1" applyAlignment="1">
      <alignment horizontal="center" vertical="center"/>
    </xf>
    <xf numFmtId="0" fontId="0" fillId="4" borderId="44" xfId="0" applyFill="1" applyBorder="1"/>
    <xf numFmtId="0" fontId="0" fillId="4" borderId="45" xfId="0" applyFill="1" applyBorder="1"/>
    <xf numFmtId="0" fontId="0" fillId="4" borderId="46" xfId="0" applyFill="1" applyBorder="1"/>
    <xf numFmtId="0" fontId="0" fillId="4" borderId="47" xfId="0" applyFill="1" applyBorder="1"/>
    <xf numFmtId="0" fontId="0" fillId="4" borderId="0" xfId="0" applyFill="1"/>
    <xf numFmtId="0" fontId="0" fillId="4" borderId="48" xfId="0" applyFill="1" applyBorder="1"/>
    <xf numFmtId="0" fontId="0" fillId="0" borderId="47" xfId="0" applyBorder="1"/>
    <xf numFmtId="0" fontId="0" fillId="0" borderId="48" xfId="0" applyBorder="1"/>
    <xf numFmtId="0" fontId="0" fillId="2" borderId="47" xfId="0" applyFill="1" applyBorder="1"/>
    <xf numFmtId="0" fontId="0" fillId="2" borderId="48" xfId="0" applyFill="1" applyBorder="1"/>
    <xf numFmtId="0" fontId="0" fillId="0" borderId="49" xfId="0" applyBorder="1"/>
    <xf numFmtId="0" fontId="0" fillId="0" borderId="50" xfId="0" applyBorder="1"/>
    <xf numFmtId="0" fontId="0" fillId="0" borderId="51" xfId="0" applyBorder="1"/>
    <xf numFmtId="0" fontId="2" fillId="5" borderId="0" xfId="0" applyFont="1" applyFill="1"/>
    <xf numFmtId="0" fontId="0" fillId="5" borderId="0" xfId="0" applyFill="1"/>
    <xf numFmtId="0" fontId="25" fillId="0" borderId="0" xfId="4" applyFont="1" applyFill="1" applyBorder="1" applyAlignment="1">
      <alignment horizontal="left" vertical="center" indent="1"/>
    </xf>
    <xf numFmtId="0" fontId="26" fillId="0" borderId="0" xfId="0" applyFont="1" applyAlignment="1">
      <alignment horizontal="left"/>
    </xf>
    <xf numFmtId="166" fontId="6" fillId="3" borderId="7" xfId="1" applyNumberFormat="1" applyFont="1" applyFill="1" applyBorder="1" applyAlignment="1">
      <alignment vertical="center"/>
    </xf>
  </cellXfs>
  <cellStyles count="5">
    <cellStyle name="Comma" xfId="1" builtinId="3"/>
    <cellStyle name="Currency" xfId="2" builtinId="4"/>
    <cellStyle name="Hyperlink" xfId="4" builtinId="8"/>
    <cellStyle name="Normal" xfId="0" builtinId="0"/>
    <cellStyle name="Percent" xfId="3" builtinId="5"/>
  </cellStyles>
  <dxfs count="0"/>
  <tableStyles count="0" defaultTableStyle="TableStyleMedium2" defaultPivotStyle="PivotStyleLight16"/>
  <colors>
    <mruColors>
      <color rgb="FF3271D2"/>
      <color rgb="FF55555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100" b="0" i="0" u="none" strike="noStrike" kern="1200" spc="0" baseline="0">
                <a:solidFill>
                  <a:schemeClr val="tx1">
                    <a:lumMod val="65000"/>
                    <a:lumOff val="35000"/>
                  </a:schemeClr>
                </a:solidFill>
                <a:latin typeface="+mn-lt"/>
                <a:ea typeface="+mn-ea"/>
                <a:cs typeface="+mn-cs"/>
              </a:defRPr>
            </a:pPr>
            <a:r>
              <a:rPr lang="en-US" sz="1100"/>
              <a:t>Reveune Trend ($ Million)</a:t>
            </a:r>
          </a:p>
        </c:rich>
      </c:tx>
      <c:overlay val="0"/>
      <c:spPr>
        <a:noFill/>
        <a:ln>
          <a:noFill/>
        </a:ln>
        <a:effectLst/>
      </c:spPr>
      <c:txPr>
        <a:bodyPr rot="0" spcFirstLastPara="1" vertOverflow="ellipsis" vert="horz" wrap="square" anchor="ctr" anchorCtr="1"/>
        <a:lstStyle/>
        <a:p>
          <a:pPr>
            <a:defRPr sz="11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Dashboard!$G$9</c:f>
              <c:strCache>
                <c:ptCount val="1"/>
                <c:pt idx="0">
                  <c:v>Revenue</c:v>
                </c:pt>
              </c:strCache>
            </c:strRef>
          </c:tx>
          <c:spPr>
            <a:solidFill>
              <a:schemeClr val="accent1"/>
            </a:solidFill>
            <a:ln>
              <a:noFill/>
            </a:ln>
            <a:effectLst/>
          </c:spPr>
          <c:invertIfNegative val="0"/>
          <c:dPt>
            <c:idx val="6"/>
            <c:invertIfNegative val="0"/>
            <c:bubble3D val="0"/>
            <c:spPr>
              <a:solidFill>
                <a:schemeClr val="accent1"/>
              </a:solidFill>
              <a:ln>
                <a:solidFill>
                  <a:schemeClr val="accent1">
                    <a:lumMod val="40000"/>
                    <a:lumOff val="60000"/>
                  </a:schemeClr>
                </a:solidFill>
                <a:prstDash val="sysDash"/>
              </a:ln>
              <a:effectLst/>
            </c:spPr>
            <c:extLst>
              <c:ext xmlns:c16="http://schemas.microsoft.com/office/drawing/2014/chart" uri="{C3380CC4-5D6E-409C-BE32-E72D297353CC}">
                <c16:uniqueId val="{00000001-650D-488F-B5F9-432932842779}"/>
              </c:ext>
            </c:extLst>
          </c:dPt>
          <c:dPt>
            <c:idx val="7"/>
            <c:invertIfNegative val="0"/>
            <c:bubble3D val="0"/>
            <c:spPr>
              <a:solidFill>
                <a:schemeClr val="accent1"/>
              </a:solidFill>
              <a:ln>
                <a:solidFill>
                  <a:schemeClr val="accent1">
                    <a:lumMod val="40000"/>
                    <a:lumOff val="60000"/>
                  </a:schemeClr>
                </a:solidFill>
                <a:prstDash val="sysDash"/>
              </a:ln>
              <a:effectLst/>
            </c:spPr>
            <c:extLst>
              <c:ext xmlns:c16="http://schemas.microsoft.com/office/drawing/2014/chart" uri="{C3380CC4-5D6E-409C-BE32-E72D297353CC}">
                <c16:uniqueId val="{00000003-650D-488F-B5F9-432932842779}"/>
              </c:ext>
            </c:extLst>
          </c:dPt>
          <c:dPt>
            <c:idx val="8"/>
            <c:invertIfNegative val="0"/>
            <c:bubble3D val="0"/>
            <c:spPr>
              <a:solidFill>
                <a:schemeClr val="accent1"/>
              </a:solidFill>
              <a:ln>
                <a:solidFill>
                  <a:schemeClr val="accent1">
                    <a:lumMod val="40000"/>
                    <a:lumOff val="60000"/>
                  </a:schemeClr>
                </a:solidFill>
                <a:prstDash val="sysDash"/>
              </a:ln>
              <a:effectLst/>
            </c:spPr>
            <c:extLst>
              <c:ext xmlns:c16="http://schemas.microsoft.com/office/drawing/2014/chart" uri="{C3380CC4-5D6E-409C-BE32-E72D297353CC}">
                <c16:uniqueId val="{00000005-650D-488F-B5F9-432932842779}"/>
              </c:ext>
            </c:extLst>
          </c:dPt>
          <c:dPt>
            <c:idx val="9"/>
            <c:invertIfNegative val="0"/>
            <c:bubble3D val="0"/>
            <c:spPr>
              <a:solidFill>
                <a:schemeClr val="accent1"/>
              </a:solidFill>
              <a:ln>
                <a:solidFill>
                  <a:schemeClr val="accent1">
                    <a:lumMod val="40000"/>
                    <a:lumOff val="60000"/>
                  </a:schemeClr>
                </a:solidFill>
                <a:prstDash val="sysDash"/>
              </a:ln>
              <a:effectLst/>
            </c:spPr>
            <c:extLst>
              <c:ext xmlns:c16="http://schemas.microsoft.com/office/drawing/2014/chart" uri="{C3380CC4-5D6E-409C-BE32-E72D297353CC}">
                <c16:uniqueId val="{00000007-650D-488F-B5F9-432932842779}"/>
              </c:ext>
            </c:extLst>
          </c:dPt>
          <c:dPt>
            <c:idx val="10"/>
            <c:invertIfNegative val="0"/>
            <c:bubble3D val="0"/>
            <c:spPr>
              <a:solidFill>
                <a:schemeClr val="accent1"/>
              </a:solidFill>
              <a:ln>
                <a:solidFill>
                  <a:schemeClr val="accent1">
                    <a:lumMod val="40000"/>
                    <a:lumOff val="60000"/>
                  </a:schemeClr>
                </a:solidFill>
                <a:prstDash val="sysDash"/>
              </a:ln>
              <a:effectLst/>
            </c:spPr>
            <c:extLst>
              <c:ext xmlns:c16="http://schemas.microsoft.com/office/drawing/2014/chart" uri="{C3380CC4-5D6E-409C-BE32-E72D297353CC}">
                <c16:uniqueId val="{00000009-650D-488F-B5F9-432932842779}"/>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Dashboard!$D$99:$N$99</c:f>
              <c:numCache>
                <c:formatCode>0"A"</c:formatCode>
                <c:ptCount val="11"/>
                <c:pt idx="0">
                  <c:v>2019</c:v>
                </c:pt>
                <c:pt idx="1">
                  <c:v>2020</c:v>
                </c:pt>
                <c:pt idx="2">
                  <c:v>2021</c:v>
                </c:pt>
                <c:pt idx="3">
                  <c:v>2022</c:v>
                </c:pt>
                <c:pt idx="4">
                  <c:v>2023</c:v>
                </c:pt>
                <c:pt idx="5">
                  <c:v>2024</c:v>
                </c:pt>
                <c:pt idx="6" formatCode="0&quot;F&quot;">
                  <c:v>2025</c:v>
                </c:pt>
                <c:pt idx="7" formatCode="0&quot;F&quot;">
                  <c:v>2026</c:v>
                </c:pt>
                <c:pt idx="8" formatCode="0&quot;F&quot;">
                  <c:v>2027</c:v>
                </c:pt>
                <c:pt idx="9" formatCode="0&quot;F&quot;">
                  <c:v>2028</c:v>
                </c:pt>
                <c:pt idx="10" formatCode="0&quot;F&quot;">
                  <c:v>2029</c:v>
                </c:pt>
              </c:numCache>
            </c:numRef>
          </c:cat>
          <c:val>
            <c:numRef>
              <c:f>Dashboard!$I$9:$S$9</c:f>
              <c:numCache>
                <c:formatCode>_(#,##0_);\(#,##0\);_("–"_);_(@_)</c:formatCode>
                <c:ptCount val="11"/>
                <c:pt idx="0">
                  <c:v>260174</c:v>
                </c:pt>
                <c:pt idx="1">
                  <c:v>274515</c:v>
                </c:pt>
                <c:pt idx="2">
                  <c:v>365817</c:v>
                </c:pt>
                <c:pt idx="3">
                  <c:v>394328</c:v>
                </c:pt>
                <c:pt idx="4">
                  <c:v>383285</c:v>
                </c:pt>
                <c:pt idx="5">
                  <c:v>391035</c:v>
                </c:pt>
                <c:pt idx="6">
                  <c:v>399722.00499999995</c:v>
                </c:pt>
                <c:pt idx="7">
                  <c:v>408957.33227499994</c:v>
                </c:pt>
                <c:pt idx="8">
                  <c:v>417114.56047074986</c:v>
                </c:pt>
                <c:pt idx="9">
                  <c:v>425679.3212995411</c:v>
                </c:pt>
                <c:pt idx="10">
                  <c:v>434675.65721406252</c:v>
                </c:pt>
              </c:numCache>
            </c:numRef>
          </c:val>
          <c:extLst>
            <c:ext xmlns:c16="http://schemas.microsoft.com/office/drawing/2014/chart" uri="{C3380CC4-5D6E-409C-BE32-E72D297353CC}">
              <c16:uniqueId val="{0000000A-650D-488F-B5F9-432932842779}"/>
            </c:ext>
          </c:extLst>
        </c:ser>
        <c:dLbls>
          <c:dLblPos val="outEnd"/>
          <c:showLegendKey val="0"/>
          <c:showVal val="1"/>
          <c:showCatName val="0"/>
          <c:showSerName val="0"/>
          <c:showPercent val="0"/>
          <c:showBubbleSize val="0"/>
        </c:dLbls>
        <c:gapWidth val="100"/>
        <c:axId val="1956681471"/>
        <c:axId val="1956690111"/>
      </c:barChart>
      <c:catAx>
        <c:axId val="1956681471"/>
        <c:scaling>
          <c:orientation val="minMax"/>
        </c:scaling>
        <c:delete val="0"/>
        <c:axPos val="b"/>
        <c:numFmt formatCode="0&quot;A&quot;"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56690111"/>
        <c:crosses val="autoZero"/>
        <c:auto val="1"/>
        <c:lblAlgn val="ctr"/>
        <c:lblOffset val="100"/>
        <c:noMultiLvlLbl val="0"/>
      </c:catAx>
      <c:valAx>
        <c:axId val="1956690111"/>
        <c:scaling>
          <c:orientation val="minMax"/>
          <c:min val="230000"/>
        </c:scaling>
        <c:delete val="1"/>
        <c:axPos val="l"/>
        <c:numFmt formatCode="_(#,##0_);\(#,##0\);_(&quot;–&quot;_);_(@_)" sourceLinked="1"/>
        <c:majorTickMark val="none"/>
        <c:minorTickMark val="none"/>
        <c:tickLblPos val="nextTo"/>
        <c:crossAx val="1956681471"/>
        <c:crosses val="autoZero"/>
        <c:crossBetween val="between"/>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100" b="0" i="0" u="none" strike="noStrike" kern="1200" spc="0" baseline="0">
                <a:solidFill>
                  <a:schemeClr val="tx1">
                    <a:lumMod val="65000"/>
                    <a:lumOff val="35000"/>
                  </a:schemeClr>
                </a:solidFill>
                <a:latin typeface="+mn-lt"/>
                <a:ea typeface="+mn-ea"/>
                <a:cs typeface="+mn-cs"/>
              </a:defRPr>
            </a:pPr>
            <a:r>
              <a:rPr lang="en-US" sz="1100"/>
              <a:t>Net Income Trend ($ Million)</a:t>
            </a:r>
          </a:p>
        </c:rich>
      </c:tx>
      <c:overlay val="0"/>
      <c:spPr>
        <a:noFill/>
        <a:ln>
          <a:noFill/>
        </a:ln>
        <a:effectLst/>
      </c:spPr>
      <c:txPr>
        <a:bodyPr rot="0" spcFirstLastPara="1" vertOverflow="ellipsis" vert="horz" wrap="square" anchor="ctr" anchorCtr="1"/>
        <a:lstStyle/>
        <a:p>
          <a:pPr>
            <a:defRPr sz="11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Dashboard!$G$20</c:f>
              <c:strCache>
                <c:ptCount val="1"/>
                <c:pt idx="0">
                  <c:v>Net Income</c:v>
                </c:pt>
              </c:strCache>
            </c:strRef>
          </c:tx>
          <c:spPr>
            <a:solidFill>
              <a:schemeClr val="accent1"/>
            </a:solidFill>
            <a:ln>
              <a:noFill/>
              <a:prstDash val="solid"/>
            </a:ln>
            <a:effectLst/>
          </c:spPr>
          <c:invertIfNegative val="0"/>
          <c:dPt>
            <c:idx val="6"/>
            <c:invertIfNegative val="0"/>
            <c:bubble3D val="0"/>
            <c:spPr>
              <a:solidFill>
                <a:schemeClr val="accent1"/>
              </a:solidFill>
              <a:ln>
                <a:noFill/>
                <a:prstDash val="sysDash"/>
              </a:ln>
              <a:effectLst/>
            </c:spPr>
            <c:extLst>
              <c:ext xmlns:c16="http://schemas.microsoft.com/office/drawing/2014/chart" uri="{C3380CC4-5D6E-409C-BE32-E72D297353CC}">
                <c16:uniqueId val="{00000001-FE25-49AD-97B1-AC59B117ACA8}"/>
              </c:ext>
            </c:extLst>
          </c:dPt>
          <c:dPt>
            <c:idx val="7"/>
            <c:invertIfNegative val="0"/>
            <c:bubble3D val="0"/>
            <c:spPr>
              <a:solidFill>
                <a:schemeClr val="accent1"/>
              </a:solidFill>
              <a:ln>
                <a:noFill/>
                <a:prstDash val="sysDash"/>
              </a:ln>
              <a:effectLst/>
            </c:spPr>
            <c:extLst>
              <c:ext xmlns:c16="http://schemas.microsoft.com/office/drawing/2014/chart" uri="{C3380CC4-5D6E-409C-BE32-E72D297353CC}">
                <c16:uniqueId val="{00000003-FE25-49AD-97B1-AC59B117ACA8}"/>
              </c:ext>
            </c:extLst>
          </c:dPt>
          <c:dPt>
            <c:idx val="8"/>
            <c:invertIfNegative val="0"/>
            <c:bubble3D val="0"/>
            <c:spPr>
              <a:solidFill>
                <a:schemeClr val="accent1"/>
              </a:solidFill>
              <a:ln>
                <a:noFill/>
                <a:prstDash val="sysDash"/>
              </a:ln>
              <a:effectLst/>
            </c:spPr>
            <c:extLst>
              <c:ext xmlns:c16="http://schemas.microsoft.com/office/drawing/2014/chart" uri="{C3380CC4-5D6E-409C-BE32-E72D297353CC}">
                <c16:uniqueId val="{00000005-FE25-49AD-97B1-AC59B117ACA8}"/>
              </c:ext>
            </c:extLst>
          </c:dPt>
          <c:dPt>
            <c:idx val="9"/>
            <c:invertIfNegative val="0"/>
            <c:bubble3D val="0"/>
            <c:spPr>
              <a:solidFill>
                <a:schemeClr val="accent1"/>
              </a:solidFill>
              <a:ln>
                <a:noFill/>
                <a:prstDash val="sysDash"/>
              </a:ln>
              <a:effectLst/>
            </c:spPr>
            <c:extLst>
              <c:ext xmlns:c16="http://schemas.microsoft.com/office/drawing/2014/chart" uri="{C3380CC4-5D6E-409C-BE32-E72D297353CC}">
                <c16:uniqueId val="{00000007-FE25-49AD-97B1-AC59B117ACA8}"/>
              </c:ext>
            </c:extLst>
          </c:dPt>
          <c:dPt>
            <c:idx val="10"/>
            <c:invertIfNegative val="0"/>
            <c:bubble3D val="0"/>
            <c:spPr>
              <a:solidFill>
                <a:schemeClr val="accent1"/>
              </a:solidFill>
              <a:ln>
                <a:noFill/>
                <a:prstDash val="sysDash"/>
              </a:ln>
              <a:effectLst/>
            </c:spPr>
            <c:extLst>
              <c:ext xmlns:c16="http://schemas.microsoft.com/office/drawing/2014/chart" uri="{C3380CC4-5D6E-409C-BE32-E72D297353CC}">
                <c16:uniqueId val="{00000009-FE25-49AD-97B1-AC59B117ACA8}"/>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Dashboard!$D$99:$N$99</c:f>
              <c:numCache>
                <c:formatCode>0"A"</c:formatCode>
                <c:ptCount val="11"/>
                <c:pt idx="0">
                  <c:v>2019</c:v>
                </c:pt>
                <c:pt idx="1">
                  <c:v>2020</c:v>
                </c:pt>
                <c:pt idx="2">
                  <c:v>2021</c:v>
                </c:pt>
                <c:pt idx="3">
                  <c:v>2022</c:v>
                </c:pt>
                <c:pt idx="4">
                  <c:v>2023</c:v>
                </c:pt>
                <c:pt idx="5">
                  <c:v>2024</c:v>
                </c:pt>
                <c:pt idx="6" formatCode="0&quot;F&quot;">
                  <c:v>2025</c:v>
                </c:pt>
                <c:pt idx="7" formatCode="0&quot;F&quot;">
                  <c:v>2026</c:v>
                </c:pt>
                <c:pt idx="8" formatCode="0&quot;F&quot;">
                  <c:v>2027</c:v>
                </c:pt>
                <c:pt idx="9" formatCode="0&quot;F&quot;">
                  <c:v>2028</c:v>
                </c:pt>
                <c:pt idx="10" formatCode="0&quot;F&quot;">
                  <c:v>2029</c:v>
                </c:pt>
              </c:numCache>
            </c:numRef>
          </c:cat>
          <c:val>
            <c:numRef>
              <c:f>Dashboard!$I$20:$S$20</c:f>
              <c:numCache>
                <c:formatCode>_(#,##0_);\(#,##0\);_("–"_);_(@_)</c:formatCode>
                <c:ptCount val="11"/>
                <c:pt idx="0">
                  <c:v>55256</c:v>
                </c:pt>
                <c:pt idx="1">
                  <c:v>57411</c:v>
                </c:pt>
                <c:pt idx="2">
                  <c:v>94680</c:v>
                </c:pt>
                <c:pt idx="3">
                  <c:v>99803</c:v>
                </c:pt>
                <c:pt idx="4">
                  <c:v>96995</c:v>
                </c:pt>
                <c:pt idx="5">
                  <c:v>93736</c:v>
                </c:pt>
                <c:pt idx="6">
                  <c:v>108413.66522279996</c:v>
                </c:pt>
                <c:pt idx="7">
                  <c:v>112554.40830299402</c:v>
                </c:pt>
                <c:pt idx="8">
                  <c:v>116156.77527072294</c:v>
                </c:pt>
                <c:pt idx="9">
                  <c:v>119959.52976886342</c:v>
                </c:pt>
                <c:pt idx="10">
                  <c:v>123974.61627680177</c:v>
                </c:pt>
              </c:numCache>
            </c:numRef>
          </c:val>
          <c:extLst>
            <c:ext xmlns:c16="http://schemas.microsoft.com/office/drawing/2014/chart" uri="{C3380CC4-5D6E-409C-BE32-E72D297353CC}">
              <c16:uniqueId val="{0000000A-FE25-49AD-97B1-AC59B117ACA8}"/>
            </c:ext>
          </c:extLst>
        </c:ser>
        <c:dLbls>
          <c:dLblPos val="outEnd"/>
          <c:showLegendKey val="0"/>
          <c:showVal val="1"/>
          <c:showCatName val="0"/>
          <c:showSerName val="0"/>
          <c:showPercent val="0"/>
          <c:showBubbleSize val="0"/>
        </c:dLbls>
        <c:gapWidth val="90"/>
        <c:axId val="1956681471"/>
        <c:axId val="1956690111"/>
      </c:barChart>
      <c:catAx>
        <c:axId val="1956681471"/>
        <c:scaling>
          <c:orientation val="minMax"/>
        </c:scaling>
        <c:delete val="0"/>
        <c:axPos val="b"/>
        <c:numFmt formatCode="0&quot;A&quot;"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56690111"/>
        <c:crosses val="autoZero"/>
        <c:auto val="1"/>
        <c:lblAlgn val="ctr"/>
        <c:lblOffset val="100"/>
        <c:noMultiLvlLbl val="0"/>
      </c:catAx>
      <c:valAx>
        <c:axId val="1956690111"/>
        <c:scaling>
          <c:orientation val="minMax"/>
          <c:min val="50000"/>
        </c:scaling>
        <c:delete val="1"/>
        <c:axPos val="l"/>
        <c:numFmt formatCode="_(#,##0_);\(#,##0\);_(&quot;–&quot;_);_(@_)" sourceLinked="1"/>
        <c:majorTickMark val="none"/>
        <c:minorTickMark val="none"/>
        <c:tickLblPos val="nextTo"/>
        <c:crossAx val="1956681471"/>
        <c:crosses val="autoZero"/>
        <c:crossBetween val="between"/>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autoTitleDeleted val="1"/>
    <c:plotArea>
      <c:layout>
        <c:manualLayout>
          <c:layoutTarget val="inner"/>
          <c:xMode val="edge"/>
          <c:yMode val="edge"/>
          <c:x val="0.1020431387512927"/>
          <c:y val="0.29278981532991921"/>
          <c:w val="0.87550249087600329"/>
          <c:h val="0.60937408383589775"/>
        </c:manualLayout>
      </c:layout>
      <c:barChart>
        <c:barDir val="col"/>
        <c:grouping val="stacked"/>
        <c:varyColors val="0"/>
        <c:ser>
          <c:idx val="0"/>
          <c:order val="0"/>
          <c:tx>
            <c:strRef>
              <c:f>Dashboard!$B$102</c:f>
              <c:strCache>
                <c:ptCount val="1"/>
                <c:pt idx="0">
                  <c:v>Operations</c:v>
                </c:pt>
              </c:strCache>
            </c:strRef>
          </c:tx>
          <c:spPr>
            <a:solidFill>
              <a:schemeClr val="accent1">
                <a:tint val="58000"/>
              </a:schemeClr>
            </a:solidFill>
            <a:ln>
              <a:noFill/>
            </a:ln>
            <a:effectLst/>
          </c:spPr>
          <c:invertIfNegative val="0"/>
          <c:cat>
            <c:numRef>
              <c:f>Dashboard!$D$99:$N$99</c:f>
              <c:numCache>
                <c:formatCode>0"A"</c:formatCode>
                <c:ptCount val="11"/>
                <c:pt idx="0">
                  <c:v>2019</c:v>
                </c:pt>
                <c:pt idx="1">
                  <c:v>2020</c:v>
                </c:pt>
                <c:pt idx="2">
                  <c:v>2021</c:v>
                </c:pt>
                <c:pt idx="3">
                  <c:v>2022</c:v>
                </c:pt>
                <c:pt idx="4">
                  <c:v>2023</c:v>
                </c:pt>
                <c:pt idx="5">
                  <c:v>2024</c:v>
                </c:pt>
                <c:pt idx="6" formatCode="0&quot;F&quot;">
                  <c:v>2025</c:v>
                </c:pt>
                <c:pt idx="7" formatCode="0&quot;F&quot;">
                  <c:v>2026</c:v>
                </c:pt>
                <c:pt idx="8" formatCode="0&quot;F&quot;">
                  <c:v>2027</c:v>
                </c:pt>
                <c:pt idx="9" formatCode="0&quot;F&quot;">
                  <c:v>2028</c:v>
                </c:pt>
                <c:pt idx="10" formatCode="0&quot;F&quot;">
                  <c:v>2029</c:v>
                </c:pt>
              </c:numCache>
            </c:numRef>
          </c:cat>
          <c:val>
            <c:numRef>
              <c:f>Dashboard!$D$102:$N$102</c:f>
              <c:numCache>
                <c:formatCode>_(#,##0_);\(#,##0\);_("–"_);_(@_)</c:formatCode>
                <c:ptCount val="11"/>
                <c:pt idx="0">
                  <c:v>69391</c:v>
                </c:pt>
                <c:pt idx="1">
                  <c:v>80674</c:v>
                </c:pt>
                <c:pt idx="2">
                  <c:v>104038</c:v>
                </c:pt>
                <c:pt idx="3">
                  <c:v>122151</c:v>
                </c:pt>
                <c:pt idx="4">
                  <c:v>110543</c:v>
                </c:pt>
                <c:pt idx="5">
                  <c:v>118254</c:v>
                </c:pt>
                <c:pt idx="6">
                  <c:v>130049.22048413889</c:v>
                </c:pt>
                <c:pt idx="7">
                  <c:v>136187.8899984757</c:v>
                </c:pt>
                <c:pt idx="8">
                  <c:v>140574.91365231745</c:v>
                </c:pt>
                <c:pt idx="9">
                  <c:v>145916.43363402339</c:v>
                </c:pt>
                <c:pt idx="10">
                  <c:v>151084.35089510327</c:v>
                </c:pt>
              </c:numCache>
            </c:numRef>
          </c:val>
          <c:extLst>
            <c:ext xmlns:c16="http://schemas.microsoft.com/office/drawing/2014/chart" uri="{C3380CC4-5D6E-409C-BE32-E72D297353CC}">
              <c16:uniqueId val="{00000000-5C89-40FD-A0BE-A44F2CEEFAD0}"/>
            </c:ext>
          </c:extLst>
        </c:ser>
        <c:ser>
          <c:idx val="2"/>
          <c:order val="1"/>
          <c:tx>
            <c:strRef>
              <c:f>Dashboard!$B$104</c:f>
              <c:strCache>
                <c:ptCount val="1"/>
                <c:pt idx="0">
                  <c:v>Financing</c:v>
                </c:pt>
              </c:strCache>
            </c:strRef>
          </c:tx>
          <c:spPr>
            <a:solidFill>
              <a:schemeClr val="accent1">
                <a:shade val="86000"/>
              </a:schemeClr>
            </a:solidFill>
            <a:ln>
              <a:noFill/>
            </a:ln>
            <a:effectLst/>
          </c:spPr>
          <c:invertIfNegative val="0"/>
          <c:cat>
            <c:numRef>
              <c:f>Dashboard!$D$99:$N$99</c:f>
              <c:numCache>
                <c:formatCode>0"A"</c:formatCode>
                <c:ptCount val="11"/>
                <c:pt idx="0">
                  <c:v>2019</c:v>
                </c:pt>
                <c:pt idx="1">
                  <c:v>2020</c:v>
                </c:pt>
                <c:pt idx="2">
                  <c:v>2021</c:v>
                </c:pt>
                <c:pt idx="3">
                  <c:v>2022</c:v>
                </c:pt>
                <c:pt idx="4">
                  <c:v>2023</c:v>
                </c:pt>
                <c:pt idx="5">
                  <c:v>2024</c:v>
                </c:pt>
                <c:pt idx="6" formatCode="0&quot;F&quot;">
                  <c:v>2025</c:v>
                </c:pt>
                <c:pt idx="7" formatCode="0&quot;F&quot;">
                  <c:v>2026</c:v>
                </c:pt>
                <c:pt idx="8" formatCode="0&quot;F&quot;">
                  <c:v>2027</c:v>
                </c:pt>
                <c:pt idx="9" formatCode="0&quot;F&quot;">
                  <c:v>2028</c:v>
                </c:pt>
                <c:pt idx="10" formatCode="0&quot;F&quot;">
                  <c:v>2029</c:v>
                </c:pt>
              </c:numCache>
            </c:numRef>
          </c:cat>
          <c:val>
            <c:numRef>
              <c:f>Dashboard!$D$104:$N$104</c:f>
              <c:numCache>
                <c:formatCode>_(#,##0_);\(#,##0\);_("–"_);_(@_)</c:formatCode>
                <c:ptCount val="11"/>
                <c:pt idx="0">
                  <c:v>-90976</c:v>
                </c:pt>
                <c:pt idx="1">
                  <c:v>-86820</c:v>
                </c:pt>
                <c:pt idx="2">
                  <c:v>-93353</c:v>
                </c:pt>
                <c:pt idx="3">
                  <c:v>-110749</c:v>
                </c:pt>
                <c:pt idx="4">
                  <c:v>-108488</c:v>
                </c:pt>
                <c:pt idx="5">
                  <c:v>-121983</c:v>
                </c:pt>
                <c:pt idx="6">
                  <c:v>-115357.72430375898</c:v>
                </c:pt>
                <c:pt idx="7">
                  <c:v>-118059.49879156979</c:v>
                </c:pt>
                <c:pt idx="8">
                  <c:v>-120658.00969211092</c:v>
                </c:pt>
                <c:pt idx="9">
                  <c:v>-123339.55565315456</c:v>
                </c:pt>
                <c:pt idx="10">
                  <c:v>-126162.41382591888</c:v>
                </c:pt>
              </c:numCache>
            </c:numRef>
          </c:val>
          <c:extLst>
            <c:ext xmlns:c16="http://schemas.microsoft.com/office/drawing/2014/chart" uri="{C3380CC4-5D6E-409C-BE32-E72D297353CC}">
              <c16:uniqueId val="{00000002-5C89-40FD-A0BE-A44F2CEEFAD0}"/>
            </c:ext>
          </c:extLst>
        </c:ser>
        <c:ser>
          <c:idx val="1"/>
          <c:order val="2"/>
          <c:tx>
            <c:strRef>
              <c:f>Dashboard!$B$103</c:f>
              <c:strCache>
                <c:ptCount val="1"/>
                <c:pt idx="0">
                  <c:v>Investing</c:v>
                </c:pt>
              </c:strCache>
            </c:strRef>
          </c:tx>
          <c:spPr>
            <a:solidFill>
              <a:schemeClr val="accent1">
                <a:tint val="86000"/>
              </a:schemeClr>
            </a:solidFill>
            <a:ln>
              <a:noFill/>
            </a:ln>
            <a:effectLst/>
          </c:spPr>
          <c:invertIfNegative val="0"/>
          <c:cat>
            <c:numRef>
              <c:f>Dashboard!$D$99:$N$99</c:f>
              <c:numCache>
                <c:formatCode>0"A"</c:formatCode>
                <c:ptCount val="11"/>
                <c:pt idx="0">
                  <c:v>2019</c:v>
                </c:pt>
                <c:pt idx="1">
                  <c:v>2020</c:v>
                </c:pt>
                <c:pt idx="2">
                  <c:v>2021</c:v>
                </c:pt>
                <c:pt idx="3">
                  <c:v>2022</c:v>
                </c:pt>
                <c:pt idx="4">
                  <c:v>2023</c:v>
                </c:pt>
                <c:pt idx="5">
                  <c:v>2024</c:v>
                </c:pt>
                <c:pt idx="6" formatCode="0&quot;F&quot;">
                  <c:v>2025</c:v>
                </c:pt>
                <c:pt idx="7" formatCode="0&quot;F&quot;">
                  <c:v>2026</c:v>
                </c:pt>
                <c:pt idx="8" formatCode="0&quot;F&quot;">
                  <c:v>2027</c:v>
                </c:pt>
                <c:pt idx="9" formatCode="0&quot;F&quot;">
                  <c:v>2028</c:v>
                </c:pt>
                <c:pt idx="10" formatCode="0&quot;F&quot;">
                  <c:v>2029</c:v>
                </c:pt>
              </c:numCache>
            </c:numRef>
          </c:cat>
          <c:val>
            <c:numRef>
              <c:f>Dashboard!$D$103:$N$103</c:f>
              <c:numCache>
                <c:formatCode>_(#,##0_);\(#,##0\);_("–"_);_(@_)</c:formatCode>
                <c:ptCount val="11"/>
                <c:pt idx="0">
                  <c:v>45896</c:v>
                </c:pt>
                <c:pt idx="1">
                  <c:v>-4289</c:v>
                </c:pt>
                <c:pt idx="2">
                  <c:v>-14545</c:v>
                </c:pt>
                <c:pt idx="3">
                  <c:v>-22354</c:v>
                </c:pt>
                <c:pt idx="4">
                  <c:v>3705</c:v>
                </c:pt>
                <c:pt idx="5">
                  <c:v>2935</c:v>
                </c:pt>
                <c:pt idx="6">
                  <c:v>-5238.0000000000018</c:v>
                </c:pt>
                <c:pt idx="7">
                  <c:v>467.33333333332166</c:v>
                </c:pt>
                <c:pt idx="8">
                  <c:v>-611.8888888889021</c:v>
                </c:pt>
                <c:pt idx="9">
                  <c:v>-1794.1851851852039</c:v>
                </c:pt>
                <c:pt idx="10">
                  <c:v>-646.24691358026462</c:v>
                </c:pt>
              </c:numCache>
            </c:numRef>
          </c:val>
          <c:extLst>
            <c:ext xmlns:c16="http://schemas.microsoft.com/office/drawing/2014/chart" uri="{C3380CC4-5D6E-409C-BE32-E72D297353CC}">
              <c16:uniqueId val="{00000001-5C89-40FD-A0BE-A44F2CEEFAD0}"/>
            </c:ext>
          </c:extLst>
        </c:ser>
        <c:dLbls>
          <c:showLegendKey val="0"/>
          <c:showVal val="0"/>
          <c:showCatName val="0"/>
          <c:showSerName val="0"/>
          <c:showPercent val="0"/>
          <c:showBubbleSize val="0"/>
        </c:dLbls>
        <c:gapWidth val="60"/>
        <c:overlap val="100"/>
        <c:axId val="293967903"/>
        <c:axId val="293959263"/>
      </c:barChart>
      <c:lineChart>
        <c:grouping val="standard"/>
        <c:varyColors val="0"/>
        <c:ser>
          <c:idx val="3"/>
          <c:order val="3"/>
          <c:tx>
            <c:strRef>
              <c:f>Dashboard!$B$105</c:f>
              <c:strCache>
                <c:ptCount val="1"/>
                <c:pt idx="0">
                  <c:v>Change in Cash</c:v>
                </c:pt>
              </c:strCache>
            </c:strRef>
          </c:tx>
          <c:spPr>
            <a:ln w="28575" cap="rnd">
              <a:solidFill>
                <a:schemeClr val="bg2">
                  <a:lumMod val="50000"/>
                </a:schemeClr>
              </a:solidFill>
              <a:round/>
            </a:ln>
            <a:effectLst/>
          </c:spPr>
          <c:marker>
            <c:symbol val="none"/>
          </c:marker>
          <c:cat>
            <c:numRef>
              <c:f>Dashboard!$D$99:$N$99</c:f>
              <c:numCache>
                <c:formatCode>0"A"</c:formatCode>
                <c:ptCount val="11"/>
                <c:pt idx="0">
                  <c:v>2019</c:v>
                </c:pt>
                <c:pt idx="1">
                  <c:v>2020</c:v>
                </c:pt>
                <c:pt idx="2">
                  <c:v>2021</c:v>
                </c:pt>
                <c:pt idx="3">
                  <c:v>2022</c:v>
                </c:pt>
                <c:pt idx="4">
                  <c:v>2023</c:v>
                </c:pt>
                <c:pt idx="5">
                  <c:v>2024</c:v>
                </c:pt>
                <c:pt idx="6" formatCode="0&quot;F&quot;">
                  <c:v>2025</c:v>
                </c:pt>
                <c:pt idx="7" formatCode="0&quot;F&quot;">
                  <c:v>2026</c:v>
                </c:pt>
                <c:pt idx="8" formatCode="0&quot;F&quot;">
                  <c:v>2027</c:v>
                </c:pt>
                <c:pt idx="9" formatCode="0&quot;F&quot;">
                  <c:v>2028</c:v>
                </c:pt>
                <c:pt idx="10" formatCode="0&quot;F&quot;">
                  <c:v>2029</c:v>
                </c:pt>
              </c:numCache>
            </c:numRef>
          </c:cat>
          <c:val>
            <c:numRef>
              <c:f>Dashboard!$D$105:$N$105</c:f>
              <c:numCache>
                <c:formatCode>_(#,##0_);\(#,##0\);_("–"_);_(@_)</c:formatCode>
                <c:ptCount val="11"/>
                <c:pt idx="0">
                  <c:v>24311</c:v>
                </c:pt>
                <c:pt idx="1">
                  <c:v>-10435</c:v>
                </c:pt>
                <c:pt idx="2">
                  <c:v>-3860</c:v>
                </c:pt>
                <c:pt idx="3">
                  <c:v>-10952</c:v>
                </c:pt>
                <c:pt idx="4">
                  <c:v>5760</c:v>
                </c:pt>
                <c:pt idx="5">
                  <c:v>-794</c:v>
                </c:pt>
                <c:pt idx="6">
                  <c:v>9453.4961803799088</c:v>
                </c:pt>
                <c:pt idx="7">
                  <c:v>18595.724540239229</c:v>
                </c:pt>
                <c:pt idx="8">
                  <c:v>19305.015071317626</c:v>
                </c:pt>
                <c:pt idx="9">
                  <c:v>20782.69279568363</c:v>
                </c:pt>
                <c:pt idx="10">
                  <c:v>24275.690155604141</c:v>
                </c:pt>
              </c:numCache>
            </c:numRef>
          </c:val>
          <c:smooth val="0"/>
          <c:extLst>
            <c:ext xmlns:c16="http://schemas.microsoft.com/office/drawing/2014/chart" uri="{C3380CC4-5D6E-409C-BE32-E72D297353CC}">
              <c16:uniqueId val="{00000003-5C89-40FD-A0BE-A44F2CEEFAD0}"/>
            </c:ext>
          </c:extLst>
        </c:ser>
        <c:dLbls>
          <c:showLegendKey val="0"/>
          <c:showVal val="0"/>
          <c:showCatName val="0"/>
          <c:showSerName val="0"/>
          <c:showPercent val="0"/>
          <c:showBubbleSize val="0"/>
        </c:dLbls>
        <c:marker val="1"/>
        <c:smooth val="0"/>
        <c:axId val="293967903"/>
        <c:axId val="293959263"/>
      </c:lineChart>
      <c:catAx>
        <c:axId val="293967903"/>
        <c:scaling>
          <c:orientation val="minMax"/>
        </c:scaling>
        <c:delete val="0"/>
        <c:axPos val="b"/>
        <c:numFmt formatCode="0&quot;A&quot;"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crossAx val="293959263"/>
        <c:crosses val="autoZero"/>
        <c:auto val="1"/>
        <c:lblAlgn val="ctr"/>
        <c:lblOffset val="100"/>
        <c:noMultiLvlLbl val="0"/>
      </c:catAx>
      <c:valAx>
        <c:axId val="293959263"/>
        <c:scaling>
          <c:orientation val="minMax"/>
          <c:max val="125000"/>
          <c:min val="-125000"/>
        </c:scaling>
        <c:delete val="0"/>
        <c:axPos val="l"/>
        <c:numFmt formatCode="_(#,##0_);\(#,##0\);_(&quot;–&quot;_);_(@_)"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293967903"/>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noFill/>
      <a:round/>
    </a:ln>
    <a:effectLst/>
  </c:spPr>
  <c:txPr>
    <a:bodyPr/>
    <a:lstStyle/>
    <a:p>
      <a:pPr>
        <a:defRPr sz="1000"/>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withinLinearReversed" id="21">
  <a:schemeClr val="accent1"/>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Drop" dropStyle="combo" dx="26" fmlaLink="$C$3" fmlaRange="'Financial Model'!$Q$3:$Q$5" noThreeD="1" sel="1" val="0"/>
</file>

<file path=xl/ctrlProps/ctrlProp2.xml><?xml version="1.0" encoding="utf-8"?>
<formControlPr xmlns="http://schemas.microsoft.com/office/spreadsheetml/2009/9/main" objectType="Drop" dropStyle="combo" dx="26" fmlaLink="Dashboard!$C$3" fmlaRange="'Financial Model'!$Q$3:$Q$5" noThreeD="1" sel="1" val="0"/>
</file>

<file path=xl/ctrlProps/ctrlProp3.xml><?xml version="1.0" encoding="utf-8"?>
<formControlPr xmlns="http://schemas.microsoft.com/office/spreadsheetml/2009/9/main" objectType="Drop" dropStyle="combo" dx="26" fmlaLink="Dashboard!$C$3" fmlaRange="'Financial Model'!$Q$3:$Q$5" noThreeD="1" sel="1" val="0"/>
</file>

<file path=xl/ctrlProps/ctrlProp4.xml><?xml version="1.0" encoding="utf-8"?>
<formControlPr xmlns="http://schemas.microsoft.com/office/spreadsheetml/2009/9/main" objectType="Drop" dropStyle="combo" dx="26" fmlaLink="Dashboard!$C$3" fmlaRange="$Q$3:$Q$5" noThreeD="1" sel="1" val="0"/>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2</xdr:col>
      <xdr:colOff>35719</xdr:colOff>
      <xdr:row>22</xdr:row>
      <xdr:rowOff>54299</xdr:rowOff>
    </xdr:from>
    <xdr:to>
      <xdr:col>20</xdr:col>
      <xdr:colOff>546259</xdr:colOff>
      <xdr:row>29</xdr:row>
      <xdr:rowOff>126689</xdr:rowOff>
    </xdr:to>
    <xdr:sp macro="" textlink="">
      <xdr:nvSpPr>
        <xdr:cNvPr id="3" name="TextBox 2">
          <a:extLst>
            <a:ext uri="{FF2B5EF4-FFF2-40B4-BE49-F238E27FC236}">
              <a16:creationId xmlns:a16="http://schemas.microsoft.com/office/drawing/2014/main" id="{42E11BB1-BE4A-45A0-AC58-8BF859D50CAA}"/>
            </a:ext>
          </a:extLst>
        </xdr:cNvPr>
        <xdr:cNvSpPr txBox="1"/>
      </xdr:nvSpPr>
      <xdr:spPr>
        <a:xfrm>
          <a:off x="1250157" y="4173862"/>
          <a:ext cx="11440477" cy="1322546"/>
        </a:xfrm>
        <a:prstGeom prst="rect">
          <a:avLst/>
        </a:prstGeom>
        <a:no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1"/>
              </a:solidFill>
            </a:rPr>
            <a:t>Disclaimer</a:t>
          </a:r>
        </a:p>
        <a:p>
          <a:endParaRPr lang="en-US" b="1">
            <a:solidFill>
              <a:schemeClr val="bg1"/>
            </a:solidFill>
          </a:endParaRPr>
        </a:p>
        <a:p>
          <a:r>
            <a:rPr lang="en-US">
              <a:solidFill>
                <a:schemeClr val="bg1"/>
              </a:solidFill>
            </a:rPr>
            <a:t>This Excel financial model is provided for academic</a:t>
          </a:r>
          <a:r>
            <a:rPr lang="en-US" baseline="0">
              <a:solidFill>
                <a:schemeClr val="bg1"/>
              </a:solidFill>
            </a:rPr>
            <a:t> purpose only</a:t>
          </a:r>
          <a:r>
            <a:rPr lang="en-US">
              <a:solidFill>
                <a:schemeClr val="bg1"/>
              </a:solidFill>
            </a:rPr>
            <a:t>. The data, assumptions, and projections contained within this file are based on publicly available information and reasonable estimates but do not guarantee future financial performance. The developer of this financial model is not responsible for any financial gains or losses resulting from decisions made based on this analysis. Users are advised to conduct their own due diligence, consult with financial professionals, and verify all data before making any investment or business decisions. While every effort has been made to ensure accuracy, this model may contain errors or omissions. The developer makes no representations or warranties, express or implied, regarding the completeness, reliability, or suitability of this model for any specific purpose. Any use of this file is at the user’s own risk. By using this Excel model, the user acknowledges and agrees to these terms.</a:t>
          </a:r>
        </a:p>
      </xdr:txBody>
    </xdr:sp>
    <xdr:clientData/>
  </xdr:twoCellAnchor>
  <xdr:twoCellAnchor editAs="oneCell">
    <xdr:from>
      <xdr:col>2</xdr:col>
      <xdr:colOff>76201</xdr:colOff>
      <xdr:row>1</xdr:row>
      <xdr:rowOff>161925</xdr:rowOff>
    </xdr:from>
    <xdr:to>
      <xdr:col>3</xdr:col>
      <xdr:colOff>55551</xdr:colOff>
      <xdr:row>5</xdr:row>
      <xdr:rowOff>148500</xdr:rowOff>
    </xdr:to>
    <xdr:pic>
      <xdr:nvPicPr>
        <xdr:cNvPr id="5" name="Picture 4">
          <a:extLst>
            <a:ext uri="{FF2B5EF4-FFF2-40B4-BE49-F238E27FC236}">
              <a16:creationId xmlns:a16="http://schemas.microsoft.com/office/drawing/2014/main" id="{165965BF-845E-4865-A3BD-85C20C6C80F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295401" y="352425"/>
          <a:ext cx="588950" cy="720000"/>
        </a:xfrm>
        <a:prstGeom prst="rect">
          <a:avLst/>
        </a:prstGeom>
      </xdr:spPr>
    </xdr:pic>
    <xdr:clientData/>
  </xdr:twoCellAnchor>
  <xdr:oneCellAnchor>
    <xdr:from>
      <xdr:col>3</xdr:col>
      <xdr:colOff>276225</xdr:colOff>
      <xdr:row>2</xdr:row>
      <xdr:rowOff>123825</xdr:rowOff>
    </xdr:from>
    <xdr:ext cx="1554336" cy="506614"/>
    <xdr:sp macro="" textlink="">
      <xdr:nvSpPr>
        <xdr:cNvPr id="6" name="TextBox 5">
          <a:extLst>
            <a:ext uri="{FF2B5EF4-FFF2-40B4-BE49-F238E27FC236}">
              <a16:creationId xmlns:a16="http://schemas.microsoft.com/office/drawing/2014/main" id="{726D7EA6-93EB-A4CF-B692-FCCB59810854}"/>
            </a:ext>
          </a:extLst>
        </xdr:cNvPr>
        <xdr:cNvSpPr txBox="1"/>
      </xdr:nvSpPr>
      <xdr:spPr>
        <a:xfrm>
          <a:off x="2105025" y="504825"/>
          <a:ext cx="1554336" cy="5066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2800">
              <a:latin typeface="Abadi Extra Light" panose="020B0204020104020204" pitchFamily="34" charset="0"/>
            </a:rPr>
            <a:t>Apple</a:t>
          </a:r>
          <a:r>
            <a:rPr lang="en-US" sz="2800" baseline="0">
              <a:latin typeface="Abadi Extra Light" panose="020B0204020104020204" pitchFamily="34" charset="0"/>
            </a:rPr>
            <a:t> Inc.</a:t>
          </a:r>
          <a:endParaRPr lang="en-US" sz="2800">
            <a:latin typeface="Abadi Extra Light" panose="020B0204020104020204" pitchFamily="34" charset="0"/>
          </a:endParaRPr>
        </a:p>
      </xdr:txBody>
    </xdr:sp>
    <xdr:clientData/>
  </xdr:one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152400</xdr:colOff>
          <xdr:row>2</xdr:row>
          <xdr:rowOff>0</xdr:rowOff>
        </xdr:from>
        <xdr:to>
          <xdr:col>3</xdr:col>
          <xdr:colOff>502920</xdr:colOff>
          <xdr:row>3</xdr:row>
          <xdr:rowOff>0</xdr:rowOff>
        </xdr:to>
        <xdr:sp macro="" textlink="">
          <xdr:nvSpPr>
            <xdr:cNvPr id="8193" name="Drop Down 1" hidden="1">
              <a:extLst>
                <a:ext uri="{63B3BB69-23CF-44E3-9099-C40C66FF867C}">
                  <a14:compatExt spid="_x0000_s8193"/>
                </a:ext>
                <a:ext uri="{FF2B5EF4-FFF2-40B4-BE49-F238E27FC236}">
                  <a16:creationId xmlns:a16="http://schemas.microsoft.com/office/drawing/2014/main" id="{00000000-0008-0000-0100-0000012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twoCellAnchor>
    <xdr:from>
      <xdr:col>1</xdr:col>
      <xdr:colOff>0</xdr:colOff>
      <xdr:row>24</xdr:row>
      <xdr:rowOff>116540</xdr:rowOff>
    </xdr:from>
    <xdr:to>
      <xdr:col>8</xdr:col>
      <xdr:colOff>0</xdr:colOff>
      <xdr:row>35</xdr:row>
      <xdr:rowOff>125506</xdr:rowOff>
    </xdr:to>
    <xdr:graphicFrame macro="">
      <xdr:nvGraphicFramePr>
        <xdr:cNvPr id="5" name="Chart 4">
          <a:extLst>
            <a:ext uri="{FF2B5EF4-FFF2-40B4-BE49-F238E27FC236}">
              <a16:creationId xmlns:a16="http://schemas.microsoft.com/office/drawing/2014/main" id="{E5890753-4BF3-4333-9BA7-C74D250FF81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0</xdr:colOff>
      <xdr:row>38</xdr:row>
      <xdr:rowOff>143433</xdr:rowOff>
    </xdr:from>
    <xdr:to>
      <xdr:col>7</xdr:col>
      <xdr:colOff>742819</xdr:colOff>
      <xdr:row>49</xdr:row>
      <xdr:rowOff>161362</xdr:rowOff>
    </xdr:to>
    <xdr:graphicFrame macro="">
      <xdr:nvGraphicFramePr>
        <xdr:cNvPr id="6" name="Chart 5">
          <a:extLst>
            <a:ext uri="{FF2B5EF4-FFF2-40B4-BE49-F238E27FC236}">
              <a16:creationId xmlns:a16="http://schemas.microsoft.com/office/drawing/2014/main" id="{AAB88007-4AC4-4E04-BCB6-50778C876C7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0</xdr:colOff>
      <xdr:row>25</xdr:row>
      <xdr:rowOff>0</xdr:rowOff>
    </xdr:from>
    <xdr:to>
      <xdr:col>19</xdr:col>
      <xdr:colOff>0</xdr:colOff>
      <xdr:row>50</xdr:row>
      <xdr:rowOff>0</xdr:rowOff>
    </xdr:to>
    <xdr:graphicFrame macro="">
      <xdr:nvGraphicFramePr>
        <xdr:cNvPr id="8" name="Chart 7">
          <a:extLst>
            <a:ext uri="{FF2B5EF4-FFF2-40B4-BE49-F238E27FC236}">
              <a16:creationId xmlns:a16="http://schemas.microsoft.com/office/drawing/2014/main" id="{3D415CDC-9DBC-414C-BF69-52694227166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xdr:col>
      <xdr:colOff>322729</xdr:colOff>
      <xdr:row>0</xdr:row>
      <xdr:rowOff>134470</xdr:rowOff>
    </xdr:from>
    <xdr:to>
      <xdr:col>1</xdr:col>
      <xdr:colOff>911679</xdr:colOff>
      <xdr:row>0</xdr:row>
      <xdr:rowOff>854470</xdr:rowOff>
    </xdr:to>
    <xdr:pic>
      <xdr:nvPicPr>
        <xdr:cNvPr id="2" name="Picture 1">
          <a:extLst>
            <a:ext uri="{FF2B5EF4-FFF2-40B4-BE49-F238E27FC236}">
              <a16:creationId xmlns:a16="http://schemas.microsoft.com/office/drawing/2014/main" id="{79E0DD6B-962F-42E4-A1E2-F076CC5F8BDD}"/>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932329" y="134470"/>
          <a:ext cx="588950" cy="720000"/>
        </a:xfrm>
        <a:prstGeom prst="rect">
          <a:avLst/>
        </a:prstGeom>
      </xdr:spPr>
    </xdr:pic>
    <xdr:clientData/>
  </xdr:twoCellAnchor>
  <xdr:oneCellAnchor>
    <xdr:from>
      <xdr:col>1</xdr:col>
      <xdr:colOff>1132353</xdr:colOff>
      <xdr:row>0</xdr:row>
      <xdr:rowOff>286870</xdr:rowOff>
    </xdr:from>
    <xdr:ext cx="1554336" cy="506614"/>
    <xdr:sp macro="" textlink="">
      <xdr:nvSpPr>
        <xdr:cNvPr id="3" name="TextBox 2">
          <a:extLst>
            <a:ext uri="{FF2B5EF4-FFF2-40B4-BE49-F238E27FC236}">
              <a16:creationId xmlns:a16="http://schemas.microsoft.com/office/drawing/2014/main" id="{F83A580B-BB70-457A-990A-FBB2F3239124}"/>
            </a:ext>
          </a:extLst>
        </xdr:cNvPr>
        <xdr:cNvSpPr txBox="1"/>
      </xdr:nvSpPr>
      <xdr:spPr>
        <a:xfrm>
          <a:off x="1741953" y="286870"/>
          <a:ext cx="1554336" cy="5066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2800">
              <a:latin typeface="Abadi Extra Light" panose="020B0204020104020204" pitchFamily="34" charset="0"/>
            </a:rPr>
            <a:t>Apple</a:t>
          </a:r>
          <a:r>
            <a:rPr lang="en-US" sz="2800" baseline="0">
              <a:latin typeface="Abadi Extra Light" panose="020B0204020104020204" pitchFamily="34" charset="0"/>
            </a:rPr>
            <a:t> Inc.</a:t>
          </a:r>
          <a:endParaRPr lang="en-US" sz="2800">
            <a:latin typeface="Abadi Extra Light" panose="020B0204020104020204" pitchFamily="34" charset="0"/>
          </a:endParaRPr>
        </a:p>
      </xdr:txBody>
    </xdr:sp>
    <xdr:clientData/>
  </xdr:oneCell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76200</xdr:colOff>
          <xdr:row>2</xdr:row>
          <xdr:rowOff>0</xdr:rowOff>
        </xdr:from>
        <xdr:to>
          <xdr:col>4</xdr:col>
          <xdr:colOff>0</xdr:colOff>
          <xdr:row>3</xdr:row>
          <xdr:rowOff>0</xdr:rowOff>
        </xdr:to>
        <xdr:sp macro="" textlink="">
          <xdr:nvSpPr>
            <xdr:cNvPr id="9217" name="Drop Down 1" hidden="1">
              <a:extLst>
                <a:ext uri="{63B3BB69-23CF-44E3-9099-C40C66FF867C}">
                  <a14:compatExt spid="_x0000_s9217"/>
                </a:ext>
                <a:ext uri="{FF2B5EF4-FFF2-40B4-BE49-F238E27FC236}">
                  <a16:creationId xmlns:a16="http://schemas.microsoft.com/office/drawing/2014/main" id="{00000000-0008-0000-0200-0000012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twoCellAnchor editAs="oneCell">
    <xdr:from>
      <xdr:col>1</xdr:col>
      <xdr:colOff>198120</xdr:colOff>
      <xdr:row>0</xdr:row>
      <xdr:rowOff>99060</xdr:rowOff>
    </xdr:from>
    <xdr:to>
      <xdr:col>1</xdr:col>
      <xdr:colOff>787070</xdr:colOff>
      <xdr:row>0</xdr:row>
      <xdr:rowOff>819060</xdr:rowOff>
    </xdr:to>
    <xdr:pic>
      <xdr:nvPicPr>
        <xdr:cNvPr id="2" name="Picture 1">
          <a:extLst>
            <a:ext uri="{FF2B5EF4-FFF2-40B4-BE49-F238E27FC236}">
              <a16:creationId xmlns:a16="http://schemas.microsoft.com/office/drawing/2014/main" id="{654D10F4-80BD-4C48-B31E-6DF8E7976D7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07720" y="99060"/>
          <a:ext cx="588950" cy="720000"/>
        </a:xfrm>
        <a:prstGeom prst="rect">
          <a:avLst/>
        </a:prstGeom>
      </xdr:spPr>
    </xdr:pic>
    <xdr:clientData/>
  </xdr:twoCellAnchor>
  <xdr:oneCellAnchor>
    <xdr:from>
      <xdr:col>1</xdr:col>
      <xdr:colOff>1007744</xdr:colOff>
      <xdr:row>0</xdr:row>
      <xdr:rowOff>251460</xdr:rowOff>
    </xdr:from>
    <xdr:ext cx="1554336" cy="506614"/>
    <xdr:sp macro="" textlink="">
      <xdr:nvSpPr>
        <xdr:cNvPr id="3" name="TextBox 2">
          <a:extLst>
            <a:ext uri="{FF2B5EF4-FFF2-40B4-BE49-F238E27FC236}">
              <a16:creationId xmlns:a16="http://schemas.microsoft.com/office/drawing/2014/main" id="{F8977D3A-AB6E-4F8E-AB44-AF7A63DE3293}"/>
            </a:ext>
          </a:extLst>
        </xdr:cNvPr>
        <xdr:cNvSpPr txBox="1"/>
      </xdr:nvSpPr>
      <xdr:spPr>
        <a:xfrm>
          <a:off x="1617344" y="251460"/>
          <a:ext cx="1554336" cy="5066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2800">
              <a:latin typeface="Abadi Extra Light" panose="020B0204020104020204" pitchFamily="34" charset="0"/>
            </a:rPr>
            <a:t>Apple</a:t>
          </a:r>
          <a:r>
            <a:rPr lang="en-US" sz="2800" baseline="0">
              <a:latin typeface="Abadi Extra Light" panose="020B0204020104020204" pitchFamily="34" charset="0"/>
            </a:rPr>
            <a:t> Inc.</a:t>
          </a:r>
          <a:endParaRPr lang="en-US" sz="2800">
            <a:latin typeface="Abadi Extra Light" panose="020B0204020104020204" pitchFamily="34" charset="0"/>
          </a:endParaRPr>
        </a:p>
      </xdr:txBody>
    </xdr:sp>
    <xdr:clientData/>
  </xdr:oneCellAnchor>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0</xdr:colOff>
          <xdr:row>2</xdr:row>
          <xdr:rowOff>0</xdr:rowOff>
        </xdr:from>
        <xdr:to>
          <xdr:col>3</xdr:col>
          <xdr:colOff>388620</xdr:colOff>
          <xdr:row>3</xdr:row>
          <xdr:rowOff>0</xdr:rowOff>
        </xdr:to>
        <xdr:sp macro="" textlink="">
          <xdr:nvSpPr>
            <xdr:cNvPr id="7169" name="Drop Down 1" hidden="1">
              <a:extLst>
                <a:ext uri="{63B3BB69-23CF-44E3-9099-C40C66FF867C}">
                  <a14:compatExt spid="_x0000_s7169"/>
                </a:ext>
                <a:ext uri="{FF2B5EF4-FFF2-40B4-BE49-F238E27FC236}">
                  <a16:creationId xmlns:a16="http://schemas.microsoft.com/office/drawing/2014/main" id="{00000000-0008-0000-0300-0000011C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twoCellAnchor editAs="oneCell">
    <xdr:from>
      <xdr:col>1</xdr:col>
      <xdr:colOff>304800</xdr:colOff>
      <xdr:row>0</xdr:row>
      <xdr:rowOff>224118</xdr:rowOff>
    </xdr:from>
    <xdr:to>
      <xdr:col>1</xdr:col>
      <xdr:colOff>893750</xdr:colOff>
      <xdr:row>0</xdr:row>
      <xdr:rowOff>944118</xdr:rowOff>
    </xdr:to>
    <xdr:pic>
      <xdr:nvPicPr>
        <xdr:cNvPr id="2" name="Picture 1">
          <a:extLst>
            <a:ext uri="{FF2B5EF4-FFF2-40B4-BE49-F238E27FC236}">
              <a16:creationId xmlns:a16="http://schemas.microsoft.com/office/drawing/2014/main" id="{B03A44EB-17B1-4773-AB99-C03677EC87A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48871" y="224118"/>
          <a:ext cx="588950" cy="720000"/>
        </a:xfrm>
        <a:prstGeom prst="rect">
          <a:avLst/>
        </a:prstGeom>
      </xdr:spPr>
    </xdr:pic>
    <xdr:clientData/>
  </xdr:twoCellAnchor>
  <xdr:oneCellAnchor>
    <xdr:from>
      <xdr:col>1</xdr:col>
      <xdr:colOff>1114424</xdr:colOff>
      <xdr:row>0</xdr:row>
      <xdr:rowOff>376518</xdr:rowOff>
    </xdr:from>
    <xdr:ext cx="1554336" cy="506614"/>
    <xdr:sp macro="" textlink="">
      <xdr:nvSpPr>
        <xdr:cNvPr id="3" name="TextBox 2">
          <a:extLst>
            <a:ext uri="{FF2B5EF4-FFF2-40B4-BE49-F238E27FC236}">
              <a16:creationId xmlns:a16="http://schemas.microsoft.com/office/drawing/2014/main" id="{F6E9AE72-1811-4F44-939B-9732353AECDD}"/>
            </a:ext>
          </a:extLst>
        </xdr:cNvPr>
        <xdr:cNvSpPr txBox="1"/>
      </xdr:nvSpPr>
      <xdr:spPr>
        <a:xfrm>
          <a:off x="1858495" y="376518"/>
          <a:ext cx="1554336" cy="5066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2800">
              <a:latin typeface="Abadi Extra Light" panose="020B0204020104020204" pitchFamily="34" charset="0"/>
            </a:rPr>
            <a:t>Apple</a:t>
          </a:r>
          <a:r>
            <a:rPr lang="en-US" sz="2800" baseline="0">
              <a:latin typeface="Abadi Extra Light" panose="020B0204020104020204" pitchFamily="34" charset="0"/>
            </a:rPr>
            <a:t> Inc.</a:t>
          </a:r>
          <a:endParaRPr lang="en-US" sz="2800">
            <a:latin typeface="Abadi Extra Light" panose="020B0204020104020204" pitchFamily="34" charset="0"/>
          </a:endParaRPr>
        </a:p>
      </xdr:txBody>
    </xdr:sp>
    <xdr:clientData/>
  </xdr:oneCellAnchor>
</xdr:wsDr>
</file>

<file path=xl/drawings/drawing5.xml><?xml version="1.0" encoding="utf-8"?>
<xdr:wsDr xmlns:xdr="http://schemas.openxmlformats.org/drawingml/2006/spreadsheetDrawing" xmlns:a="http://schemas.openxmlformats.org/drawingml/2006/main">
  <xdr:twoCellAnchor editAs="oneCell">
    <xdr:from>
      <xdr:col>1</xdr:col>
      <xdr:colOff>242047</xdr:colOff>
      <xdr:row>0</xdr:row>
      <xdr:rowOff>304799</xdr:rowOff>
    </xdr:from>
    <xdr:to>
      <xdr:col>2</xdr:col>
      <xdr:colOff>221397</xdr:colOff>
      <xdr:row>0</xdr:row>
      <xdr:rowOff>1024799</xdr:rowOff>
    </xdr:to>
    <xdr:pic>
      <xdr:nvPicPr>
        <xdr:cNvPr id="2" name="Picture 1">
          <a:extLst>
            <a:ext uri="{FF2B5EF4-FFF2-40B4-BE49-F238E27FC236}">
              <a16:creationId xmlns:a16="http://schemas.microsoft.com/office/drawing/2014/main" id="{846937DD-4D73-4FFA-B11F-02915F437F8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51647" y="304799"/>
          <a:ext cx="588950" cy="720000"/>
        </a:xfrm>
        <a:prstGeom prst="rect">
          <a:avLst/>
        </a:prstGeom>
      </xdr:spPr>
    </xdr:pic>
    <xdr:clientData/>
  </xdr:twoCellAnchor>
  <xdr:oneCellAnchor>
    <xdr:from>
      <xdr:col>2</xdr:col>
      <xdr:colOff>442071</xdr:colOff>
      <xdr:row>0</xdr:row>
      <xdr:rowOff>457199</xdr:rowOff>
    </xdr:from>
    <xdr:ext cx="1554336" cy="506614"/>
    <xdr:sp macro="" textlink="">
      <xdr:nvSpPr>
        <xdr:cNvPr id="3" name="TextBox 2">
          <a:extLst>
            <a:ext uri="{FF2B5EF4-FFF2-40B4-BE49-F238E27FC236}">
              <a16:creationId xmlns:a16="http://schemas.microsoft.com/office/drawing/2014/main" id="{EFAC1122-6CF7-454D-97B1-692A9AA06DDA}"/>
            </a:ext>
          </a:extLst>
        </xdr:cNvPr>
        <xdr:cNvSpPr txBox="1"/>
      </xdr:nvSpPr>
      <xdr:spPr>
        <a:xfrm>
          <a:off x="1661271" y="457199"/>
          <a:ext cx="1554336" cy="5066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2800">
              <a:latin typeface="Abadi Extra Light" panose="020B0204020104020204" pitchFamily="34" charset="0"/>
            </a:rPr>
            <a:t>Apple</a:t>
          </a:r>
          <a:r>
            <a:rPr lang="en-US" sz="2800" baseline="0">
              <a:latin typeface="Abadi Extra Light" panose="020B0204020104020204" pitchFamily="34" charset="0"/>
            </a:rPr>
            <a:t> Inc.</a:t>
          </a:r>
          <a:endParaRPr lang="en-US" sz="2800">
            <a:latin typeface="Abadi Extra Light" panose="020B0204020104020204" pitchFamily="34" charset="0"/>
          </a:endParaRPr>
        </a:p>
      </xdr:txBody>
    </xdr:sp>
    <xdr:clientData/>
  </xdr:oneCellAnchor>
</xdr:wsDr>
</file>

<file path=xl/drawings/drawing6.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0</xdr:colOff>
          <xdr:row>2</xdr:row>
          <xdr:rowOff>0</xdr:rowOff>
        </xdr:from>
        <xdr:to>
          <xdr:col>3</xdr:col>
          <xdr:colOff>457200</xdr:colOff>
          <xdr:row>3</xdr:row>
          <xdr:rowOff>0</xdr:rowOff>
        </xdr:to>
        <xdr:sp macro="" textlink="">
          <xdr:nvSpPr>
            <xdr:cNvPr id="6145" name="Drop Down 1" hidden="1">
              <a:extLst>
                <a:ext uri="{63B3BB69-23CF-44E3-9099-C40C66FF867C}">
                  <a14:compatExt spid="_x0000_s6145"/>
                </a:ext>
                <a:ext uri="{FF2B5EF4-FFF2-40B4-BE49-F238E27FC236}">
                  <a16:creationId xmlns:a16="http://schemas.microsoft.com/office/drawing/2014/main" id="{00000000-0008-0000-0500-0000011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twoCellAnchor editAs="oneCell">
    <xdr:from>
      <xdr:col>1</xdr:col>
      <xdr:colOff>182880</xdr:colOff>
      <xdr:row>0</xdr:row>
      <xdr:rowOff>114300</xdr:rowOff>
    </xdr:from>
    <xdr:to>
      <xdr:col>1</xdr:col>
      <xdr:colOff>771830</xdr:colOff>
      <xdr:row>0</xdr:row>
      <xdr:rowOff>834300</xdr:rowOff>
    </xdr:to>
    <xdr:pic>
      <xdr:nvPicPr>
        <xdr:cNvPr id="2" name="Picture 1">
          <a:extLst>
            <a:ext uri="{FF2B5EF4-FFF2-40B4-BE49-F238E27FC236}">
              <a16:creationId xmlns:a16="http://schemas.microsoft.com/office/drawing/2014/main" id="{ECC4EAC4-0412-4ECB-8B59-08E5C9F20DA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92480" y="114300"/>
          <a:ext cx="588950" cy="720000"/>
        </a:xfrm>
        <a:prstGeom prst="rect">
          <a:avLst/>
        </a:prstGeom>
      </xdr:spPr>
    </xdr:pic>
    <xdr:clientData/>
  </xdr:twoCellAnchor>
  <xdr:oneCellAnchor>
    <xdr:from>
      <xdr:col>1</xdr:col>
      <xdr:colOff>992504</xdr:colOff>
      <xdr:row>0</xdr:row>
      <xdr:rowOff>266700</xdr:rowOff>
    </xdr:from>
    <xdr:ext cx="1554336" cy="506614"/>
    <xdr:sp macro="" textlink="">
      <xdr:nvSpPr>
        <xdr:cNvPr id="3" name="TextBox 2">
          <a:extLst>
            <a:ext uri="{FF2B5EF4-FFF2-40B4-BE49-F238E27FC236}">
              <a16:creationId xmlns:a16="http://schemas.microsoft.com/office/drawing/2014/main" id="{06223C06-EDAD-47EA-BF44-AC0FEE0F6EBD}"/>
            </a:ext>
          </a:extLst>
        </xdr:cNvPr>
        <xdr:cNvSpPr txBox="1"/>
      </xdr:nvSpPr>
      <xdr:spPr>
        <a:xfrm>
          <a:off x="1602104" y="266700"/>
          <a:ext cx="1554336" cy="5066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2800">
              <a:latin typeface="Abadi Extra Light" panose="020B0204020104020204" pitchFamily="34" charset="0"/>
            </a:rPr>
            <a:t>Apple</a:t>
          </a:r>
          <a:r>
            <a:rPr lang="en-US" sz="2800" baseline="0">
              <a:latin typeface="Abadi Extra Light" panose="020B0204020104020204" pitchFamily="34" charset="0"/>
            </a:rPr>
            <a:t> Inc.</a:t>
          </a:r>
          <a:endParaRPr lang="en-US" sz="2800">
            <a:latin typeface="Abadi Extra Light" panose="020B0204020104020204" pitchFamily="34" charset="0"/>
          </a:endParaRPr>
        </a:p>
      </xdr:txBody>
    </xdr:sp>
    <xdr:clientData/>
  </xdr:oneCellAnchor>
</xdr:wsDr>
</file>

<file path=xl/theme/theme1.xml><?xml version="1.0" encoding="utf-8"?>
<a:theme xmlns:a="http://schemas.openxmlformats.org/drawingml/2006/main" name="Office Theme">
  <a:themeElements>
    <a:clrScheme name="Blue II">
      <a:dk1>
        <a:sysClr val="windowText" lastClr="000000"/>
      </a:dk1>
      <a:lt1>
        <a:sysClr val="window" lastClr="FFFFFF"/>
      </a:lt1>
      <a:dk2>
        <a:srgbClr val="335B74"/>
      </a:dk2>
      <a:lt2>
        <a:srgbClr val="DFE3E5"/>
      </a:lt2>
      <a:accent1>
        <a:srgbClr val="1CADE4"/>
      </a:accent1>
      <a:accent2>
        <a:srgbClr val="2683C6"/>
      </a:accent2>
      <a:accent3>
        <a:srgbClr val="27CED7"/>
      </a:accent3>
      <a:accent4>
        <a:srgbClr val="42BA97"/>
      </a:accent4>
      <a:accent5>
        <a:srgbClr val="3E8853"/>
      </a:accent5>
      <a:accent6>
        <a:srgbClr val="62A39F"/>
      </a:accent6>
      <a:hlink>
        <a:srgbClr val="6EAC1C"/>
      </a:hlink>
      <a:folHlink>
        <a:srgbClr val="B26B02"/>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trlProp" Target="../ctrlProps/ctrlProp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trlProp" Target="../ctrlProps/ctrlProp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trlProp" Target="../ctrlProps/ctrlProp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trlProp" Target="../ctrlProps/ctrlProp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0A4945-BEDA-40D0-A571-4A2FECA53E5E}">
  <dimension ref="B1:V33"/>
  <sheetViews>
    <sheetView showGridLines="0" zoomScale="80" zoomScaleNormal="80" workbookViewId="0">
      <selection activeCell="N34" sqref="N34"/>
    </sheetView>
  </sheetViews>
  <sheetFormatPr defaultRowHeight="14.4" x14ac:dyDescent="0.3"/>
  <sheetData>
    <row r="1" spans="2:22" ht="15" thickBot="1" x14ac:dyDescent="0.35"/>
    <row r="2" spans="2:22" ht="15" thickTop="1" x14ac:dyDescent="0.3">
      <c r="B2" s="282"/>
      <c r="C2" s="283"/>
      <c r="D2" s="283"/>
      <c r="E2" s="283"/>
      <c r="F2" s="283"/>
      <c r="G2" s="283"/>
      <c r="H2" s="283"/>
      <c r="I2" s="283"/>
      <c r="J2" s="283"/>
      <c r="K2" s="283"/>
      <c r="L2" s="283"/>
      <c r="M2" s="283"/>
      <c r="N2" s="283"/>
      <c r="O2" s="283"/>
      <c r="P2" s="283"/>
      <c r="Q2" s="283"/>
      <c r="R2" s="283"/>
      <c r="S2" s="283"/>
      <c r="T2" s="283"/>
      <c r="U2" s="283"/>
      <c r="V2" s="284"/>
    </row>
    <row r="3" spans="2:22" x14ac:dyDescent="0.3">
      <c r="B3" s="285"/>
      <c r="C3" s="286"/>
      <c r="D3" s="286"/>
      <c r="E3" s="286"/>
      <c r="F3" s="286"/>
      <c r="G3" s="286"/>
      <c r="H3" s="286"/>
      <c r="I3" s="286"/>
      <c r="J3" s="286"/>
      <c r="K3" s="286"/>
      <c r="L3" s="286"/>
      <c r="M3" s="286"/>
      <c r="N3" s="286"/>
      <c r="O3" s="286"/>
      <c r="P3" s="286"/>
      <c r="Q3" s="286"/>
      <c r="R3" s="286"/>
      <c r="S3" s="286"/>
      <c r="T3" s="286"/>
      <c r="U3" s="286"/>
      <c r="V3" s="287"/>
    </row>
    <row r="4" spans="2:22" x14ac:dyDescent="0.3">
      <c r="B4" s="285"/>
      <c r="C4" s="286"/>
      <c r="D4" s="286"/>
      <c r="E4" s="286"/>
      <c r="F4" s="286"/>
      <c r="G4" s="286"/>
      <c r="H4" s="286"/>
      <c r="I4" s="286"/>
      <c r="J4" s="286"/>
      <c r="K4" s="286"/>
      <c r="L4" s="286"/>
      <c r="M4" s="286"/>
      <c r="N4" s="286"/>
      <c r="O4" s="286"/>
      <c r="P4" s="286"/>
      <c r="Q4" s="286"/>
      <c r="R4" s="286"/>
      <c r="S4" s="286"/>
      <c r="T4" s="286"/>
      <c r="U4" s="286"/>
      <c r="V4" s="287"/>
    </row>
    <row r="5" spans="2:22" x14ac:dyDescent="0.3">
      <c r="B5" s="285"/>
      <c r="C5" s="286"/>
      <c r="D5" s="286"/>
      <c r="E5" s="286"/>
      <c r="F5" s="286"/>
      <c r="G5" s="286"/>
      <c r="H5" s="286"/>
      <c r="I5" s="286"/>
      <c r="J5" s="286"/>
      <c r="K5" s="286"/>
      <c r="L5" s="286"/>
      <c r="M5" s="286"/>
      <c r="N5" s="286"/>
      <c r="O5" s="286"/>
      <c r="P5" s="286"/>
      <c r="Q5" s="286"/>
      <c r="R5" s="286"/>
      <c r="S5" s="286"/>
      <c r="T5" s="286"/>
      <c r="U5" s="286"/>
      <c r="V5" s="287"/>
    </row>
    <row r="6" spans="2:22" x14ac:dyDescent="0.3">
      <c r="B6" s="285"/>
      <c r="C6" s="286"/>
      <c r="D6" s="286"/>
      <c r="E6" s="286"/>
      <c r="F6" s="286"/>
      <c r="G6" s="286"/>
      <c r="H6" s="286"/>
      <c r="I6" s="286"/>
      <c r="J6" s="286"/>
      <c r="K6" s="286"/>
      <c r="L6" s="286"/>
      <c r="M6" s="286"/>
      <c r="N6" s="286"/>
      <c r="O6" s="286"/>
      <c r="P6" s="286"/>
      <c r="Q6" s="286"/>
      <c r="R6" s="286"/>
      <c r="S6" s="286"/>
      <c r="T6" s="286"/>
      <c r="U6" s="286"/>
      <c r="V6" s="287"/>
    </row>
    <row r="7" spans="2:22" x14ac:dyDescent="0.3">
      <c r="B7" s="285"/>
      <c r="C7" s="286"/>
      <c r="D7" s="286"/>
      <c r="E7" s="286"/>
      <c r="F7" s="286"/>
      <c r="G7" s="286"/>
      <c r="H7" s="286"/>
      <c r="I7" s="286"/>
      <c r="J7" s="286"/>
      <c r="K7" s="286"/>
      <c r="L7" s="286"/>
      <c r="M7" s="286"/>
      <c r="N7" s="286"/>
      <c r="O7" s="286"/>
      <c r="P7" s="286"/>
      <c r="Q7" s="286"/>
      <c r="R7" s="286"/>
      <c r="S7" s="286"/>
      <c r="T7" s="286"/>
      <c r="U7" s="286"/>
      <c r="V7" s="287"/>
    </row>
    <row r="8" spans="2:22" x14ac:dyDescent="0.3">
      <c r="B8" s="288"/>
      <c r="V8" s="289"/>
    </row>
    <row r="9" spans="2:22" x14ac:dyDescent="0.3">
      <c r="B9" s="288"/>
      <c r="V9" s="289"/>
    </row>
    <row r="10" spans="2:22" ht="25.8" x14ac:dyDescent="0.5">
      <c r="B10" s="288"/>
      <c r="C10" s="298" t="s">
        <v>0</v>
      </c>
      <c r="V10" s="289"/>
    </row>
    <row r="11" spans="2:22" x14ac:dyDescent="0.3">
      <c r="B11" s="288"/>
      <c r="V11" s="289"/>
    </row>
    <row r="12" spans="2:22" x14ac:dyDescent="0.3">
      <c r="B12" s="288"/>
      <c r="V12" s="289"/>
    </row>
    <row r="13" spans="2:22" ht="15.6" x14ac:dyDescent="0.3">
      <c r="B13" s="288"/>
      <c r="C13" s="1" t="s">
        <v>1</v>
      </c>
      <c r="D13" s="1"/>
      <c r="V13" s="289"/>
    </row>
    <row r="14" spans="2:22" x14ac:dyDescent="0.3">
      <c r="B14" s="288"/>
      <c r="V14" s="289"/>
    </row>
    <row r="15" spans="2:22" x14ac:dyDescent="0.3">
      <c r="B15" s="288"/>
      <c r="C15" s="297" t="s">
        <v>2</v>
      </c>
      <c r="V15" s="289"/>
    </row>
    <row r="16" spans="2:22" x14ac:dyDescent="0.3">
      <c r="B16" s="288"/>
      <c r="C16" s="297" t="s">
        <v>3</v>
      </c>
      <c r="V16" s="289"/>
    </row>
    <row r="17" spans="2:22" x14ac:dyDescent="0.3">
      <c r="B17" s="288"/>
      <c r="C17" s="297" t="s">
        <v>4</v>
      </c>
      <c r="V17" s="289"/>
    </row>
    <row r="18" spans="2:22" x14ac:dyDescent="0.3">
      <c r="B18" s="288"/>
      <c r="C18" s="297" t="s">
        <v>5</v>
      </c>
      <c r="V18" s="289"/>
    </row>
    <row r="19" spans="2:22" x14ac:dyDescent="0.3">
      <c r="B19" s="288"/>
      <c r="C19" s="297" t="s">
        <v>6</v>
      </c>
      <c r="V19" s="289"/>
    </row>
    <row r="20" spans="2:22" x14ac:dyDescent="0.3">
      <c r="B20" s="288"/>
      <c r="V20" s="289"/>
    </row>
    <row r="21" spans="2:22" x14ac:dyDescent="0.3">
      <c r="B21" s="288"/>
      <c r="V21" s="289"/>
    </row>
    <row r="22" spans="2:22" x14ac:dyDescent="0.3">
      <c r="B22" s="288"/>
      <c r="V22" s="289"/>
    </row>
    <row r="23" spans="2:22" x14ac:dyDescent="0.3">
      <c r="B23" s="288"/>
      <c r="C23" s="295"/>
      <c r="D23" s="295"/>
      <c r="E23" s="295"/>
      <c r="F23" s="295"/>
      <c r="G23" s="295"/>
      <c r="H23" s="295"/>
      <c r="I23" s="295"/>
      <c r="J23" s="295"/>
      <c r="K23" s="295"/>
      <c r="L23" s="295"/>
      <c r="M23" s="295"/>
      <c r="N23" s="295"/>
      <c r="O23" s="295"/>
      <c r="P23" s="295"/>
      <c r="Q23" s="295"/>
      <c r="R23" s="295"/>
      <c r="S23" s="295"/>
      <c r="T23" s="295"/>
      <c r="U23" s="295"/>
      <c r="V23" s="289"/>
    </row>
    <row r="24" spans="2:22" x14ac:dyDescent="0.3">
      <c r="B24" s="288"/>
      <c r="C24" s="295"/>
      <c r="D24" s="296"/>
      <c r="E24" s="296"/>
      <c r="F24" s="296"/>
      <c r="G24" s="296"/>
      <c r="H24" s="296"/>
      <c r="I24" s="296"/>
      <c r="J24" s="296"/>
      <c r="K24" s="296"/>
      <c r="L24" s="296"/>
      <c r="M24" s="296"/>
      <c r="N24" s="296"/>
      <c r="O24" s="296"/>
      <c r="P24" s="296"/>
      <c r="Q24" s="296"/>
      <c r="R24" s="296"/>
      <c r="S24" s="296"/>
      <c r="T24" s="296"/>
      <c r="U24" s="296"/>
      <c r="V24" s="289"/>
    </row>
    <row r="25" spans="2:22" x14ac:dyDescent="0.3">
      <c r="B25" s="288"/>
      <c r="C25" s="296"/>
      <c r="D25" s="296"/>
      <c r="E25" s="296"/>
      <c r="F25" s="296"/>
      <c r="G25" s="296"/>
      <c r="H25" s="296"/>
      <c r="I25" s="296"/>
      <c r="J25" s="296"/>
      <c r="K25" s="296"/>
      <c r="L25" s="296"/>
      <c r="M25" s="296"/>
      <c r="N25" s="296"/>
      <c r="O25" s="296"/>
      <c r="P25" s="296"/>
      <c r="Q25" s="296"/>
      <c r="R25" s="296"/>
      <c r="S25" s="296"/>
      <c r="T25" s="296"/>
      <c r="U25" s="296"/>
      <c r="V25" s="289"/>
    </row>
    <row r="26" spans="2:22" x14ac:dyDescent="0.3">
      <c r="B26" s="288"/>
      <c r="C26" s="296"/>
      <c r="D26" s="296"/>
      <c r="E26" s="296"/>
      <c r="F26" s="296"/>
      <c r="G26" s="296"/>
      <c r="H26" s="296"/>
      <c r="I26" s="296"/>
      <c r="J26" s="296"/>
      <c r="K26" s="296"/>
      <c r="L26" s="296"/>
      <c r="M26" s="296"/>
      <c r="N26" s="296"/>
      <c r="O26" s="296"/>
      <c r="P26" s="296"/>
      <c r="Q26" s="296"/>
      <c r="R26" s="296"/>
      <c r="S26" s="296"/>
      <c r="T26" s="296"/>
      <c r="U26" s="296"/>
      <c r="V26" s="289"/>
    </row>
    <row r="27" spans="2:22" x14ac:dyDescent="0.3">
      <c r="B27" s="288"/>
      <c r="C27" s="296"/>
      <c r="D27" s="296"/>
      <c r="E27" s="296"/>
      <c r="F27" s="296"/>
      <c r="G27" s="296"/>
      <c r="H27" s="296"/>
      <c r="I27" s="296"/>
      <c r="J27" s="296"/>
      <c r="K27" s="296"/>
      <c r="L27" s="296"/>
      <c r="M27" s="296"/>
      <c r="N27" s="296"/>
      <c r="O27" s="296"/>
      <c r="P27" s="296"/>
      <c r="Q27" s="296"/>
      <c r="R27" s="296"/>
      <c r="S27" s="296"/>
      <c r="T27" s="296"/>
      <c r="U27" s="296"/>
      <c r="V27" s="289"/>
    </row>
    <row r="28" spans="2:22" x14ac:dyDescent="0.3">
      <c r="B28" s="288"/>
      <c r="C28" s="296"/>
      <c r="D28" s="296"/>
      <c r="E28" s="296"/>
      <c r="F28" s="296"/>
      <c r="G28" s="296"/>
      <c r="H28" s="296"/>
      <c r="I28" s="296"/>
      <c r="J28" s="296"/>
      <c r="K28" s="296"/>
      <c r="L28" s="296"/>
      <c r="M28" s="296"/>
      <c r="N28" s="296"/>
      <c r="O28" s="296"/>
      <c r="P28" s="296"/>
      <c r="Q28" s="296"/>
      <c r="R28" s="296"/>
      <c r="S28" s="296"/>
      <c r="T28" s="296"/>
      <c r="U28" s="296"/>
      <c r="V28" s="289"/>
    </row>
    <row r="29" spans="2:22" x14ac:dyDescent="0.3">
      <c r="B29" s="290"/>
      <c r="C29" s="296"/>
      <c r="D29" s="296"/>
      <c r="E29" s="296"/>
      <c r="F29" s="296"/>
      <c r="G29" s="296"/>
      <c r="H29" s="296"/>
      <c r="I29" s="296"/>
      <c r="J29" s="296"/>
      <c r="K29" s="296"/>
      <c r="L29" s="296"/>
      <c r="M29" s="296"/>
      <c r="N29" s="296"/>
      <c r="O29" s="296"/>
      <c r="P29" s="296"/>
      <c r="Q29" s="296"/>
      <c r="R29" s="296"/>
      <c r="S29" s="296"/>
      <c r="T29" s="296"/>
      <c r="U29" s="296"/>
      <c r="V29" s="291"/>
    </row>
    <row r="30" spans="2:22" x14ac:dyDescent="0.3">
      <c r="B30" s="290"/>
      <c r="C30" s="296"/>
      <c r="D30" s="296"/>
      <c r="E30" s="296"/>
      <c r="F30" s="296"/>
      <c r="G30" s="296"/>
      <c r="H30" s="296"/>
      <c r="I30" s="296"/>
      <c r="J30" s="296"/>
      <c r="K30" s="296"/>
      <c r="L30" s="296"/>
      <c r="M30" s="296"/>
      <c r="N30" s="296"/>
      <c r="O30" s="296"/>
      <c r="P30" s="296"/>
      <c r="Q30" s="296"/>
      <c r="R30" s="296"/>
      <c r="S30" s="296"/>
      <c r="T30" s="296"/>
      <c r="U30" s="296"/>
      <c r="V30" s="291"/>
    </row>
    <row r="31" spans="2:22" x14ac:dyDescent="0.3">
      <c r="B31" s="288"/>
      <c r="V31" s="289"/>
    </row>
    <row r="32" spans="2:22" ht="15" thickBot="1" x14ac:dyDescent="0.35">
      <c r="B32" s="292"/>
      <c r="C32" s="293"/>
      <c r="D32" s="293"/>
      <c r="E32" s="293"/>
      <c r="F32" s="293"/>
      <c r="G32" s="293"/>
      <c r="H32" s="293"/>
      <c r="I32" s="293"/>
      <c r="J32" s="293"/>
      <c r="K32" s="293"/>
      <c r="L32" s="293"/>
      <c r="M32" s="293"/>
      <c r="N32" s="293"/>
      <c r="O32" s="293"/>
      <c r="P32" s="293"/>
      <c r="Q32" s="293"/>
      <c r="R32" s="293"/>
      <c r="S32" s="293"/>
      <c r="T32" s="293"/>
      <c r="U32" s="293"/>
      <c r="V32" s="294"/>
    </row>
    <row r="33" ht="15" thickTop="1" x14ac:dyDescent="0.3"/>
  </sheetData>
  <hyperlinks>
    <hyperlink ref="C15" location="Dashboard!A1" display="Dashboard" xr:uid="{A6176B0E-D199-41DC-8251-C6D32D53E1B5}"/>
    <hyperlink ref="C16" location="WACC!A1" display="WACC" xr:uid="{85F82FF2-5F46-44AF-B600-F9E3E6AB55EC}"/>
    <hyperlink ref="C17" location="DCF!A1" display="DCF" xr:uid="{FE892564-0323-4867-A25F-C4681992F01F}"/>
    <hyperlink ref="C19" location="'Financial Model'!A1" display="Financial Model" xr:uid="{63C30573-4367-4A1E-A0E2-7A9E90022256}"/>
    <hyperlink ref="C18" location="'Comparable Company Analysis'!A1" display="Comparable Company Analysis" xr:uid="{D4F84704-15A0-45C3-A862-B991E5C3FAA1}"/>
  </hyperlink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89CC0C-D5D2-43E7-B0E6-8D7A374E30FF}">
  <dimension ref="B1:S105"/>
  <sheetViews>
    <sheetView showGridLines="0" topLeftCell="A79" zoomScale="85" zoomScaleNormal="85" workbookViewId="0">
      <selection activeCell="C4" sqref="C4"/>
    </sheetView>
  </sheetViews>
  <sheetFormatPr defaultRowHeight="14.4" x14ac:dyDescent="0.3"/>
  <cols>
    <col min="1" max="1" width="8.88671875" style="9"/>
    <col min="2" max="2" width="24.6640625" style="9" customWidth="1"/>
    <col min="3" max="3" width="12.6640625" style="9" bestFit="1" customWidth="1"/>
    <col min="4" max="4" width="9.44140625" style="9" bestFit="1" customWidth="1"/>
    <col min="5" max="5" width="9" style="9" customWidth="1"/>
    <col min="6" max="7" width="8.88671875" style="9"/>
    <col min="8" max="8" width="11" style="9" customWidth="1"/>
    <col min="9" max="16384" width="8.88671875" style="9"/>
  </cols>
  <sheetData>
    <row r="1" spans="2:19" ht="85.2" customHeight="1" x14ac:dyDescent="0.3">
      <c r="B1" s="280"/>
      <c r="C1" s="280"/>
      <c r="D1" s="280"/>
      <c r="E1" s="280"/>
      <c r="F1" s="280"/>
      <c r="G1" s="280"/>
      <c r="H1" s="280"/>
      <c r="I1" s="280"/>
      <c r="J1" s="280"/>
      <c r="K1" s="280"/>
      <c r="L1" s="280"/>
      <c r="M1" s="280"/>
      <c r="N1" s="280"/>
      <c r="O1" s="280"/>
      <c r="P1" s="280"/>
      <c r="Q1" s="280"/>
      <c r="R1" s="280"/>
      <c r="S1" s="280"/>
    </row>
    <row r="3" spans="2:19" x14ac:dyDescent="0.3">
      <c r="B3" s="279" t="s">
        <v>121</v>
      </c>
      <c r="C3" s="73">
        <v>1</v>
      </c>
    </row>
    <row r="5" spans="2:19" x14ac:dyDescent="0.3">
      <c r="B5" s="278" t="s">
        <v>349</v>
      </c>
      <c r="C5" s="74"/>
      <c r="D5" s="74"/>
      <c r="E5" s="74"/>
      <c r="F5" s="74"/>
      <c r="G5" s="74"/>
      <c r="H5" s="74"/>
      <c r="I5" s="74"/>
      <c r="J5" s="74"/>
      <c r="K5" s="74"/>
      <c r="L5" s="74"/>
      <c r="M5" s="74"/>
      <c r="N5" s="74"/>
      <c r="O5" s="74"/>
      <c r="P5" s="74"/>
      <c r="Q5" s="74"/>
      <c r="R5" s="74"/>
      <c r="S5" s="74"/>
    </row>
    <row r="7" spans="2:19" ht="15" thickBot="1" x14ac:dyDescent="0.35">
      <c r="B7" s="11" t="s">
        <v>350</v>
      </c>
      <c r="E7" s="277" t="s">
        <v>375</v>
      </c>
      <c r="I7" s="78">
        <v>2019</v>
      </c>
      <c r="J7" s="78">
        <f>I7+1</f>
        <v>2020</v>
      </c>
      <c r="K7" s="78">
        <f t="shared" ref="K7" si="0">J7+1</f>
        <v>2021</v>
      </c>
      <c r="L7" s="78">
        <f t="shared" ref="L7" si="1">K7+1</f>
        <v>2022</v>
      </c>
      <c r="M7" s="78">
        <f t="shared" ref="M7" si="2">L7+1</f>
        <v>2023</v>
      </c>
      <c r="N7" s="78">
        <f t="shared" ref="N7" si="3">M7+1</f>
        <v>2024</v>
      </c>
      <c r="O7" s="131">
        <f t="shared" ref="O7" si="4">N7+1</f>
        <v>2025</v>
      </c>
      <c r="P7" s="131">
        <f t="shared" ref="P7" si="5">O7+1</f>
        <v>2026</v>
      </c>
      <c r="Q7" s="131">
        <f t="shared" ref="Q7" si="6">P7+1</f>
        <v>2027</v>
      </c>
      <c r="R7" s="131">
        <f t="shared" ref="R7" si="7">Q7+1</f>
        <v>2028</v>
      </c>
      <c r="S7" s="131">
        <f t="shared" ref="S7" si="8">R7+1</f>
        <v>2029</v>
      </c>
    </row>
    <row r="8" spans="2:19" x14ac:dyDescent="0.3">
      <c r="B8" s="11" t="s">
        <v>351</v>
      </c>
      <c r="E8" s="277" t="s">
        <v>376</v>
      </c>
    </row>
    <row r="9" spans="2:19" x14ac:dyDescent="0.3">
      <c r="B9" s="11" t="s">
        <v>345</v>
      </c>
      <c r="C9" s="37" t="s">
        <v>403</v>
      </c>
      <c r="E9" s="75">
        <f>WACC!D14</f>
        <v>198.15</v>
      </c>
      <c r="G9" s="3" t="s">
        <v>96</v>
      </c>
      <c r="I9" s="10">
        <f>'Financial Model'!E247</f>
        <v>260174</v>
      </c>
      <c r="J9" s="10">
        <f>'Financial Model'!F247</f>
        <v>274515</v>
      </c>
      <c r="K9" s="10">
        <f>'Financial Model'!G247</f>
        <v>365817</v>
      </c>
      <c r="L9" s="10">
        <f>'Financial Model'!H247</f>
        <v>394328</v>
      </c>
      <c r="M9" s="10">
        <f>'Financial Model'!I247</f>
        <v>383285</v>
      </c>
      <c r="N9" s="10">
        <f>'Financial Model'!J247</f>
        <v>391035</v>
      </c>
      <c r="O9" s="10">
        <f>'Financial Model'!K247</f>
        <v>399722.00499999995</v>
      </c>
      <c r="P9" s="10">
        <f>'Financial Model'!L247</f>
        <v>408957.33227499994</v>
      </c>
      <c r="Q9" s="10">
        <f>'Financial Model'!M247</f>
        <v>417114.56047074986</v>
      </c>
      <c r="R9" s="10">
        <f>'Financial Model'!N247</f>
        <v>425679.3212995411</v>
      </c>
      <c r="S9" s="10">
        <f>'Financial Model'!O247</f>
        <v>434675.65721406252</v>
      </c>
    </row>
    <row r="10" spans="2:19" x14ac:dyDescent="0.3">
      <c r="B10" s="11"/>
      <c r="C10" s="37"/>
      <c r="E10" s="75"/>
      <c r="G10" s="3"/>
    </row>
    <row r="11" spans="2:19" x14ac:dyDescent="0.3">
      <c r="B11" s="11" t="s">
        <v>352</v>
      </c>
      <c r="E11" s="76">
        <f>'Comparable Companyn Analysis'!M11</f>
        <v>31.45</v>
      </c>
      <c r="G11" s="3" t="s">
        <v>16</v>
      </c>
      <c r="I11" s="10">
        <f>'Financial Model'!E254</f>
        <v>98392</v>
      </c>
      <c r="J11" s="10">
        <f>'Financial Model'!F254</f>
        <v>104956</v>
      </c>
      <c r="K11" s="10">
        <f>'Financial Model'!G254</f>
        <v>152836</v>
      </c>
      <c r="L11" s="10">
        <f>'Financial Model'!H254</f>
        <v>170782</v>
      </c>
      <c r="M11" s="10">
        <f>'Financial Model'!I254</f>
        <v>169148</v>
      </c>
      <c r="N11" s="10">
        <f>'Financial Model'!J254</f>
        <v>180683</v>
      </c>
      <c r="O11" s="10">
        <f>'Financial Model'!K254</f>
        <v>186224.13388499996</v>
      </c>
      <c r="P11" s="10">
        <f>'Financial Model'!L254</f>
        <v>192474.241733175</v>
      </c>
      <c r="Q11" s="10">
        <f>'Financial Model'!M254</f>
        <v>197929.25746960644</v>
      </c>
      <c r="R11" s="10">
        <f>'Financial Model'!N254</f>
        <v>203681.10695638607</v>
      </c>
      <c r="S11" s="10">
        <f>'Financial Model'!O254</f>
        <v>209747.44788256544</v>
      </c>
    </row>
    <row r="12" spans="2:19" x14ac:dyDescent="0.3">
      <c r="B12" s="11" t="s">
        <v>367</v>
      </c>
      <c r="E12" s="76">
        <f>'Comparable Companyn Analysis'!L11</f>
        <v>6.3</v>
      </c>
      <c r="G12" s="276" t="s">
        <v>397</v>
      </c>
      <c r="I12" s="275">
        <f>I11/I9</f>
        <v>0.37817768109034722</v>
      </c>
      <c r="J12" s="275">
        <f t="shared" ref="J12:S12" si="9">J11/J9</f>
        <v>0.38233247727810865</v>
      </c>
      <c r="K12" s="275">
        <f t="shared" si="9"/>
        <v>0.41779359625167778</v>
      </c>
      <c r="L12" s="275">
        <f t="shared" si="9"/>
        <v>0.43309630561360085</v>
      </c>
      <c r="M12" s="275">
        <f t="shared" si="9"/>
        <v>0.44131129577207562</v>
      </c>
      <c r="N12" s="275">
        <f t="shared" si="9"/>
        <v>0.46206349815233932</v>
      </c>
      <c r="O12" s="275">
        <f t="shared" si="9"/>
        <v>0.46588411835120258</v>
      </c>
      <c r="P12" s="275">
        <f t="shared" si="9"/>
        <v>0.47064626684269184</v>
      </c>
      <c r="Q12" s="275">
        <f t="shared" si="9"/>
        <v>0.47452013481913974</v>
      </c>
      <c r="R12" s="275">
        <f t="shared" si="9"/>
        <v>0.47848485177662692</v>
      </c>
      <c r="S12" s="275">
        <f t="shared" si="9"/>
        <v>0.48253782884205126</v>
      </c>
    </row>
    <row r="13" spans="2:19" x14ac:dyDescent="0.3">
      <c r="B13" s="11" t="s">
        <v>353</v>
      </c>
      <c r="E13" s="76">
        <f>'Comparable Companyn Analysis'!K11</f>
        <v>21.98</v>
      </c>
      <c r="G13" s="3"/>
    </row>
    <row r="14" spans="2:19" x14ac:dyDescent="0.3">
      <c r="G14" s="3" t="s">
        <v>365</v>
      </c>
      <c r="I14" s="10">
        <f>'Financial Model'!E261+'Financial Model'!E322</f>
        <v>76477</v>
      </c>
      <c r="J14" s="10">
        <f>'Financial Model'!F261+'Financial Model'!F322</f>
        <v>77344</v>
      </c>
      <c r="K14" s="10">
        <f>'Financial Model'!G261+'Financial Model'!G322</f>
        <v>120233</v>
      </c>
      <c r="L14" s="10">
        <f>'Financial Model'!H261+'Financial Model'!H322</f>
        <v>130541</v>
      </c>
      <c r="M14" s="10">
        <f>'Financial Model'!I261+'Financial Model'!I322</f>
        <v>125820</v>
      </c>
      <c r="N14" s="10">
        <f>'Financial Model'!J261+'Financial Model'!J322</f>
        <v>134661</v>
      </c>
      <c r="O14" s="10">
        <f ca="1">'Financial Model'!K261+'Financial Model'!K322</f>
        <v>141485.07116900419</v>
      </c>
      <c r="P14" s="10">
        <f ca="1">'Financial Model'!L261+'Financial Model'!L322</f>
        <v>147333.48683290317</v>
      </c>
      <c r="Q14" s="10">
        <f ca="1">'Financial Model'!M261+'Financial Model'!M322</f>
        <v>152515.43014028191</v>
      </c>
      <c r="R14" s="10">
        <f ca="1">'Financial Model'!N261+'Financial Model'!N322</f>
        <v>157938.81391958008</v>
      </c>
      <c r="S14" s="10">
        <f ca="1">'Financial Model'!O261+'Financial Model'!O322</f>
        <v>163625.35031528567</v>
      </c>
    </row>
    <row r="15" spans="2:19" x14ac:dyDescent="0.3">
      <c r="B15" s="11" t="s">
        <v>354</v>
      </c>
      <c r="E15" s="77">
        <f>(N9/I9)^(1/6)-1</f>
        <v>7.0266559720803423E-2</v>
      </c>
      <c r="G15" s="276" t="s">
        <v>395</v>
      </c>
      <c r="I15" s="275">
        <f>I14/I9</f>
        <v>0.29394559025882677</v>
      </c>
      <c r="J15" s="275">
        <f t="shared" ref="J15:S15" si="10">J14/J9</f>
        <v>0.2817478097736007</v>
      </c>
      <c r="K15" s="275">
        <f t="shared" si="10"/>
        <v>0.32866979938056462</v>
      </c>
      <c r="L15" s="275">
        <f t="shared" si="10"/>
        <v>0.3310467428130896</v>
      </c>
      <c r="M15" s="275">
        <f t="shared" si="10"/>
        <v>0.32826747720364741</v>
      </c>
      <c r="N15" s="275">
        <f t="shared" si="10"/>
        <v>0.34437070850435381</v>
      </c>
      <c r="O15" s="275">
        <f t="shared" ca="1" si="10"/>
        <v>0.35395867477699711</v>
      </c>
      <c r="P15" s="275">
        <f t="shared" ca="1" si="10"/>
        <v>0.36026615787348204</v>
      </c>
      <c r="Q15" s="275">
        <f t="shared" ca="1" si="10"/>
        <v>0.36564398511563601</v>
      </c>
      <c r="R15" s="275">
        <f t="shared" ca="1" si="10"/>
        <v>0.3710276868451452</v>
      </c>
      <c r="S15" s="275">
        <f t="shared" ca="1" si="10"/>
        <v>0.37643090336366808</v>
      </c>
    </row>
    <row r="16" spans="2:19" x14ac:dyDescent="0.3">
      <c r="B16" s="11" t="s">
        <v>355</v>
      </c>
      <c r="C16" s="37" t="s">
        <v>356</v>
      </c>
      <c r="E16" s="274">
        <f ca="1">DCF!E57</f>
        <v>2121755.7582949186</v>
      </c>
    </row>
    <row r="17" spans="2:19" x14ac:dyDescent="0.3">
      <c r="G17" s="3" t="s">
        <v>401</v>
      </c>
      <c r="I17" s="10">
        <f>'Financial Model'!E261</f>
        <v>63930</v>
      </c>
      <c r="J17" s="10">
        <f>'Financial Model'!F261</f>
        <v>66288</v>
      </c>
      <c r="K17" s="10">
        <f>'Financial Model'!G261</f>
        <v>108949</v>
      </c>
      <c r="L17" s="10">
        <f>'Financial Model'!H261</f>
        <v>119437</v>
      </c>
      <c r="M17" s="10">
        <f>'Financial Model'!I261</f>
        <v>114301</v>
      </c>
      <c r="N17" s="10">
        <f>'Financial Model'!J261</f>
        <v>123216</v>
      </c>
      <c r="O17" s="10">
        <f>'Financial Model'!K261</f>
        <v>129463.60917499996</v>
      </c>
      <c r="P17" s="10">
        <f>'Financial Model'!L261</f>
        <v>134402.30055012502</v>
      </c>
      <c r="Q17" s="10">
        <f>'Financial Model'!M261</f>
        <v>138698.98988275995</v>
      </c>
      <c r="R17" s="10">
        <f>'Financial Model'!N261</f>
        <v>143234.64333185123</v>
      </c>
      <c r="S17" s="10">
        <f>'Financial Model'!O261</f>
        <v>148023.50455816856</v>
      </c>
    </row>
    <row r="18" spans="2:19" x14ac:dyDescent="0.3">
      <c r="B18" s="11" t="s">
        <v>398</v>
      </c>
      <c r="C18" s="37" t="s">
        <v>356</v>
      </c>
      <c r="E18" s="274">
        <f>'Comparable Companyn Analysis'!I29</f>
        <v>3018953</v>
      </c>
      <c r="G18" s="276" t="s">
        <v>402</v>
      </c>
      <c r="I18" s="275">
        <f>I17/I9</f>
        <v>0.24572017188496928</v>
      </c>
      <c r="J18" s="275">
        <f t="shared" ref="J18:S18" si="11">J17/J9</f>
        <v>0.24147314354406862</v>
      </c>
      <c r="K18" s="275">
        <f t="shared" si="11"/>
        <v>0.29782377527561593</v>
      </c>
      <c r="L18" s="275">
        <f t="shared" si="11"/>
        <v>0.30288744395528594</v>
      </c>
      <c r="M18" s="275">
        <f t="shared" si="11"/>
        <v>0.29821412265024722</v>
      </c>
      <c r="N18" s="275">
        <f t="shared" si="11"/>
        <v>0.31510222870075566</v>
      </c>
      <c r="O18" s="275">
        <f t="shared" si="11"/>
        <v>0.32388411835120257</v>
      </c>
      <c r="P18" s="275">
        <f t="shared" si="11"/>
        <v>0.32864626684269183</v>
      </c>
      <c r="Q18" s="275">
        <f t="shared" si="11"/>
        <v>0.33252013481913972</v>
      </c>
      <c r="R18" s="275">
        <f t="shared" si="11"/>
        <v>0.3364848517766269</v>
      </c>
      <c r="S18" s="275">
        <f t="shared" si="11"/>
        <v>0.34053782884205125</v>
      </c>
    </row>
    <row r="19" spans="2:19" x14ac:dyDescent="0.3">
      <c r="B19" s="11" t="s">
        <v>399</v>
      </c>
      <c r="C19" s="37" t="s">
        <v>356</v>
      </c>
      <c r="E19" s="274">
        <f>'Comparable Companyn Analysis'!I30</f>
        <v>641424.5</v>
      </c>
    </row>
    <row r="20" spans="2:19" x14ac:dyDescent="0.3">
      <c r="B20" s="11" t="s">
        <v>400</v>
      </c>
      <c r="C20" s="37" t="s">
        <v>356</v>
      </c>
      <c r="E20" s="274">
        <f>'Comparable Companyn Analysis'!I27</f>
        <v>1835453.8333333335</v>
      </c>
      <c r="G20" s="3" t="s">
        <v>187</v>
      </c>
      <c r="I20" s="10">
        <f>'Financial Model'!E267</f>
        <v>55256</v>
      </c>
      <c r="J20" s="10">
        <f>'Financial Model'!F267</f>
        <v>57411</v>
      </c>
      <c r="K20" s="10">
        <f>'Financial Model'!G267</f>
        <v>94680</v>
      </c>
      <c r="L20" s="10">
        <f>'Financial Model'!H267</f>
        <v>99803</v>
      </c>
      <c r="M20" s="10">
        <f>'Financial Model'!I267</f>
        <v>96995</v>
      </c>
      <c r="N20" s="10">
        <f>'Financial Model'!J267</f>
        <v>93736</v>
      </c>
      <c r="O20" s="10">
        <f>'Financial Model'!K267</f>
        <v>108413.66522279996</v>
      </c>
      <c r="P20" s="10">
        <f>'Financial Model'!L267</f>
        <v>112554.40830299402</v>
      </c>
      <c r="Q20" s="10">
        <f>'Financial Model'!M267</f>
        <v>116156.77527072294</v>
      </c>
      <c r="R20" s="10">
        <f>'Financial Model'!N267</f>
        <v>119959.52976886342</v>
      </c>
      <c r="S20" s="10">
        <f>'Financial Model'!O267</f>
        <v>123974.61627680177</v>
      </c>
    </row>
    <row r="21" spans="2:19" x14ac:dyDescent="0.3">
      <c r="G21" s="276" t="s">
        <v>396</v>
      </c>
      <c r="I21" s="275">
        <f>'Financial Model'!E267/'Financial Model'!E247</f>
        <v>0.21238094505984456</v>
      </c>
      <c r="J21" s="275">
        <f>'Financial Model'!F267/'Financial Model'!F247</f>
        <v>0.20913611278072236</v>
      </c>
      <c r="K21" s="275">
        <f>'Financial Model'!G267/'Financial Model'!G247</f>
        <v>0.25881793355694238</v>
      </c>
      <c r="L21" s="275">
        <f>'Financial Model'!H267/'Financial Model'!H247</f>
        <v>0.25309640705199732</v>
      </c>
      <c r="M21" s="275">
        <f>'Financial Model'!I267/'Financial Model'!I247</f>
        <v>0.25306234264320282</v>
      </c>
      <c r="N21" s="275">
        <f>'Financial Model'!J267/'Financial Model'!J247</f>
        <v>0.23971255769943867</v>
      </c>
      <c r="O21" s="275">
        <f>'Financial Model'!K267/'Financial Model'!K247</f>
        <v>0.27122265941501011</v>
      </c>
      <c r="P21" s="275">
        <f>'Financial Model'!L267/'Financial Model'!L247</f>
        <v>0.27522286414786118</v>
      </c>
      <c r="Q21" s="275">
        <f>'Financial Model'!M267/'Financial Model'!M247</f>
        <v>0.27847691324807738</v>
      </c>
      <c r="R21" s="275">
        <f>'Financial Model'!N267/'Financial Model'!N247</f>
        <v>0.28180727549236662</v>
      </c>
      <c r="S21" s="275">
        <f>'Financial Model'!O267/'Financial Model'!O247</f>
        <v>0.28521177622732302</v>
      </c>
    </row>
    <row r="24" spans="2:19" x14ac:dyDescent="0.3">
      <c r="B24" s="16" t="s">
        <v>404</v>
      </c>
      <c r="C24" s="17"/>
      <c r="D24" s="17"/>
      <c r="E24" s="17"/>
      <c r="F24" s="17"/>
      <c r="G24" s="17"/>
      <c r="H24" s="17"/>
      <c r="J24" s="16" t="s">
        <v>390</v>
      </c>
      <c r="K24" s="17"/>
      <c r="L24" s="17"/>
      <c r="M24" s="17"/>
      <c r="N24" s="17"/>
      <c r="O24" s="17"/>
      <c r="P24" s="17"/>
      <c r="Q24" s="17"/>
      <c r="R24" s="17"/>
      <c r="S24" s="17"/>
    </row>
    <row r="38" spans="2:8" x14ac:dyDescent="0.3">
      <c r="B38" s="16" t="s">
        <v>405</v>
      </c>
      <c r="C38" s="17"/>
      <c r="D38" s="17"/>
      <c r="E38" s="17"/>
      <c r="F38" s="17"/>
      <c r="G38" s="17"/>
      <c r="H38" s="17"/>
    </row>
    <row r="53" spans="2:19" x14ac:dyDescent="0.3">
      <c r="B53" s="278" t="s">
        <v>357</v>
      </c>
      <c r="C53" s="74"/>
      <c r="D53" s="74"/>
      <c r="E53" s="74"/>
      <c r="F53" s="74"/>
      <c r="G53" s="74"/>
      <c r="H53" s="74"/>
      <c r="I53" s="74"/>
      <c r="J53" s="74"/>
      <c r="K53" s="74"/>
      <c r="L53" s="74"/>
      <c r="M53" s="74"/>
      <c r="N53" s="74"/>
      <c r="O53" s="74"/>
      <c r="P53" s="74"/>
      <c r="Q53" s="74"/>
      <c r="R53" s="74"/>
      <c r="S53" s="74"/>
    </row>
    <row r="55" spans="2:19" ht="15" thickBot="1" x14ac:dyDescent="0.35">
      <c r="B55" s="38" t="s">
        <v>358</v>
      </c>
      <c r="C55" s="38"/>
      <c r="D55" s="38"/>
      <c r="F55" s="78">
        <v>2019</v>
      </c>
      <c r="G55" s="78">
        <f>F55+1</f>
        <v>2020</v>
      </c>
      <c r="H55" s="78">
        <f t="shared" ref="H55" si="12">G55+1</f>
        <v>2021</v>
      </c>
      <c r="I55" s="78">
        <f t="shared" ref="I55" si="13">H55+1</f>
        <v>2022</v>
      </c>
      <c r="J55" s="78">
        <f t="shared" ref="J55" si="14">I55+1</f>
        <v>2023</v>
      </c>
      <c r="K55" s="78">
        <f t="shared" ref="K55" si="15">J55+1</f>
        <v>2024</v>
      </c>
      <c r="L55" s="131">
        <f t="shared" ref="L55" si="16">K55+1</f>
        <v>2025</v>
      </c>
      <c r="M55" s="131">
        <f t="shared" ref="M55" si="17">L55+1</f>
        <v>2026</v>
      </c>
      <c r="N55" s="131">
        <f t="shared" ref="N55" si="18">M55+1</f>
        <v>2027</v>
      </c>
      <c r="O55" s="131">
        <f t="shared" ref="O55" si="19">N55+1</f>
        <v>2028</v>
      </c>
      <c r="P55" s="131">
        <f t="shared" ref="P55" si="20">O55+1</f>
        <v>2029</v>
      </c>
    </row>
    <row r="56" spans="2:19" x14ac:dyDescent="0.3">
      <c r="F56" s="77"/>
      <c r="G56" s="77"/>
      <c r="H56" s="77"/>
      <c r="I56" s="77"/>
      <c r="J56" s="77"/>
      <c r="K56" s="77"/>
    </row>
    <row r="57" spans="2:19" x14ac:dyDescent="0.3">
      <c r="B57" s="39" t="s">
        <v>359</v>
      </c>
      <c r="C57" s="35"/>
      <c r="D57" s="35"/>
      <c r="F57" s="79">
        <f>'Financial Model'!E282/'Financial Model'!E298</f>
        <v>1.540125617208044</v>
      </c>
      <c r="G57" s="79">
        <f>'Financial Model'!F282/'Financial Model'!F298</f>
        <v>1.3636044481554577</v>
      </c>
      <c r="H57" s="79">
        <f>'Financial Model'!G282/'Financial Model'!G298</f>
        <v>1.0745531195957954</v>
      </c>
      <c r="I57" s="79">
        <f>'Financial Model'!H282/'Financial Model'!H298</f>
        <v>0.87935602862672257</v>
      </c>
      <c r="J57" s="79">
        <f>'Financial Model'!I282/'Financial Model'!I298</f>
        <v>0.98801167175929749</v>
      </c>
      <c r="K57" s="79">
        <f>'Financial Model'!J282/'Financial Model'!J298</f>
        <v>0.86731257653408322</v>
      </c>
      <c r="L57" s="79">
        <f ca="1">'Financial Model'!K282/'Financial Model'!K298</f>
        <v>0.96589913027693741</v>
      </c>
      <c r="M57" s="79">
        <f ca="1">'Financial Model'!L282/'Financial Model'!L298</f>
        <v>1.086594784550279</v>
      </c>
      <c r="N57" s="79">
        <f ca="1">'Financial Model'!M282/'Financial Model'!M298</f>
        <v>1.182633529890381</v>
      </c>
      <c r="O57" s="79">
        <f ca="1">'Financial Model'!N282/'Financial Model'!N298</f>
        <v>1.3166679502326317</v>
      </c>
      <c r="P57" s="79">
        <f ca="1">'Financial Model'!O282/'Financial Model'!O298</f>
        <v>1.4518545397313538</v>
      </c>
    </row>
    <row r="58" spans="2:19" x14ac:dyDescent="0.3">
      <c r="B58" s="39" t="s">
        <v>360</v>
      </c>
      <c r="C58" s="35"/>
      <c r="D58" s="35"/>
      <c r="F58" s="79">
        <f>('Financial Model'!E276+'Financial Model'!E277+'Financial Model'!E278)/'Financial Model'!E298</f>
        <v>1.1680413931402409</v>
      </c>
      <c r="G58" s="79">
        <f>('Financial Model'!F276+'Financial Model'!F277+'Financial Model'!F278)/'Financial Model'!F298</f>
        <v>1.0158550933657204</v>
      </c>
      <c r="H58" s="79">
        <f>('Financial Model'!G276+'Financial Model'!G277+'Financial Model'!G278)/'Financial Model'!G298</f>
        <v>0.70860927152317876</v>
      </c>
      <c r="I58" s="79">
        <f>('Financial Model'!H276+'Financial Model'!H277+'Financial Model'!H278)/'Financial Model'!H298</f>
        <v>0.49673338442155579</v>
      </c>
      <c r="J58" s="79">
        <f>('Financial Model'!I276+'Financial Model'!I277+'Financial Model'!I278)/'Financial Model'!I298</f>
        <v>0.62668951468604617</v>
      </c>
      <c r="K58" s="79">
        <f>('Financial Model'!J276+'Financial Model'!J277+'Financial Model'!J278)/'Financial Model'!J298</f>
        <v>0.5588745521338836</v>
      </c>
      <c r="L58" s="79">
        <f ca="1">('Financial Model'!K276+'Financial Model'!K277+'Financial Model'!K278)/'Financial Model'!K298</f>
        <v>0.62998856442220408</v>
      </c>
      <c r="M58" s="79">
        <f ca="1">('Financial Model'!L276+'Financial Model'!L277+'Financial Model'!L278)/'Financial Model'!L298</f>
        <v>0.75066178891817337</v>
      </c>
      <c r="N58" s="79">
        <f ca="1">('Financial Model'!M276+'Financial Model'!M277+'Financial Model'!M278)/'Financial Model'!M298</f>
        <v>0.84964738966768327</v>
      </c>
      <c r="O58" s="79">
        <f ca="1">('Financial Model'!N276+'Financial Model'!N277+'Financial Model'!N278)/'Financial Model'!N298</f>
        <v>0.97402951426911888</v>
      </c>
      <c r="P58" s="79">
        <f ca="1">('Financial Model'!O276+'Financial Model'!O277+'Financial Model'!O278)/'Financial Model'!O298</f>
        <v>1.1097077545035128</v>
      </c>
    </row>
    <row r="59" spans="2:19" x14ac:dyDescent="0.3">
      <c r="F59" s="77"/>
      <c r="G59" s="77"/>
      <c r="H59" s="77"/>
      <c r="I59" s="77"/>
      <c r="J59" s="77"/>
      <c r="K59" s="77"/>
    </row>
    <row r="60" spans="2:19" x14ac:dyDescent="0.3">
      <c r="B60" s="38" t="s">
        <v>388</v>
      </c>
      <c r="C60" s="38"/>
      <c r="D60" s="38"/>
      <c r="F60" s="77"/>
      <c r="G60" s="77"/>
      <c r="H60" s="77"/>
      <c r="I60" s="77"/>
      <c r="J60" s="77"/>
      <c r="K60" s="77"/>
    </row>
    <row r="61" spans="2:19" x14ac:dyDescent="0.3">
      <c r="F61" s="77"/>
      <c r="G61" s="77"/>
      <c r="H61" s="77"/>
      <c r="I61" s="77"/>
      <c r="J61" s="77"/>
      <c r="K61" s="77"/>
    </row>
    <row r="62" spans="2:19" x14ac:dyDescent="0.3">
      <c r="B62" s="39" t="s">
        <v>361</v>
      </c>
      <c r="C62" s="35"/>
      <c r="D62" s="35"/>
      <c r="F62" s="79">
        <f>('Financial Model'!E297+'Financial Model'!E301+'Financial Model'!E296)/'Financial Model'!E289</f>
        <v>0.31917841401883518</v>
      </c>
      <c r="G62" s="79">
        <f>('Financial Model'!F297+'Financial Model'!F301+'Financial Model'!F296)/'Financial Model'!F289</f>
        <v>0.34714469199229364</v>
      </c>
      <c r="H62" s="79">
        <f>('Financial Model'!G297+'Financial Model'!G301+'Financial Model'!G296)/'Financial Model'!G289</f>
        <v>0.35532276169366556</v>
      </c>
      <c r="I62" s="79">
        <f>('Financial Model'!H297+'Financial Model'!H301+'Financial Model'!H296)/'Financial Model'!H289</f>
        <v>0.34037504783773442</v>
      </c>
      <c r="J62" s="79">
        <f>('Financial Model'!I297+'Financial Model'!I301+'Financial Model'!I296)/'Financial Model'!I289</f>
        <v>0.31506907593389361</v>
      </c>
      <c r="K62" s="79">
        <f>('Financial Model'!J297+'Financial Model'!J301+'Financial Model'!J296)/'Financial Model'!J289</f>
        <v>0.29215025480848267</v>
      </c>
      <c r="L62" s="79">
        <f ca="1">('Financial Model'!K297+'Financial Model'!K301+'Financial Model'!K296)/'Financial Model'!K289</f>
        <v>0.27924626045393247</v>
      </c>
      <c r="M62" s="79">
        <f ca="1">('Financial Model'!L297+'Financial Model'!L301+'Financial Model'!L296)/'Financial Model'!L289</f>
        <v>0.26587810085710489</v>
      </c>
      <c r="N62" s="79">
        <f ca="1">('Financial Model'!M297+'Financial Model'!M301+'Financial Model'!M296)/'Financial Model'!M289</f>
        <v>0.25262533236975032</v>
      </c>
      <c r="O62" s="79">
        <f ca="1">('Financial Model'!N297+'Financial Model'!N301+'Financial Model'!N296)/'Financial Model'!N289</f>
        <v>0.24031711139231812</v>
      </c>
      <c r="P62" s="79">
        <f ca="1">('Financial Model'!O297+'Financial Model'!O301+'Financial Model'!O296)/'Financial Model'!O289</f>
        <v>0.2290342777046665</v>
      </c>
    </row>
    <row r="63" spans="2:19" x14ac:dyDescent="0.3">
      <c r="B63" s="39" t="s">
        <v>387</v>
      </c>
      <c r="C63" s="35"/>
      <c r="D63" s="35"/>
      <c r="F63" s="79">
        <f>('Financial Model'!E296+'Financial Model'!E297+'Financial Model'!E301)/'Financial Model'!E310</f>
        <v>1.1940478295464592</v>
      </c>
      <c r="G63" s="79">
        <f>('Financial Model'!F296+'Financial Model'!F297+'Financial Model'!F301)/'Financial Model'!F310</f>
        <v>1.7208099297509909</v>
      </c>
      <c r="H63" s="79">
        <f>('Financial Model'!G296+'Financial Model'!G297+'Financial Model'!G301)/'Financial Model'!G310</f>
        <v>1.9768426058012363</v>
      </c>
      <c r="I63" s="79">
        <f>('Financial Model'!H296+'Financial Model'!H297+'Financial Model'!H301)/'Financial Model'!H310</f>
        <v>2.3695334701610355</v>
      </c>
      <c r="J63" s="79">
        <f>('Financial Model'!I296+'Financial Model'!I297+'Financial Model'!I301)/'Financial Model'!I310</f>
        <v>1.7875325845589418</v>
      </c>
      <c r="K63" s="79">
        <f>('Financial Model'!J296+'Financial Model'!J297+'Financial Model'!J301)/'Financial Model'!J310</f>
        <v>1.8723266022827041</v>
      </c>
      <c r="L63" s="79">
        <f>('Financial Model'!K296+'Financial Model'!K297+'Financial Model'!K301)/'Financial Model'!K310</f>
        <v>1.3646404088351018</v>
      </c>
      <c r="M63" s="79">
        <f>('Financial Model'!L296+'Financial Model'!L297+'Financial Model'!L301)/'Financial Model'!L310</f>
        <v>1.0821163694486413</v>
      </c>
      <c r="N63" s="79">
        <f>('Financial Model'!M296+'Financial Model'!M297+'Financial Model'!M301)/'Financial Model'!M310</f>
        <v>0.88940166794640052</v>
      </c>
      <c r="O63" s="79">
        <f>('Financial Model'!N296+'Financial Model'!N297+'Financial Model'!N301)/'Financial Model'!N310</f>
        <v>0.7515298481417515</v>
      </c>
      <c r="P63" s="79">
        <f>('Financial Model'!O296+'Financial Model'!O297+'Financial Model'!O301)/'Financial Model'!O310</f>
        <v>0.64817696859791007</v>
      </c>
    </row>
    <row r="65" spans="2:19" x14ac:dyDescent="0.3">
      <c r="B65" s="278" t="s">
        <v>343</v>
      </c>
      <c r="C65" s="74"/>
      <c r="D65" s="74"/>
      <c r="E65" s="74"/>
      <c r="F65" s="74"/>
      <c r="G65" s="74"/>
      <c r="H65" s="74"/>
      <c r="I65" s="74"/>
      <c r="J65" s="74"/>
      <c r="K65" s="74"/>
      <c r="L65" s="74"/>
      <c r="M65" s="74"/>
      <c r="N65" s="74"/>
      <c r="O65" s="74"/>
      <c r="P65" s="74"/>
      <c r="Q65" s="74"/>
      <c r="R65" s="74"/>
      <c r="S65" s="74"/>
    </row>
    <row r="67" spans="2:19" x14ac:dyDescent="0.3">
      <c r="B67" s="80" t="s">
        <v>335</v>
      </c>
      <c r="C67" s="68"/>
      <c r="D67" s="69">
        <f ca="1">DCF!E57</f>
        <v>2121755.7582949186</v>
      </c>
      <c r="F67" s="80" t="s">
        <v>287</v>
      </c>
      <c r="G67" s="68"/>
      <c r="H67" s="68"/>
      <c r="I67" s="81">
        <f>WACC!C10</f>
        <v>0.02</v>
      </c>
    </row>
    <row r="68" spans="2:19" x14ac:dyDescent="0.3">
      <c r="B68" s="82" t="s">
        <v>339</v>
      </c>
      <c r="D68" s="83">
        <f ca="1">DCF!E63</f>
        <v>2080297.7582949186</v>
      </c>
      <c r="F68" s="82" t="s">
        <v>3</v>
      </c>
      <c r="I68" s="84">
        <f>WACC!N18</f>
        <v>7.611839417214393E-2</v>
      </c>
    </row>
    <row r="69" spans="2:19" x14ac:dyDescent="0.3">
      <c r="B69" s="85" t="s">
        <v>344</v>
      </c>
      <c r="C69" s="57"/>
      <c r="D69" s="86">
        <f ca="1">DCF!J63</f>
        <v>137.6313435855057</v>
      </c>
      <c r="F69" s="82" t="s">
        <v>336</v>
      </c>
      <c r="I69" s="83">
        <f>DCF!N58</f>
        <v>41458</v>
      </c>
    </row>
    <row r="70" spans="2:19" x14ac:dyDescent="0.3">
      <c r="F70" s="82" t="s">
        <v>341</v>
      </c>
      <c r="I70" s="83">
        <f>WACC!D15</f>
        <v>15115</v>
      </c>
    </row>
    <row r="71" spans="2:19" x14ac:dyDescent="0.3">
      <c r="F71" s="85" t="s">
        <v>345</v>
      </c>
      <c r="G71" s="57"/>
      <c r="H71" s="57"/>
      <c r="I71" s="86">
        <f>WACC!D14</f>
        <v>198.15</v>
      </c>
    </row>
    <row r="74" spans="2:19" x14ac:dyDescent="0.3">
      <c r="D74" s="33" t="s">
        <v>335</v>
      </c>
      <c r="E74" s="34"/>
      <c r="F74" s="34"/>
      <c r="G74" s="34"/>
      <c r="H74" s="34"/>
      <c r="L74" s="33" t="s">
        <v>344</v>
      </c>
      <c r="M74" s="34"/>
      <c r="N74" s="34"/>
      <c r="O74" s="34"/>
      <c r="P74" s="34"/>
    </row>
    <row r="76" spans="2:19" x14ac:dyDescent="0.3">
      <c r="D76" s="35" t="s">
        <v>324</v>
      </c>
      <c r="E76" s="35"/>
      <c r="F76" s="35"/>
      <c r="G76" s="35"/>
      <c r="H76" s="35"/>
      <c r="L76" s="35" t="s">
        <v>324</v>
      </c>
      <c r="M76" s="35"/>
      <c r="N76" s="35"/>
      <c r="O76" s="35"/>
      <c r="P76" s="35"/>
    </row>
    <row r="77" spans="2:19" x14ac:dyDescent="0.3">
      <c r="B77" s="35"/>
      <c r="C77" s="87">
        <f ca="1">DCF!E61</f>
        <v>2121755.7582949186</v>
      </c>
      <c r="D77" s="88">
        <f>E77-0.5%</f>
        <v>9.9999999999999985E-3</v>
      </c>
      <c r="E77" s="88">
        <f>F77-0.5%</f>
        <v>1.4999999999999999E-2</v>
      </c>
      <c r="F77" s="88">
        <f>WACC!C10</f>
        <v>0.02</v>
      </c>
      <c r="G77" s="88">
        <f>F77+0.5%</f>
        <v>2.5000000000000001E-2</v>
      </c>
      <c r="H77" s="88">
        <f>G77+0.5%</f>
        <v>3.0000000000000002E-2</v>
      </c>
      <c r="J77" s="35"/>
      <c r="L77" s="88">
        <f>M77-0.5%</f>
        <v>9.9999999999999985E-3</v>
      </c>
      <c r="M77" s="88">
        <f>N77-0.5%</f>
        <v>1.4999999999999999E-2</v>
      </c>
      <c r="N77" s="88">
        <f>WACC!C10</f>
        <v>0.02</v>
      </c>
      <c r="O77" s="88">
        <f>N77+0.5%</f>
        <v>2.5000000000000001E-2</v>
      </c>
      <c r="P77" s="88">
        <f>O77+0.5%</f>
        <v>3.0000000000000002E-2</v>
      </c>
    </row>
    <row r="78" spans="2:19" x14ac:dyDescent="0.3">
      <c r="B78" s="35"/>
      <c r="C78" s="88">
        <f>C79-1%</f>
        <v>5.6118394172143933E-2</v>
      </c>
      <c r="D78" s="89">
        <f t="dataTable" ref="D78:H82" dt2D="1" dtr="1" r1="I67" r2="I68" ca="1"/>
        <v>2682478.8611721499</v>
      </c>
      <c r="E78" s="90">
        <v>2959953.0771966716</v>
      </c>
      <c r="F78" s="90">
        <v>3314250.8127558809</v>
      </c>
      <c r="G78" s="90">
        <v>3782403.3100997973</v>
      </c>
      <c r="H78" s="91">
        <v>4429798.257901567</v>
      </c>
      <c r="J78" s="35"/>
      <c r="K78" s="88">
        <f>K79-1%</f>
        <v>5.6118394172143933E-2</v>
      </c>
      <c r="L78" s="92">
        <f t="shared" ref="L78:P82" si="21">D89/$I$70</f>
        <v>174.72847245598081</v>
      </c>
      <c r="M78" s="93">
        <f t="shared" si="21"/>
        <v>193.08601238482777</v>
      </c>
      <c r="N78" s="93">
        <f t="shared" si="21"/>
        <v>216.52615367223822</v>
      </c>
      <c r="O78" s="93">
        <f t="shared" si="21"/>
        <v>247.49886272575569</v>
      </c>
      <c r="P78" s="94">
        <f t="shared" si="21"/>
        <v>290.33015268948509</v>
      </c>
    </row>
    <row r="79" spans="2:19" x14ac:dyDescent="0.3">
      <c r="C79" s="88">
        <f>C80-1%</f>
        <v>6.6118394172143935E-2</v>
      </c>
      <c r="D79" s="95">
        <v>2197045.6183037204</v>
      </c>
      <c r="E79" s="96">
        <v>2373677.0484609422</v>
      </c>
      <c r="F79" s="96">
        <v>2588608.0407186826</v>
      </c>
      <c r="G79" s="96">
        <v>2855810.2844649712</v>
      </c>
      <c r="H79" s="97">
        <v>3196992.0751625379</v>
      </c>
      <c r="K79" s="88">
        <f>K80-1%</f>
        <v>6.6118394172143935E-2</v>
      </c>
      <c r="L79" s="98">
        <f t="shared" si="21"/>
        <v>142.61247888215152</v>
      </c>
      <c r="M79" s="99">
        <f t="shared" si="21"/>
        <v>154.29831614032037</v>
      </c>
      <c r="N79" s="99">
        <f t="shared" si="21"/>
        <v>168.51803114248645</v>
      </c>
      <c r="O79" s="99">
        <f t="shared" si="21"/>
        <v>186.19598309394451</v>
      </c>
      <c r="P79" s="100">
        <f t="shared" si="21"/>
        <v>208.76838075835514</v>
      </c>
    </row>
    <row r="80" spans="2:19" x14ac:dyDescent="0.3">
      <c r="B80" s="36" t="s">
        <v>3</v>
      </c>
      <c r="C80" s="88">
        <f>WACC!N18</f>
        <v>7.611839417214393E-2</v>
      </c>
      <c r="D80" s="95">
        <v>1858654.2704337933</v>
      </c>
      <c r="E80" s="96">
        <v>1979443.054261147</v>
      </c>
      <c r="F80" s="101">
        <v>2121755.7582949186</v>
      </c>
      <c r="G80" s="96">
        <v>2291908.285221898</v>
      </c>
      <c r="H80" s="97">
        <v>2498955.5327872117</v>
      </c>
      <c r="J80" s="36" t="s">
        <v>3</v>
      </c>
      <c r="K80" s="88">
        <f>WACC!N18</f>
        <v>7.611839417214393E-2</v>
      </c>
      <c r="L80" s="98">
        <f t="shared" si="21"/>
        <v>120.22469536445871</v>
      </c>
      <c r="M80" s="99">
        <f t="shared" si="21"/>
        <v>128.21601417539841</v>
      </c>
      <c r="N80" s="102">
        <f t="shared" si="21"/>
        <v>137.6313435855057</v>
      </c>
      <c r="O80" s="99">
        <f t="shared" si="21"/>
        <v>148.88854020654304</v>
      </c>
      <c r="P80" s="100">
        <f t="shared" si="21"/>
        <v>162.58667104116518</v>
      </c>
    </row>
    <row r="81" spans="2:19" x14ac:dyDescent="0.3">
      <c r="B81" s="35"/>
      <c r="C81" s="88">
        <f>C80+1%</f>
        <v>8.6118394172143925E-2</v>
      </c>
      <c r="D81" s="95">
        <v>1609344.1358785804</v>
      </c>
      <c r="E81" s="96">
        <v>1696234.1403864629</v>
      </c>
      <c r="F81" s="96">
        <v>1796265.723058156</v>
      </c>
      <c r="G81" s="96">
        <v>1912664.1596085592</v>
      </c>
      <c r="H81" s="97">
        <v>2049804.179781856</v>
      </c>
      <c r="J81" s="35"/>
      <c r="K81" s="88">
        <f>K80+1%</f>
        <v>8.6118394172143925E-2</v>
      </c>
      <c r="L81" s="98">
        <f t="shared" si="21"/>
        <v>103.7304754137334</v>
      </c>
      <c r="M81" s="99">
        <f t="shared" si="21"/>
        <v>109.47906982378187</v>
      </c>
      <c r="N81" s="99">
        <f t="shared" si="21"/>
        <v>116.09710374185617</v>
      </c>
      <c r="O81" s="99">
        <f t="shared" si="21"/>
        <v>123.7979596168415</v>
      </c>
      <c r="P81" s="100">
        <f t="shared" si="21"/>
        <v>132.87106713740363</v>
      </c>
    </row>
    <row r="82" spans="2:19" x14ac:dyDescent="0.3">
      <c r="B82" s="35"/>
      <c r="C82" s="88">
        <f>C81+1%</f>
        <v>9.611839417214392E-2</v>
      </c>
      <c r="D82" s="103">
        <v>1418076.3355492563</v>
      </c>
      <c r="E82" s="104">
        <v>1482983.7065282499</v>
      </c>
      <c r="F82" s="104">
        <v>1556418.2372936422</v>
      </c>
      <c r="G82" s="104">
        <v>1640178.4414126314</v>
      </c>
      <c r="H82" s="105">
        <v>1736606.8606580975</v>
      </c>
      <c r="J82" s="35"/>
      <c r="K82" s="88">
        <f>K81+1%</f>
        <v>9.611839417214392E-2</v>
      </c>
      <c r="L82" s="106">
        <f t="shared" si="21"/>
        <v>91.076304038984873</v>
      </c>
      <c r="M82" s="107">
        <f t="shared" si="21"/>
        <v>95.370539631376104</v>
      </c>
      <c r="N82" s="107">
        <f t="shared" si="21"/>
        <v>100.2289273763574</v>
      </c>
      <c r="O82" s="107">
        <f t="shared" si="21"/>
        <v>105.77045593202986</v>
      </c>
      <c r="P82" s="108">
        <f t="shared" si="21"/>
        <v>112.15010656024462</v>
      </c>
    </row>
    <row r="85" spans="2:19" x14ac:dyDescent="0.3">
      <c r="D85" s="33" t="s">
        <v>339</v>
      </c>
      <c r="E85" s="34"/>
      <c r="F85" s="34"/>
      <c r="G85" s="34"/>
      <c r="H85" s="34"/>
      <c r="L85" s="33" t="s">
        <v>346</v>
      </c>
      <c r="M85" s="34"/>
      <c r="N85" s="34"/>
      <c r="O85" s="34"/>
      <c r="P85" s="34"/>
    </row>
    <row r="87" spans="2:19" x14ac:dyDescent="0.3">
      <c r="D87" s="35" t="s">
        <v>324</v>
      </c>
      <c r="E87" s="35"/>
      <c r="F87" s="35"/>
      <c r="G87" s="35"/>
      <c r="H87" s="35"/>
      <c r="L87" s="35" t="s">
        <v>324</v>
      </c>
      <c r="M87" s="35"/>
      <c r="N87" s="35"/>
      <c r="O87" s="35"/>
      <c r="P87" s="35"/>
    </row>
    <row r="88" spans="2:19" x14ac:dyDescent="0.3">
      <c r="B88" s="35"/>
      <c r="D88" s="88">
        <f>E88-0.5%</f>
        <v>9.9999999999999985E-3</v>
      </c>
      <c r="E88" s="88">
        <f>F88-0.5%</f>
        <v>1.4999999999999999E-2</v>
      </c>
      <c r="F88" s="88">
        <f>WACC!C10</f>
        <v>0.02</v>
      </c>
      <c r="G88" s="88">
        <f>F88+0.5%</f>
        <v>2.5000000000000001E-2</v>
      </c>
      <c r="H88" s="88">
        <f>G88+0.5%</f>
        <v>3.0000000000000002E-2</v>
      </c>
      <c r="J88" s="35"/>
      <c r="L88" s="88">
        <f>M88-0.5%</f>
        <v>9.9999999999999985E-3</v>
      </c>
      <c r="M88" s="88">
        <f>N88-0.5%</f>
        <v>1.4999999999999999E-2</v>
      </c>
      <c r="N88" s="88">
        <f>WACC!C10</f>
        <v>0.02</v>
      </c>
      <c r="O88" s="88">
        <f>N88+0.5%</f>
        <v>2.5000000000000001E-2</v>
      </c>
      <c r="P88" s="88">
        <f>O88+0.5%</f>
        <v>3.0000000000000002E-2</v>
      </c>
    </row>
    <row r="89" spans="2:19" x14ac:dyDescent="0.3">
      <c r="B89" s="35"/>
      <c r="C89" s="88">
        <f>C90-1%</f>
        <v>5.6118394172143933E-2</v>
      </c>
      <c r="D89" s="89">
        <f t="shared" ref="D89:H93" si="22">D78-$I$69</f>
        <v>2641020.8611721499</v>
      </c>
      <c r="E89" s="90">
        <f t="shared" si="22"/>
        <v>2918495.0771966716</v>
      </c>
      <c r="F89" s="90">
        <f t="shared" si="22"/>
        <v>3272792.8127558809</v>
      </c>
      <c r="G89" s="90">
        <f t="shared" si="22"/>
        <v>3740945.3100997973</v>
      </c>
      <c r="H89" s="91">
        <f t="shared" si="22"/>
        <v>4388340.257901567</v>
      </c>
      <c r="J89" s="35"/>
      <c r="K89" s="88">
        <f>K90-1%</f>
        <v>5.6118394172143933E-2</v>
      </c>
      <c r="L89" s="109">
        <f t="shared" ref="L89:P93" si="23">L78/$I$71-1</f>
        <v>-0.11820099694180775</v>
      </c>
      <c r="M89" s="110">
        <f t="shared" si="23"/>
        <v>-2.5556334166905059E-2</v>
      </c>
      <c r="N89" s="110">
        <f t="shared" si="23"/>
        <v>9.2738600415030126E-2</v>
      </c>
      <c r="O89" s="110">
        <f t="shared" si="23"/>
        <v>0.24904800770000346</v>
      </c>
      <c r="P89" s="111">
        <f t="shared" si="23"/>
        <v>0.46520389951796659</v>
      </c>
    </row>
    <row r="90" spans="2:19" x14ac:dyDescent="0.3">
      <c r="C90" s="88">
        <f>C91-1%</f>
        <v>6.6118394172143935E-2</v>
      </c>
      <c r="D90" s="95">
        <f t="shared" si="22"/>
        <v>2155587.6183037204</v>
      </c>
      <c r="E90" s="96">
        <f t="shared" si="22"/>
        <v>2332219.0484609422</v>
      </c>
      <c r="F90" s="96">
        <f t="shared" si="22"/>
        <v>2547150.0407186826</v>
      </c>
      <c r="G90" s="96">
        <f t="shared" si="22"/>
        <v>2814352.2844649712</v>
      </c>
      <c r="H90" s="97">
        <f t="shared" si="22"/>
        <v>3155534.0751625379</v>
      </c>
      <c r="K90" s="88">
        <f>K91-1%</f>
        <v>6.6118394172143935E-2</v>
      </c>
      <c r="L90" s="112">
        <f t="shared" si="23"/>
        <v>-0.28028019741533428</v>
      </c>
      <c r="M90" s="113">
        <f t="shared" si="23"/>
        <v>-0.22130549512833531</v>
      </c>
      <c r="N90" s="113">
        <f t="shared" si="23"/>
        <v>-0.14954311813027277</v>
      </c>
      <c r="O90" s="113">
        <f t="shared" si="23"/>
        <v>-6.0328119636918975E-2</v>
      </c>
      <c r="P90" s="114">
        <f t="shared" si="23"/>
        <v>5.3587588989932433E-2</v>
      </c>
    </row>
    <row r="91" spans="2:19" x14ac:dyDescent="0.3">
      <c r="B91" s="36" t="s">
        <v>3</v>
      </c>
      <c r="C91" s="88">
        <f>WACC!N18</f>
        <v>7.611839417214393E-2</v>
      </c>
      <c r="D91" s="95">
        <f t="shared" si="22"/>
        <v>1817196.2704337933</v>
      </c>
      <c r="E91" s="96">
        <f t="shared" si="22"/>
        <v>1937985.054261147</v>
      </c>
      <c r="F91" s="101">
        <f t="shared" si="22"/>
        <v>2080297.7582949186</v>
      </c>
      <c r="G91" s="96">
        <f t="shared" si="22"/>
        <v>2250450.285221898</v>
      </c>
      <c r="H91" s="97">
        <f t="shared" si="22"/>
        <v>2457497.5327872117</v>
      </c>
      <c r="J91" s="36" t="s">
        <v>3</v>
      </c>
      <c r="K91" s="88">
        <f>WACC!N18</f>
        <v>7.611839417214393E-2</v>
      </c>
      <c r="L91" s="112">
        <f t="shared" si="23"/>
        <v>-0.39326421718668325</v>
      </c>
      <c r="M91" s="113">
        <f t="shared" si="23"/>
        <v>-0.35293457393187777</v>
      </c>
      <c r="N91" s="115">
        <f t="shared" si="23"/>
        <v>-0.30541840229368811</v>
      </c>
      <c r="O91" s="113">
        <f t="shared" si="23"/>
        <v>-0.24860691291171821</v>
      </c>
      <c r="P91" s="114">
        <f t="shared" si="23"/>
        <v>-0.17947680524266885</v>
      </c>
    </row>
    <row r="92" spans="2:19" x14ac:dyDescent="0.3">
      <c r="B92" s="35"/>
      <c r="C92" s="88">
        <f>C91+1%</f>
        <v>8.6118394172143925E-2</v>
      </c>
      <c r="D92" s="95">
        <f t="shared" si="22"/>
        <v>1567886.1358785804</v>
      </c>
      <c r="E92" s="96">
        <f t="shared" si="22"/>
        <v>1654776.1403864629</v>
      </c>
      <c r="F92" s="96">
        <f t="shared" si="22"/>
        <v>1754807.723058156</v>
      </c>
      <c r="G92" s="96">
        <f t="shared" si="22"/>
        <v>1871206.1596085592</v>
      </c>
      <c r="H92" s="97">
        <f t="shared" si="22"/>
        <v>2008346.179781856</v>
      </c>
      <c r="J92" s="35"/>
      <c r="K92" s="88">
        <f>K91+1%</f>
        <v>8.6118394172143925E-2</v>
      </c>
      <c r="L92" s="112">
        <f t="shared" si="23"/>
        <v>-0.47650529692791621</v>
      </c>
      <c r="M92" s="113">
        <f t="shared" si="23"/>
        <v>-0.44749397010455783</v>
      </c>
      <c r="N92" s="113">
        <f t="shared" si="23"/>
        <v>-0.41409485873400875</v>
      </c>
      <c r="O92" s="113">
        <f t="shared" si="23"/>
        <v>-0.37523108949360839</v>
      </c>
      <c r="P92" s="114">
        <f t="shared" si="23"/>
        <v>-0.32944200283924485</v>
      </c>
    </row>
    <row r="93" spans="2:19" x14ac:dyDescent="0.3">
      <c r="B93" s="35"/>
      <c r="C93" s="88">
        <f>C92+1%</f>
        <v>9.611839417214392E-2</v>
      </c>
      <c r="D93" s="103">
        <f t="shared" si="22"/>
        <v>1376618.3355492563</v>
      </c>
      <c r="E93" s="104">
        <f t="shared" si="22"/>
        <v>1441525.7065282499</v>
      </c>
      <c r="F93" s="104">
        <f t="shared" si="22"/>
        <v>1514960.2372936422</v>
      </c>
      <c r="G93" s="104">
        <f t="shared" si="22"/>
        <v>1598720.4414126314</v>
      </c>
      <c r="H93" s="105">
        <f t="shared" si="22"/>
        <v>1695148.8606580975</v>
      </c>
      <c r="J93" s="35"/>
      <c r="K93" s="88">
        <f>K92+1%</f>
        <v>9.611839417214392E-2</v>
      </c>
      <c r="L93" s="116">
        <f t="shared" si="23"/>
        <v>-0.54036687338387646</v>
      </c>
      <c r="M93" s="117">
        <f t="shared" si="23"/>
        <v>-0.51869523274602014</v>
      </c>
      <c r="N93" s="117">
        <f t="shared" si="23"/>
        <v>-0.49417649570347011</v>
      </c>
      <c r="O93" s="117">
        <f t="shared" si="23"/>
        <v>-0.46621016436018237</v>
      </c>
      <c r="P93" s="118">
        <f t="shared" si="23"/>
        <v>-0.4340140976015916</v>
      </c>
    </row>
    <row r="96" spans="2:19" x14ac:dyDescent="0.3">
      <c r="B96" s="74" t="s">
        <v>389</v>
      </c>
      <c r="C96" s="74"/>
      <c r="D96" s="74"/>
      <c r="E96" s="74"/>
      <c r="F96" s="74"/>
      <c r="G96" s="74"/>
      <c r="H96" s="74"/>
      <c r="I96" s="74"/>
      <c r="J96" s="74"/>
      <c r="K96" s="74"/>
      <c r="L96" s="74"/>
      <c r="M96" s="74"/>
      <c r="N96" s="74"/>
      <c r="O96" s="74"/>
      <c r="P96" s="74"/>
      <c r="Q96" s="74"/>
      <c r="R96" s="74"/>
      <c r="S96" s="74"/>
    </row>
    <row r="99" spans="2:14" ht="15" thickBot="1" x14ac:dyDescent="0.35">
      <c r="D99" s="78">
        <v>2019</v>
      </c>
      <c r="E99" s="78">
        <f>D99+1</f>
        <v>2020</v>
      </c>
      <c r="F99" s="78">
        <f t="shared" ref="F99" si="24">E99+1</f>
        <v>2021</v>
      </c>
      <c r="G99" s="78">
        <f t="shared" ref="G99" si="25">F99+1</f>
        <v>2022</v>
      </c>
      <c r="H99" s="78">
        <f t="shared" ref="H99" si="26">G99+1</f>
        <v>2023</v>
      </c>
      <c r="I99" s="78">
        <f t="shared" ref="I99" si="27">H99+1</f>
        <v>2024</v>
      </c>
      <c r="J99" s="131">
        <f t="shared" ref="J99" si="28">I99+1</f>
        <v>2025</v>
      </c>
      <c r="K99" s="131">
        <f t="shared" ref="K99" si="29">J99+1</f>
        <v>2026</v>
      </c>
      <c r="L99" s="131">
        <f t="shared" ref="L99" si="30">K99+1</f>
        <v>2027</v>
      </c>
      <c r="M99" s="131">
        <f t="shared" ref="M99" si="31">L99+1</f>
        <v>2028</v>
      </c>
      <c r="N99" s="131">
        <f t="shared" ref="N99" si="32">M99+1</f>
        <v>2029</v>
      </c>
    </row>
    <row r="101" spans="2:14" x14ac:dyDescent="0.3">
      <c r="B101" s="11" t="s">
        <v>390</v>
      </c>
    </row>
    <row r="102" spans="2:14" x14ac:dyDescent="0.3">
      <c r="B102" s="3" t="s">
        <v>391</v>
      </c>
      <c r="D102" s="10">
        <f>'Financial Model'!E334</f>
        <v>69391</v>
      </c>
      <c r="E102" s="10">
        <f>'Financial Model'!F334</f>
        <v>80674</v>
      </c>
      <c r="F102" s="10">
        <f>'Financial Model'!G334</f>
        <v>104038</v>
      </c>
      <c r="G102" s="10">
        <f>'Financial Model'!H334</f>
        <v>122151</v>
      </c>
      <c r="H102" s="10">
        <f>'Financial Model'!I334</f>
        <v>110543</v>
      </c>
      <c r="I102" s="10">
        <f>'Financial Model'!J334</f>
        <v>118254</v>
      </c>
      <c r="J102" s="10">
        <f ca="1">'Financial Model'!K334</f>
        <v>130049.22048413889</v>
      </c>
      <c r="K102" s="10">
        <f ca="1">'Financial Model'!L334</f>
        <v>136187.8899984757</v>
      </c>
      <c r="L102" s="10">
        <f ca="1">'Financial Model'!M334</f>
        <v>140574.91365231745</v>
      </c>
      <c r="M102" s="10">
        <f ca="1">'Financial Model'!N334</f>
        <v>145916.43363402339</v>
      </c>
      <c r="N102" s="10">
        <f ca="1">'Financial Model'!O334</f>
        <v>151084.35089510327</v>
      </c>
    </row>
    <row r="103" spans="2:14" x14ac:dyDescent="0.3">
      <c r="B103" s="3" t="s">
        <v>392</v>
      </c>
      <c r="D103" s="10">
        <f>'Financial Model'!E345</f>
        <v>45896</v>
      </c>
      <c r="E103" s="10">
        <f>'Financial Model'!F345</f>
        <v>-4289</v>
      </c>
      <c r="F103" s="10">
        <f>'Financial Model'!G345</f>
        <v>-14545</v>
      </c>
      <c r="G103" s="10">
        <f>'Financial Model'!H345</f>
        <v>-22354</v>
      </c>
      <c r="H103" s="10">
        <f>'Financial Model'!I345</f>
        <v>3705</v>
      </c>
      <c r="I103" s="10">
        <f>'Financial Model'!J345</f>
        <v>2935</v>
      </c>
      <c r="J103" s="10">
        <f ca="1">'Financial Model'!K345</f>
        <v>-5238.0000000000018</v>
      </c>
      <c r="K103" s="10">
        <f ca="1">'Financial Model'!L345</f>
        <v>467.33333333332166</v>
      </c>
      <c r="L103" s="10">
        <f ca="1">'Financial Model'!M345</f>
        <v>-611.8888888889021</v>
      </c>
      <c r="M103" s="10">
        <f ca="1">'Financial Model'!N345</f>
        <v>-1794.1851851852039</v>
      </c>
      <c r="N103" s="10">
        <f ca="1">'Financial Model'!O345</f>
        <v>-646.24691358026462</v>
      </c>
    </row>
    <row r="104" spans="2:14" x14ac:dyDescent="0.3">
      <c r="B104" s="3" t="s">
        <v>393</v>
      </c>
      <c r="D104" s="10">
        <f>'Financial Model'!E356</f>
        <v>-90976</v>
      </c>
      <c r="E104" s="10">
        <f>'Financial Model'!F356</f>
        <v>-86820</v>
      </c>
      <c r="F104" s="10">
        <f>'Financial Model'!G356</f>
        <v>-93353</v>
      </c>
      <c r="G104" s="10">
        <f>'Financial Model'!H356</f>
        <v>-110749</v>
      </c>
      <c r="H104" s="10">
        <f>'Financial Model'!I356</f>
        <v>-108488</v>
      </c>
      <c r="I104" s="10">
        <f>'Financial Model'!J356</f>
        <v>-121983</v>
      </c>
      <c r="J104" s="10">
        <f>'Financial Model'!K356</f>
        <v>-115357.72430375898</v>
      </c>
      <c r="K104" s="10">
        <f>'Financial Model'!L356</f>
        <v>-118059.49879156979</v>
      </c>
      <c r="L104" s="10">
        <f>'Financial Model'!M356</f>
        <v>-120658.00969211092</v>
      </c>
      <c r="M104" s="10">
        <f>'Financial Model'!N356</f>
        <v>-123339.55565315456</v>
      </c>
      <c r="N104" s="10">
        <f>'Financial Model'!O356</f>
        <v>-126162.41382591888</v>
      </c>
    </row>
    <row r="105" spans="2:14" x14ac:dyDescent="0.3">
      <c r="B105" s="9" t="s">
        <v>394</v>
      </c>
      <c r="D105" s="10">
        <f>'Financial Model'!E359</f>
        <v>24311</v>
      </c>
      <c r="E105" s="10">
        <f>'Financial Model'!F359</f>
        <v>-10435</v>
      </c>
      <c r="F105" s="10">
        <f>'Financial Model'!G359</f>
        <v>-3860</v>
      </c>
      <c r="G105" s="10">
        <f>'Financial Model'!H359</f>
        <v>-10952</v>
      </c>
      <c r="H105" s="10">
        <f>'Financial Model'!I359</f>
        <v>5760</v>
      </c>
      <c r="I105" s="10">
        <f>'Financial Model'!J359</f>
        <v>-794</v>
      </c>
      <c r="J105" s="10">
        <f ca="1">'Financial Model'!K359</f>
        <v>9453.4961803799088</v>
      </c>
      <c r="K105" s="10">
        <f ca="1">'Financial Model'!L359</f>
        <v>18595.724540239229</v>
      </c>
      <c r="L105" s="10">
        <f ca="1">'Financial Model'!M359</f>
        <v>19305.015071317626</v>
      </c>
      <c r="M105" s="10">
        <f ca="1">'Financial Model'!N359</f>
        <v>20782.69279568363</v>
      </c>
      <c r="N105" s="10">
        <f ca="1">'Financial Model'!O359</f>
        <v>24275.690155604141</v>
      </c>
    </row>
  </sheetData>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8193" r:id="rId4" name="Drop Down 1">
              <controlPr defaultSize="0" autoLine="0" autoPict="0">
                <anchor moveWithCells="1">
                  <from>
                    <xdr:col>2</xdr:col>
                    <xdr:colOff>152400</xdr:colOff>
                    <xdr:row>2</xdr:row>
                    <xdr:rowOff>0</xdr:rowOff>
                  </from>
                  <to>
                    <xdr:col>3</xdr:col>
                    <xdr:colOff>502920</xdr:colOff>
                    <xdr:row>3</xdr:row>
                    <xdr:rowOff>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2B3D8C-F7FD-4A70-BB1D-BB5CF722EE82}">
  <dimension ref="B1:N22"/>
  <sheetViews>
    <sheetView showGridLines="0" zoomScale="85" zoomScaleNormal="85" workbookViewId="0">
      <selection activeCell="B7" sqref="B7:E7"/>
    </sheetView>
  </sheetViews>
  <sheetFormatPr defaultRowHeight="14.4" x14ac:dyDescent="0.3"/>
  <cols>
    <col min="1" max="1" width="8.88671875" style="9"/>
    <col min="2" max="2" width="26.88671875" style="9" customWidth="1"/>
    <col min="3" max="4" width="9.44140625" style="9" bestFit="1" customWidth="1"/>
    <col min="5" max="8" width="8.88671875" style="9"/>
    <col min="9" max="9" width="11" style="9" customWidth="1"/>
    <col min="10" max="10" width="8.6640625" style="9" customWidth="1"/>
    <col min="11" max="16384" width="8.88671875" style="9"/>
  </cols>
  <sheetData>
    <row r="1" spans="2:14" ht="79.2" customHeight="1" x14ac:dyDescent="0.3">
      <c r="B1" s="280"/>
      <c r="C1" s="280"/>
      <c r="D1" s="280"/>
      <c r="E1" s="280"/>
      <c r="F1" s="280"/>
      <c r="G1" s="280"/>
      <c r="H1" s="280"/>
      <c r="I1" s="280"/>
      <c r="J1" s="280"/>
      <c r="K1" s="280"/>
      <c r="L1" s="280"/>
      <c r="M1" s="280"/>
      <c r="N1" s="280"/>
    </row>
    <row r="3" spans="2:14" x14ac:dyDescent="0.3">
      <c r="B3" s="279" t="s">
        <v>121</v>
      </c>
      <c r="C3" s="73">
        <f>Dashboard!C3</f>
        <v>1</v>
      </c>
    </row>
    <row r="5" spans="2:14" x14ac:dyDescent="0.3">
      <c r="B5" s="278" t="s">
        <v>285</v>
      </c>
      <c r="C5" s="74"/>
      <c r="D5" s="74"/>
      <c r="E5" s="74"/>
      <c r="F5" s="74"/>
      <c r="G5" s="74"/>
      <c r="H5" s="74"/>
      <c r="I5" s="74"/>
      <c r="J5" s="74"/>
      <c r="K5" s="74"/>
      <c r="L5" s="74"/>
      <c r="M5" s="74"/>
      <c r="N5" s="74"/>
    </row>
    <row r="7" spans="2:14" x14ac:dyDescent="0.3">
      <c r="B7" s="279" t="s">
        <v>304</v>
      </c>
      <c r="C7" s="279"/>
      <c r="D7" s="279"/>
      <c r="E7" s="279"/>
    </row>
    <row r="9" spans="2:14" x14ac:dyDescent="0.3">
      <c r="B9" s="67" t="s">
        <v>286</v>
      </c>
      <c r="C9" s="69">
        <f>D16+J17</f>
        <v>3101666.25</v>
      </c>
    </row>
    <row r="10" spans="2:14" x14ac:dyDescent="0.3">
      <c r="B10" s="70" t="s">
        <v>287</v>
      </c>
      <c r="C10" s="119">
        <v>0.02</v>
      </c>
    </row>
    <row r="12" spans="2:14" ht="16.5" customHeight="1" x14ac:dyDescent="0.3">
      <c r="B12" s="16" t="s">
        <v>288</v>
      </c>
      <c r="C12" s="17"/>
      <c r="D12" s="17"/>
      <c r="F12" s="16" t="s">
        <v>289</v>
      </c>
      <c r="G12" s="17"/>
      <c r="H12" s="17"/>
      <c r="I12" s="18" t="s">
        <v>347</v>
      </c>
      <c r="J12" s="18"/>
      <c r="L12" s="16" t="s">
        <v>3</v>
      </c>
      <c r="M12" s="17"/>
      <c r="N12" s="17"/>
    </row>
    <row r="13" spans="2:14" x14ac:dyDescent="0.3">
      <c r="B13" s="32"/>
      <c r="F13" s="46"/>
    </row>
    <row r="14" spans="2:14" x14ac:dyDescent="0.3">
      <c r="B14" s="3" t="s">
        <v>406</v>
      </c>
      <c r="C14" s="120" t="s">
        <v>290</v>
      </c>
      <c r="D14" s="76">
        <v>198.15</v>
      </c>
      <c r="F14" s="3" t="s">
        <v>305</v>
      </c>
      <c r="J14" s="10">
        <f>'Financial Model'!J296</f>
        <v>9967</v>
      </c>
      <c r="L14" s="67" t="s">
        <v>291</v>
      </c>
      <c r="M14" s="68"/>
      <c r="N14" s="121">
        <f>D16/C9</f>
        <v>0.96562202654782736</v>
      </c>
    </row>
    <row r="15" spans="2:14" x14ac:dyDescent="0.3">
      <c r="B15" s="3" t="s">
        <v>292</v>
      </c>
      <c r="D15" s="10">
        <v>15115</v>
      </c>
      <c r="F15" s="3" t="s">
        <v>239</v>
      </c>
      <c r="J15" s="10">
        <f>'Financial Model'!J297</f>
        <v>10912</v>
      </c>
      <c r="L15" s="122" t="s">
        <v>294</v>
      </c>
      <c r="M15" s="123"/>
      <c r="N15" s="124">
        <f>D21</f>
        <v>7.8787999999999997E-2</v>
      </c>
    </row>
    <row r="16" spans="2:14" x14ac:dyDescent="0.3">
      <c r="B16" s="11" t="s">
        <v>295</v>
      </c>
      <c r="D16" s="12">
        <f>D14*D15</f>
        <v>2995037.25</v>
      </c>
      <c r="F16" s="3" t="s">
        <v>240</v>
      </c>
      <c r="J16" s="10">
        <f>'Financial Model'!J301</f>
        <v>85750</v>
      </c>
      <c r="L16" s="122" t="s">
        <v>296</v>
      </c>
      <c r="N16" s="124">
        <f>J17/C9</f>
        <v>3.437797345217268E-2</v>
      </c>
    </row>
    <row r="17" spans="2:14" x14ac:dyDescent="0.3">
      <c r="F17" s="11" t="s">
        <v>293</v>
      </c>
      <c r="J17" s="125">
        <f>SUM(J14:J16)</f>
        <v>106629</v>
      </c>
      <c r="L17" s="122" t="s">
        <v>298</v>
      </c>
      <c r="N17" s="124">
        <f>J22</f>
        <v>1.133456704419236E-3</v>
      </c>
    </row>
    <row r="18" spans="2:14" x14ac:dyDescent="0.3">
      <c r="B18" s="3" t="s">
        <v>299</v>
      </c>
      <c r="D18" s="126">
        <v>3.7999999999999999E-2</v>
      </c>
      <c r="L18" s="267" t="s">
        <v>3</v>
      </c>
      <c r="M18" s="268"/>
      <c r="N18" s="269">
        <f>(N14*N15)+(N16*N17)</f>
        <v>7.611839417214393E-2</v>
      </c>
    </row>
    <row r="19" spans="2:14" x14ac:dyDescent="0.3">
      <c r="B19" s="3" t="s">
        <v>301</v>
      </c>
      <c r="D19" s="127">
        <v>0.99</v>
      </c>
      <c r="F19" s="3" t="s">
        <v>297</v>
      </c>
      <c r="J19" s="10">
        <f>-AVERAGE('Financial Model'!I263:J263)</f>
        <v>148</v>
      </c>
    </row>
    <row r="20" spans="2:14" x14ac:dyDescent="0.3">
      <c r="B20" s="3" t="s">
        <v>303</v>
      </c>
      <c r="D20" s="126">
        <v>4.1200000000000001E-2</v>
      </c>
      <c r="F20" s="3" t="s">
        <v>300</v>
      </c>
      <c r="J20" s="126">
        <f>J19/J17</f>
        <v>1.3879901340160745E-3</v>
      </c>
    </row>
    <row r="21" spans="2:14" x14ac:dyDescent="0.3">
      <c r="B21" s="11" t="s">
        <v>294</v>
      </c>
      <c r="D21" s="128">
        <f>D18+(D19*D20)</f>
        <v>7.8787999999999997E-2</v>
      </c>
      <c r="F21" s="3" t="s">
        <v>302</v>
      </c>
      <c r="J21" s="129">
        <f>AVERAGE('Financial Model'!H19:J19)</f>
        <v>0.18338273692217086</v>
      </c>
    </row>
    <row r="22" spans="2:14" x14ac:dyDescent="0.3">
      <c r="F22" s="11" t="s">
        <v>298</v>
      </c>
      <c r="J22" s="130">
        <f>J20*(1-J21)</f>
        <v>1.133456704419236E-3</v>
      </c>
    </row>
  </sheetData>
  <pageMargins left="0.7" right="0.7" top="0.75" bottom="0.75" header="0.3" footer="0.3"/>
  <pageSetup paperSize="9" orientation="portrait" r:id="rId1"/>
  <ignoredErrors>
    <ignoredError sqref="J19" formulaRange="1"/>
  </ignoredErrors>
  <drawing r:id="rId2"/>
  <legacyDrawing r:id="rId3"/>
  <mc:AlternateContent xmlns:mc="http://schemas.openxmlformats.org/markup-compatibility/2006">
    <mc:Choice Requires="x14">
      <controls>
        <mc:AlternateContent xmlns:mc="http://schemas.openxmlformats.org/markup-compatibility/2006">
          <mc:Choice Requires="x14">
            <control shapeId="9217" r:id="rId4" name="Drop Down 1">
              <controlPr defaultSize="0" autoLine="0" autoPict="0">
                <anchor moveWithCells="1">
                  <from>
                    <xdr:col>2</xdr:col>
                    <xdr:colOff>76200</xdr:colOff>
                    <xdr:row>2</xdr:row>
                    <xdr:rowOff>0</xdr:rowOff>
                  </from>
                  <to>
                    <xdr:col>4</xdr:col>
                    <xdr:colOff>0</xdr:colOff>
                    <xdr:row>3</xdr:row>
                    <xdr:rowOff>0</xdr:rowOff>
                  </to>
                </anchor>
              </controlPr>
            </control>
          </mc:Choice>
        </mc:AlternateContent>
      </controls>
    </mc:Choice>
  </mc:AlternateConten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3AC0ED-5DC8-4A56-A636-85B70F97BFB0}">
  <dimension ref="B1:N63"/>
  <sheetViews>
    <sheetView showGridLines="0" topLeftCell="A30" zoomScale="85" zoomScaleNormal="85" workbookViewId="0">
      <selection activeCell="B7" sqref="B7"/>
    </sheetView>
  </sheetViews>
  <sheetFormatPr defaultRowHeight="14.4" x14ac:dyDescent="0.3"/>
  <cols>
    <col min="1" max="1" width="10.88671875" style="9" customWidth="1"/>
    <col min="2" max="2" width="25.77734375" style="9" customWidth="1"/>
    <col min="3" max="3" width="12.109375" style="9" customWidth="1"/>
    <col min="4" max="6" width="9.77734375" style="9" customWidth="1"/>
    <col min="7" max="14" width="10.77734375" style="9" customWidth="1"/>
    <col min="15" max="16384" width="8.88671875" style="9"/>
  </cols>
  <sheetData>
    <row r="1" spans="2:14" ht="91.2" customHeight="1" x14ac:dyDescent="0.3">
      <c r="B1" s="280"/>
      <c r="C1" s="280"/>
      <c r="D1" s="280"/>
      <c r="E1" s="280"/>
      <c r="F1" s="280"/>
      <c r="G1" s="280"/>
      <c r="H1" s="280"/>
      <c r="I1" s="280"/>
      <c r="J1" s="280"/>
      <c r="K1" s="280"/>
      <c r="L1" s="280"/>
      <c r="M1" s="280"/>
      <c r="N1" s="280"/>
    </row>
    <row r="3" spans="2:14" x14ac:dyDescent="0.3">
      <c r="B3" s="279" t="s">
        <v>121</v>
      </c>
      <c r="C3" s="73">
        <f>Dashboard!C3</f>
        <v>1</v>
      </c>
    </row>
    <row r="5" spans="2:14" x14ac:dyDescent="0.3">
      <c r="B5" s="278" t="s">
        <v>306</v>
      </c>
      <c r="C5" s="74"/>
      <c r="D5" s="74"/>
      <c r="E5" s="74"/>
      <c r="F5" s="74"/>
      <c r="G5" s="74"/>
      <c r="H5" s="74"/>
      <c r="I5" s="74"/>
      <c r="J5" s="74"/>
      <c r="K5" s="74"/>
      <c r="L5" s="74"/>
      <c r="M5" s="74"/>
      <c r="N5" s="74"/>
    </row>
    <row r="7" spans="2:14" ht="15" thickBot="1" x14ac:dyDescent="0.35">
      <c r="B7" s="279" t="s">
        <v>127</v>
      </c>
      <c r="C7" s="72"/>
      <c r="D7" s="78">
        <v>2019</v>
      </c>
      <c r="E7" s="78">
        <f>D7+1</f>
        <v>2020</v>
      </c>
      <c r="F7" s="78">
        <f t="shared" ref="F7:N7" si="0">E7+1</f>
        <v>2021</v>
      </c>
      <c r="G7" s="78">
        <f t="shared" si="0"/>
        <v>2022</v>
      </c>
      <c r="H7" s="78">
        <f t="shared" si="0"/>
        <v>2023</v>
      </c>
      <c r="I7" s="78">
        <f t="shared" si="0"/>
        <v>2024</v>
      </c>
      <c r="J7" s="131">
        <f t="shared" si="0"/>
        <v>2025</v>
      </c>
      <c r="K7" s="131">
        <f t="shared" si="0"/>
        <v>2026</v>
      </c>
      <c r="L7" s="131">
        <f t="shared" si="0"/>
        <v>2027</v>
      </c>
      <c r="M7" s="131">
        <f t="shared" si="0"/>
        <v>2028</v>
      </c>
      <c r="N7" s="131">
        <f t="shared" si="0"/>
        <v>2029</v>
      </c>
    </row>
    <row r="9" spans="2:14" x14ac:dyDescent="0.3">
      <c r="B9" s="3" t="s">
        <v>307</v>
      </c>
      <c r="D9" s="126">
        <f>'Financial Model'!E19</f>
        <v>0.15943836804235059</v>
      </c>
      <c r="E9" s="126">
        <f>'Financial Model'!F19</f>
        <v>0.14428164731484103</v>
      </c>
      <c r="F9" s="126">
        <f>'Financial Model'!G19</f>
        <v>0.13302260844085087</v>
      </c>
      <c r="G9" s="126">
        <f>'Financial Model'!H19</f>
        <v>0.16204461684424407</v>
      </c>
      <c r="H9" s="126">
        <f>'Financial Model'!I19</f>
        <v>0.14719174228036858</v>
      </c>
      <c r="I9" s="126">
        <f>'Financial Model'!J19</f>
        <v>0.24091185164189982</v>
      </c>
      <c r="J9" s="126">
        <f>'Financial Model'!K19</f>
        <v>0.16</v>
      </c>
      <c r="K9" s="126">
        <f>'Financial Model'!L19</f>
        <v>0.16</v>
      </c>
      <c r="L9" s="126">
        <f>'Financial Model'!M19</f>
        <v>0.16</v>
      </c>
      <c r="M9" s="126">
        <f>'Financial Model'!N19</f>
        <v>0.16</v>
      </c>
      <c r="N9" s="126">
        <f>'Financial Model'!O19</f>
        <v>0.16</v>
      </c>
    </row>
    <row r="10" spans="2:14" x14ac:dyDescent="0.3">
      <c r="B10" s="3"/>
      <c r="D10" s="126"/>
      <c r="E10" s="126"/>
      <c r="F10" s="126"/>
      <c r="G10" s="126"/>
      <c r="H10" s="126"/>
      <c r="I10" s="126"/>
      <c r="J10" s="126"/>
      <c r="K10" s="126"/>
      <c r="L10" s="126"/>
      <c r="M10" s="126"/>
      <c r="N10" s="126"/>
    </row>
    <row r="11" spans="2:14" x14ac:dyDescent="0.3">
      <c r="B11" s="3" t="s">
        <v>19</v>
      </c>
      <c r="D11" s="10">
        <f>'Financial Model'!E261</f>
        <v>63930</v>
      </c>
      <c r="E11" s="10">
        <f>'Financial Model'!F261</f>
        <v>66288</v>
      </c>
      <c r="F11" s="10">
        <f>'Financial Model'!G261</f>
        <v>108949</v>
      </c>
      <c r="G11" s="10">
        <f>'Financial Model'!H261</f>
        <v>119437</v>
      </c>
      <c r="H11" s="10">
        <f>'Financial Model'!I261</f>
        <v>114301</v>
      </c>
      <c r="I11" s="10">
        <f>'Financial Model'!J261</f>
        <v>123216</v>
      </c>
      <c r="J11" s="10">
        <f>'Financial Model'!K261</f>
        <v>129463.60917499996</v>
      </c>
      <c r="K11" s="10">
        <f>'Financial Model'!L261</f>
        <v>134402.30055012502</v>
      </c>
      <c r="L11" s="10">
        <f>'Financial Model'!M261</f>
        <v>138698.98988275995</v>
      </c>
      <c r="M11" s="10">
        <f>'Financial Model'!N261</f>
        <v>143234.64333185123</v>
      </c>
      <c r="N11" s="10">
        <f>'Financial Model'!O261</f>
        <v>148023.50455816856</v>
      </c>
    </row>
    <row r="12" spans="2:14" x14ac:dyDescent="0.3">
      <c r="B12" s="3" t="s">
        <v>308</v>
      </c>
      <c r="D12" s="10">
        <f>-'Financial Model'!E266</f>
        <v>-10481</v>
      </c>
      <c r="E12" s="10">
        <f>-'Financial Model'!F266</f>
        <v>-9680</v>
      </c>
      <c r="F12" s="10">
        <f>-'Financial Model'!G266</f>
        <v>-14527</v>
      </c>
      <c r="G12" s="10">
        <f>-'Financial Model'!H266</f>
        <v>-19300</v>
      </c>
      <c r="H12" s="10">
        <f>-'Financial Model'!I266</f>
        <v>-16741</v>
      </c>
      <c r="I12" s="10">
        <f>-'Financial Model'!J266</f>
        <v>-29749</v>
      </c>
      <c r="J12" s="10">
        <f>-'Financial Model'!K266</f>
        <v>-20650.221947199992</v>
      </c>
      <c r="K12" s="10">
        <f>-'Financial Model'!L266</f>
        <v>-21438.934914856003</v>
      </c>
      <c r="L12" s="10">
        <f>-'Financial Model'!M266</f>
        <v>-22125.100051566274</v>
      </c>
      <c r="M12" s="10">
        <f>-'Financial Model'!N266</f>
        <v>-22849.434241688272</v>
      </c>
      <c r="N12" s="10">
        <f>-'Financial Model'!O266</f>
        <v>-23614.212624152718</v>
      </c>
    </row>
    <row r="13" spans="2:14" x14ac:dyDescent="0.3">
      <c r="B13" s="11" t="s">
        <v>309</v>
      </c>
      <c r="D13" s="125">
        <f t="shared" ref="D13:N13" si="1">SUM(D11:D12)</f>
        <v>53449</v>
      </c>
      <c r="E13" s="125">
        <f t="shared" si="1"/>
        <v>56608</v>
      </c>
      <c r="F13" s="125">
        <f t="shared" si="1"/>
        <v>94422</v>
      </c>
      <c r="G13" s="125">
        <f t="shared" si="1"/>
        <v>100137</v>
      </c>
      <c r="H13" s="125">
        <f t="shared" si="1"/>
        <v>97560</v>
      </c>
      <c r="I13" s="125">
        <f t="shared" si="1"/>
        <v>93467</v>
      </c>
      <c r="J13" s="125">
        <f t="shared" si="1"/>
        <v>108813.38722779998</v>
      </c>
      <c r="K13" s="125">
        <f t="shared" si="1"/>
        <v>112963.36563526902</v>
      </c>
      <c r="L13" s="125">
        <f t="shared" si="1"/>
        <v>116573.88983119368</v>
      </c>
      <c r="M13" s="125">
        <f t="shared" si="1"/>
        <v>120385.20909016296</v>
      </c>
      <c r="N13" s="125">
        <f t="shared" si="1"/>
        <v>124409.29193401584</v>
      </c>
    </row>
    <row r="15" spans="2:14" x14ac:dyDescent="0.3">
      <c r="B15" s="3" t="s">
        <v>310</v>
      </c>
      <c r="D15" s="10">
        <f>'Financial Model'!E322</f>
        <v>12547</v>
      </c>
      <c r="E15" s="10">
        <f>'Financial Model'!F322</f>
        <v>11056</v>
      </c>
      <c r="F15" s="10">
        <f>'Financial Model'!G322</f>
        <v>11284</v>
      </c>
      <c r="G15" s="10">
        <f>'Financial Model'!H322</f>
        <v>11104</v>
      </c>
      <c r="H15" s="10">
        <f>'Financial Model'!I322</f>
        <v>11519</v>
      </c>
      <c r="I15" s="10">
        <f>'Financial Model'!J322</f>
        <v>11445</v>
      </c>
      <c r="J15" s="10">
        <f ca="1">'Financial Model'!K322</f>
        <v>12021.461994004225</v>
      </c>
      <c r="K15" s="10">
        <f ca="1">'Financial Model'!L322</f>
        <v>12931.186282778173</v>
      </c>
      <c r="L15" s="10">
        <f ca="1">'Financial Model'!M322</f>
        <v>13816.440257521961</v>
      </c>
      <c r="M15" s="10">
        <f ca="1">'Financial Model'!N322</f>
        <v>14704.170587728835</v>
      </c>
      <c r="N15" s="10">
        <f ca="1">'Financial Model'!O322</f>
        <v>15601.845757117113</v>
      </c>
    </row>
    <row r="16" spans="2:14" x14ac:dyDescent="0.3">
      <c r="B16" s="3" t="s">
        <v>311</v>
      </c>
      <c r="D16" s="10">
        <f>'Financial Model'!E340</f>
        <v>-10495</v>
      </c>
      <c r="E16" s="10">
        <f>'Financial Model'!F340</f>
        <v>-7309</v>
      </c>
      <c r="F16" s="10">
        <f>'Financial Model'!G340</f>
        <v>-11085</v>
      </c>
      <c r="G16" s="10">
        <f>'Financial Model'!H340</f>
        <v>-10708</v>
      </c>
      <c r="H16" s="10">
        <f>'Financial Model'!I340</f>
        <v>-10959</v>
      </c>
      <c r="I16" s="10">
        <f>'Financial Model'!J340</f>
        <v>-9447</v>
      </c>
      <c r="J16" s="10">
        <f ca="1">'Financial Model'!K340</f>
        <v>-10371.333333333334</v>
      </c>
      <c r="K16" s="10">
        <f ca="1">'Financial Model'!L340</f>
        <v>-10259.111111111113</v>
      </c>
      <c r="L16" s="10">
        <f ca="1">'Financial Model'!M340</f>
        <v>-10025.814814814818</v>
      </c>
      <c r="M16" s="10">
        <f ca="1">'Financial Model'!N340</f>
        <v>-10218.753086419754</v>
      </c>
      <c r="N16" s="10">
        <f ca="1">'Financial Model'!O340</f>
        <v>-10167.893004115229</v>
      </c>
    </row>
    <row r="18" spans="2:14" x14ac:dyDescent="0.3">
      <c r="B18" s="11" t="s">
        <v>312</v>
      </c>
    </row>
    <row r="19" spans="2:14" x14ac:dyDescent="0.3">
      <c r="B19" s="3" t="s">
        <v>102</v>
      </c>
      <c r="D19" s="10">
        <f>'Financial Model'!E278</f>
        <v>22926</v>
      </c>
      <c r="E19" s="10">
        <f>'Financial Model'!F278</f>
        <v>16120</v>
      </c>
      <c r="F19" s="10">
        <f>'Financial Model'!G278</f>
        <v>26278</v>
      </c>
      <c r="G19" s="10">
        <f>'Financial Model'!H278</f>
        <v>28184</v>
      </c>
      <c r="H19" s="10">
        <f>'Financial Model'!I278</f>
        <v>29508</v>
      </c>
      <c r="I19" s="10">
        <f>'Financial Model'!J278</f>
        <v>33410</v>
      </c>
      <c r="J19" s="10">
        <f>'Financial Model'!K278</f>
        <v>33948.992205479444</v>
      </c>
      <c r="K19" s="10">
        <f>'Financial Model'!L278</f>
        <v>34733.362467191779</v>
      </c>
      <c r="L19" s="10">
        <f>'Financial Model'!M278</f>
        <v>35426.168149570534</v>
      </c>
      <c r="M19" s="10">
        <f>'Financial Model'!N278</f>
        <v>36153.586192563766</v>
      </c>
      <c r="N19" s="10">
        <f>'Financial Model'!O278</f>
        <v>36917.658557906681</v>
      </c>
    </row>
    <row r="20" spans="2:14" x14ac:dyDescent="0.3">
      <c r="B20" s="3" t="s">
        <v>103</v>
      </c>
      <c r="D20" s="10">
        <f>'Financial Model'!E279</f>
        <v>4106</v>
      </c>
      <c r="E20" s="10">
        <f>'Financial Model'!F279</f>
        <v>4061</v>
      </c>
      <c r="F20" s="10">
        <f>'Financial Model'!G279</f>
        <v>6580</v>
      </c>
      <c r="G20" s="10">
        <f>'Financial Model'!H279</f>
        <v>4946</v>
      </c>
      <c r="H20" s="10">
        <f>'Financial Model'!I279</f>
        <v>6331</v>
      </c>
      <c r="I20" s="10">
        <f>'Financial Model'!J279</f>
        <v>7286</v>
      </c>
      <c r="J20" s="10">
        <f>'Financial Model'!K279</f>
        <v>7604.0337657397258</v>
      </c>
      <c r="K20" s="10">
        <f>'Financial Model'!L279</f>
        <v>7710.3566494348597</v>
      </c>
      <c r="L20" s="10">
        <f>'Financial Model'!M279</f>
        <v>7806.5998329174372</v>
      </c>
      <c r="M20" s="10">
        <f>'Financial Model'!N279</f>
        <v>7906.7857163315484</v>
      </c>
      <c r="N20" s="10">
        <f>'Financial Model'!O279</f>
        <v>8011.1417022177047</v>
      </c>
    </row>
    <row r="21" spans="2:14" x14ac:dyDescent="0.3">
      <c r="B21" s="3" t="s">
        <v>257</v>
      </c>
      <c r="D21" s="10">
        <f>'Financial Model'!E281</f>
        <v>12352</v>
      </c>
      <c r="E21" s="10">
        <f>'Financial Model'!F281</f>
        <v>11264</v>
      </c>
      <c r="F21" s="10">
        <f>'Financial Model'!G281</f>
        <v>14111</v>
      </c>
      <c r="G21" s="10">
        <f>'Financial Model'!H281</f>
        <v>21223</v>
      </c>
      <c r="H21" s="10">
        <f>'Financial Model'!I281</f>
        <v>14695</v>
      </c>
      <c r="I21" s="10">
        <f>'Financial Model'!J281</f>
        <v>14287</v>
      </c>
      <c r="J21" s="10">
        <f>'Financial Model'!K281</f>
        <v>16188.741202499998</v>
      </c>
      <c r="K21" s="10">
        <f>'Financial Model'!L281</f>
        <v>16521.876223909996</v>
      </c>
      <c r="L21" s="10">
        <f>'Financial Model'!M281</f>
        <v>16976.562611159519</v>
      </c>
      <c r="M21" s="10">
        <f>'Financial Model'!N281</f>
        <v>19155.569458479349</v>
      </c>
      <c r="N21" s="10">
        <f>'Financial Model'!O281</f>
        <v>19560.404574632812</v>
      </c>
    </row>
    <row r="22" spans="2:14" x14ac:dyDescent="0.3">
      <c r="B22" s="11" t="s">
        <v>313</v>
      </c>
      <c r="D22" s="125">
        <f>SUM(D19:D21)</f>
        <v>39384</v>
      </c>
      <c r="E22" s="125">
        <f t="shared" ref="E22:N22" si="2">SUM(E19:E21)</f>
        <v>31445</v>
      </c>
      <c r="F22" s="125">
        <f t="shared" si="2"/>
        <v>46969</v>
      </c>
      <c r="G22" s="125">
        <f t="shared" si="2"/>
        <v>54353</v>
      </c>
      <c r="H22" s="125">
        <f t="shared" si="2"/>
        <v>50534</v>
      </c>
      <c r="I22" s="125">
        <f t="shared" si="2"/>
        <v>54983</v>
      </c>
      <c r="J22" s="125">
        <f t="shared" si="2"/>
        <v>57741.76717371917</v>
      </c>
      <c r="K22" s="125">
        <f t="shared" si="2"/>
        <v>58965.595340536638</v>
      </c>
      <c r="L22" s="125">
        <f t="shared" si="2"/>
        <v>60209.330593647494</v>
      </c>
      <c r="M22" s="125">
        <f t="shared" si="2"/>
        <v>63215.94136737466</v>
      </c>
      <c r="N22" s="125">
        <f t="shared" si="2"/>
        <v>64489.204834757198</v>
      </c>
    </row>
    <row r="24" spans="2:14" x14ac:dyDescent="0.3">
      <c r="B24" s="3" t="s">
        <v>104</v>
      </c>
      <c r="D24" s="10">
        <f>'Financial Model'!E293</f>
        <v>46236</v>
      </c>
      <c r="E24" s="10">
        <f>'Financial Model'!F293</f>
        <v>42296</v>
      </c>
      <c r="F24" s="10">
        <f>'Financial Model'!G293</f>
        <v>54763</v>
      </c>
      <c r="G24" s="10">
        <f>'Financial Model'!H293</f>
        <v>64115</v>
      </c>
      <c r="H24" s="10">
        <f>'Financial Model'!I293</f>
        <v>62611</v>
      </c>
      <c r="I24" s="10">
        <f>'Financial Model'!J293</f>
        <v>68960</v>
      </c>
      <c r="J24" s="10">
        <f>'Financial Model'!K293</f>
        <v>70191.080914520542</v>
      </c>
      <c r="K24" s="10">
        <f>'Financial Model'!L293</f>
        <v>71172.52291786026</v>
      </c>
      <c r="L24" s="10">
        <f>'Financial Model'!M293</f>
        <v>72060.921534622496</v>
      </c>
      <c r="M24" s="10">
        <f>'Financial Model'!N293</f>
        <v>72985.714304598921</v>
      </c>
      <c r="N24" s="10">
        <f>'Financial Model'!O293</f>
        <v>73949.000328163427</v>
      </c>
    </row>
    <row r="25" spans="2:14" x14ac:dyDescent="0.3">
      <c r="B25" s="3" t="s">
        <v>314</v>
      </c>
      <c r="D25" s="10">
        <f>'Financial Model'!E294</f>
        <v>37720</v>
      </c>
      <c r="E25" s="10">
        <f>'Financial Model'!F294</f>
        <v>42684</v>
      </c>
      <c r="F25" s="10">
        <f>'Financial Model'!G294</f>
        <v>47493</v>
      </c>
      <c r="G25" s="10">
        <f>'Financial Model'!H294</f>
        <v>60845</v>
      </c>
      <c r="H25" s="10">
        <f>'Financial Model'!I294</f>
        <v>58829</v>
      </c>
      <c r="I25" s="10">
        <f>'Financial Model'!J294</f>
        <v>78304</v>
      </c>
      <c r="J25" s="10">
        <f>'Financial Model'!K294</f>
        <v>67758.614381581952</v>
      </c>
      <c r="K25" s="10">
        <f>'Financial Model'!L294</f>
        <v>68755.244684802645</v>
      </c>
      <c r="L25" s="10">
        <f>'Financial Model'!M294</f>
        <v>70340.111053008004</v>
      </c>
      <c r="M25" s="10">
        <f>'Financial Model'!N294</f>
        <v>71836.593837192704</v>
      </c>
      <c r="N25" s="10">
        <f>'Financial Model'!O294</f>
        <v>73245.137808964602</v>
      </c>
    </row>
    <row r="26" spans="2:14" x14ac:dyDescent="0.3">
      <c r="B26" s="11" t="s">
        <v>313</v>
      </c>
      <c r="D26" s="125">
        <f t="shared" ref="D26:N26" si="3">SUM(D24:D25)</f>
        <v>83956</v>
      </c>
      <c r="E26" s="125">
        <f t="shared" si="3"/>
        <v>84980</v>
      </c>
      <c r="F26" s="125">
        <f t="shared" si="3"/>
        <v>102256</v>
      </c>
      <c r="G26" s="125">
        <f t="shared" si="3"/>
        <v>124960</v>
      </c>
      <c r="H26" s="125">
        <f t="shared" si="3"/>
        <v>121440</v>
      </c>
      <c r="I26" s="125">
        <f t="shared" si="3"/>
        <v>147264</v>
      </c>
      <c r="J26" s="125">
        <f t="shared" si="3"/>
        <v>137949.69529610249</v>
      </c>
      <c r="K26" s="125">
        <f t="shared" si="3"/>
        <v>139927.76760266291</v>
      </c>
      <c r="L26" s="125">
        <f t="shared" si="3"/>
        <v>142401.0325876305</v>
      </c>
      <c r="M26" s="125">
        <f t="shared" si="3"/>
        <v>144822.30814179161</v>
      </c>
      <c r="N26" s="125">
        <f t="shared" si="3"/>
        <v>147194.13813712803</v>
      </c>
    </row>
    <row r="28" spans="2:14" x14ac:dyDescent="0.3">
      <c r="B28" s="3" t="s">
        <v>315</v>
      </c>
      <c r="D28" s="10">
        <f t="shared" ref="D28:N28" si="4">D22-D26</f>
        <v>-44572</v>
      </c>
      <c r="E28" s="10">
        <f t="shared" si="4"/>
        <v>-53535</v>
      </c>
      <c r="F28" s="10">
        <f t="shared" si="4"/>
        <v>-55287</v>
      </c>
      <c r="G28" s="10">
        <f t="shared" si="4"/>
        <v>-70607</v>
      </c>
      <c r="H28" s="10">
        <f t="shared" si="4"/>
        <v>-70906</v>
      </c>
      <c r="I28" s="10">
        <f t="shared" si="4"/>
        <v>-92281</v>
      </c>
      <c r="J28" s="10">
        <f t="shared" si="4"/>
        <v>-80207.928122383324</v>
      </c>
      <c r="K28" s="10">
        <f t="shared" si="4"/>
        <v>-80962.17226212626</v>
      </c>
      <c r="L28" s="10">
        <f t="shared" si="4"/>
        <v>-82191.701993983006</v>
      </c>
      <c r="M28" s="10">
        <f t="shared" si="4"/>
        <v>-81606.366774416951</v>
      </c>
      <c r="N28" s="10">
        <f t="shared" si="4"/>
        <v>-82704.933302370831</v>
      </c>
    </row>
    <row r="29" spans="2:14" x14ac:dyDescent="0.3">
      <c r="B29" s="11" t="s">
        <v>312</v>
      </c>
      <c r="D29" s="125"/>
      <c r="E29" s="125">
        <f>E28-D28</f>
        <v>-8963</v>
      </c>
      <c r="F29" s="125">
        <f t="shared" ref="F29:N29" si="5">F28-E28</f>
        <v>-1752</v>
      </c>
      <c r="G29" s="125">
        <f t="shared" si="5"/>
        <v>-15320</v>
      </c>
      <c r="H29" s="125">
        <f t="shared" si="5"/>
        <v>-299</v>
      </c>
      <c r="I29" s="125">
        <f t="shared" si="5"/>
        <v>-21375</v>
      </c>
      <c r="J29" s="125">
        <f t="shared" si="5"/>
        <v>12073.071877616676</v>
      </c>
      <c r="K29" s="125">
        <f t="shared" si="5"/>
        <v>-754.24413974293566</v>
      </c>
      <c r="L29" s="125">
        <f t="shared" si="5"/>
        <v>-1229.5297318567464</v>
      </c>
      <c r="M29" s="125">
        <f t="shared" si="5"/>
        <v>585.33521956605546</v>
      </c>
      <c r="N29" s="125">
        <f t="shared" si="5"/>
        <v>-1098.5665279538807</v>
      </c>
    </row>
    <row r="31" spans="2:14" x14ac:dyDescent="0.3">
      <c r="B31" s="11" t="s">
        <v>316</v>
      </c>
      <c r="D31" s="299">
        <f t="shared" ref="D31:N31" si="6">D13+D15+D16-D29</f>
        <v>55501</v>
      </c>
      <c r="E31" s="19">
        <f t="shared" si="6"/>
        <v>69318</v>
      </c>
      <c r="F31" s="19">
        <f t="shared" si="6"/>
        <v>96373</v>
      </c>
      <c r="G31" s="19">
        <f t="shared" si="6"/>
        <v>115853</v>
      </c>
      <c r="H31" s="19">
        <f t="shared" si="6"/>
        <v>98419</v>
      </c>
      <c r="I31" s="19">
        <f t="shared" si="6"/>
        <v>116840</v>
      </c>
      <c r="J31" s="19">
        <f t="shared" ca="1" si="6"/>
        <v>98390.444010854204</v>
      </c>
      <c r="K31" s="19">
        <f t="shared" ca="1" si="6"/>
        <v>116389.68494667902</v>
      </c>
      <c r="L31" s="19">
        <f t="shared" ca="1" si="6"/>
        <v>121594.04500575757</v>
      </c>
      <c r="M31" s="19">
        <f t="shared" ca="1" si="6"/>
        <v>124285.29137190599</v>
      </c>
      <c r="N31" s="20">
        <f t="shared" ca="1" si="6"/>
        <v>130941.8112149716</v>
      </c>
    </row>
    <row r="33" spans="2:14" x14ac:dyDescent="0.3">
      <c r="B33" s="278" t="s">
        <v>317</v>
      </c>
      <c r="C33" s="74"/>
      <c r="D33" s="74"/>
      <c r="E33" s="74"/>
      <c r="F33" s="74"/>
      <c r="G33" s="74"/>
      <c r="H33" s="74"/>
      <c r="I33" s="74"/>
      <c r="J33" s="74"/>
      <c r="K33" s="74"/>
      <c r="L33" s="74"/>
      <c r="M33" s="74"/>
      <c r="N33" s="74"/>
    </row>
    <row r="35" spans="2:14" ht="16.05" customHeight="1" x14ac:dyDescent="0.3">
      <c r="B35" s="279" t="s">
        <v>127</v>
      </c>
      <c r="C35" s="72"/>
      <c r="G35" s="21" t="s">
        <v>318</v>
      </c>
      <c r="H35" s="22" t="s">
        <v>319</v>
      </c>
      <c r="I35" s="22"/>
      <c r="J35" s="22"/>
      <c r="K35" s="22"/>
      <c r="L35" s="22"/>
      <c r="M35" s="23" t="s">
        <v>320</v>
      </c>
    </row>
    <row r="36" spans="2:14" x14ac:dyDescent="0.3">
      <c r="G36" s="24" t="s">
        <v>321</v>
      </c>
      <c r="H36" s="25" t="s">
        <v>321</v>
      </c>
      <c r="I36" s="26" t="s">
        <v>321</v>
      </c>
      <c r="J36" s="26" t="s">
        <v>321</v>
      </c>
      <c r="K36" s="26" t="s">
        <v>321</v>
      </c>
      <c r="L36" s="27" t="s">
        <v>321</v>
      </c>
      <c r="M36" s="27" t="s">
        <v>321</v>
      </c>
    </row>
    <row r="37" spans="2:14" ht="16.05" customHeight="1" x14ac:dyDescent="0.3">
      <c r="B37" s="80" t="s">
        <v>287</v>
      </c>
      <c r="C37" s="270">
        <f>Dashboard!I67</f>
        <v>0.02</v>
      </c>
      <c r="E37" s="7" t="s">
        <v>322</v>
      </c>
      <c r="F37" s="35"/>
      <c r="G37" s="28">
        <f>DATE(2024,9,28)</f>
        <v>45563</v>
      </c>
      <c r="H37" s="29">
        <f>EDATE(G37,12)</f>
        <v>45928</v>
      </c>
      <c r="I37" s="30">
        <f t="shared" ref="I37:M37" si="7">EDATE(H37,12)</f>
        <v>46293</v>
      </c>
      <c r="J37" s="30">
        <f t="shared" si="7"/>
        <v>46658</v>
      </c>
      <c r="K37" s="30">
        <f t="shared" si="7"/>
        <v>47024</v>
      </c>
      <c r="L37" s="31">
        <f t="shared" si="7"/>
        <v>47389</v>
      </c>
      <c r="M37" s="31">
        <f t="shared" si="7"/>
        <v>47754</v>
      </c>
    </row>
    <row r="38" spans="2:14" x14ac:dyDescent="0.3">
      <c r="B38" s="85" t="s">
        <v>3</v>
      </c>
      <c r="C38" s="271">
        <f>Dashboard!I68</f>
        <v>7.611839417214393E-2</v>
      </c>
    </row>
    <row r="40" spans="2:14" x14ac:dyDescent="0.3">
      <c r="B40" s="11" t="s">
        <v>306</v>
      </c>
      <c r="G40" s="132">
        <v>0</v>
      </c>
      <c r="H40" s="133">
        <f ca="1">J31</f>
        <v>98390.444010854204</v>
      </c>
      <c r="I40" s="133">
        <f ca="1">K31</f>
        <v>116389.68494667902</v>
      </c>
      <c r="J40" s="133">
        <f ca="1">L31</f>
        <v>121594.04500575757</v>
      </c>
      <c r="K40" s="133">
        <f ca="1">M31</f>
        <v>124285.29137190599</v>
      </c>
      <c r="L40" s="133">
        <f ca="1">N31</f>
        <v>130941.8112149716</v>
      </c>
      <c r="M40" s="134">
        <f ca="1">L40*(1+C37)</f>
        <v>133560.64743927104</v>
      </c>
    </row>
    <row r="41" spans="2:14" x14ac:dyDescent="0.3">
      <c r="B41" s="3"/>
      <c r="M41" s="135"/>
    </row>
    <row r="42" spans="2:14" x14ac:dyDescent="0.3">
      <c r="B42" s="11" t="s">
        <v>323</v>
      </c>
      <c r="M42" s="135"/>
    </row>
    <row r="43" spans="2:14" x14ac:dyDescent="0.3">
      <c r="B43" s="3" t="s">
        <v>319</v>
      </c>
      <c r="G43" s="136">
        <v>0</v>
      </c>
      <c r="H43" s="137">
        <f ca="1">H40</f>
        <v>98390.444010854204</v>
      </c>
      <c r="I43" s="137">
        <f t="shared" ref="I43:L43" ca="1" si="8">I40</f>
        <v>116389.68494667902</v>
      </c>
      <c r="J43" s="137">
        <f t="shared" ca="1" si="8"/>
        <v>121594.04500575757</v>
      </c>
      <c r="K43" s="137">
        <f t="shared" ca="1" si="8"/>
        <v>124285.29137190599</v>
      </c>
      <c r="L43" s="137">
        <f t="shared" ca="1" si="8"/>
        <v>130941.8112149716</v>
      </c>
      <c r="M43" s="135"/>
    </row>
    <row r="44" spans="2:14" x14ac:dyDescent="0.3">
      <c r="B44" s="3" t="s">
        <v>324</v>
      </c>
      <c r="G44" s="136">
        <v>0</v>
      </c>
      <c r="H44" s="137">
        <v>0</v>
      </c>
      <c r="I44" s="137">
        <v>0</v>
      </c>
      <c r="J44" s="137">
        <v>0</v>
      </c>
      <c r="K44" s="137">
        <v>0</v>
      </c>
      <c r="L44" s="137">
        <f ca="1">M40/(C38-C37)</f>
        <v>2379979.8516966105</v>
      </c>
      <c r="M44" s="135"/>
    </row>
    <row r="45" spans="2:14" x14ac:dyDescent="0.3">
      <c r="B45" s="3" t="s">
        <v>325</v>
      </c>
      <c r="G45" s="125">
        <f t="shared" ref="G45:L45" si="9">SUM(G43:G44)</f>
        <v>0</v>
      </c>
      <c r="H45" s="125">
        <f t="shared" ca="1" si="9"/>
        <v>98390.444010854204</v>
      </c>
      <c r="I45" s="125">
        <f t="shared" ca="1" si="9"/>
        <v>116389.68494667902</v>
      </c>
      <c r="J45" s="125">
        <f t="shared" ca="1" si="9"/>
        <v>121594.04500575757</v>
      </c>
      <c r="K45" s="125">
        <f t="shared" ca="1" si="9"/>
        <v>124285.29137190599</v>
      </c>
      <c r="L45" s="125">
        <f t="shared" ca="1" si="9"/>
        <v>2510921.6629115823</v>
      </c>
      <c r="M45" s="135"/>
    </row>
    <row r="46" spans="2:14" x14ac:dyDescent="0.3">
      <c r="B46" s="3"/>
      <c r="M46" s="135"/>
    </row>
    <row r="47" spans="2:14" x14ac:dyDescent="0.3">
      <c r="B47" s="3" t="s">
        <v>326</v>
      </c>
      <c r="G47" s="136">
        <v>0</v>
      </c>
      <c r="H47" s="138">
        <f>YEARFRAC($G$37,H37)</f>
        <v>1</v>
      </c>
      <c r="I47" s="138">
        <f>YEARFRAC($G$37,I37)</f>
        <v>2</v>
      </c>
      <c r="J47" s="138">
        <f>YEARFRAC($G$37,J37)</f>
        <v>3</v>
      </c>
      <c r="K47" s="138">
        <f>YEARFRAC($G$37,K37)</f>
        <v>4</v>
      </c>
      <c r="L47" s="138">
        <f>YEARFRAC($G$37,L37)</f>
        <v>5</v>
      </c>
    </row>
    <row r="48" spans="2:14" x14ac:dyDescent="0.3">
      <c r="B48" s="3"/>
    </row>
    <row r="49" spans="2:14" x14ac:dyDescent="0.3">
      <c r="B49" s="11" t="s">
        <v>327</v>
      </c>
    </row>
    <row r="50" spans="2:14" x14ac:dyDescent="0.3">
      <c r="B50" s="3" t="s">
        <v>319</v>
      </c>
      <c r="G50" s="136">
        <v>0</v>
      </c>
      <c r="H50" s="137">
        <f ca="1">H43/(1+$C$38)^H47</f>
        <v>91430.87279587466</v>
      </c>
      <c r="I50" s="137">
        <f ca="1">I43/(1+$C$38)^I47</f>
        <v>100506.55398801925</v>
      </c>
      <c r="J50" s="137">
        <f ca="1">J43/(1+$C$38)^J47</f>
        <v>97573.557943776439</v>
      </c>
      <c r="K50" s="137">
        <f ca="1">K43/(1+$C$38)^K47</f>
        <v>92678.610782477583</v>
      </c>
      <c r="L50" s="137">
        <f ca="1">L43/(1+$C$38)^L47</f>
        <v>90735.673970199045</v>
      </c>
    </row>
    <row r="51" spans="2:14" x14ac:dyDescent="0.3">
      <c r="B51" s="3" t="s">
        <v>324</v>
      </c>
      <c r="G51" s="136">
        <v>0</v>
      </c>
      <c r="H51" s="137">
        <v>0</v>
      </c>
      <c r="I51" s="137">
        <v>0</v>
      </c>
      <c r="J51" s="137">
        <v>0</v>
      </c>
      <c r="K51" s="137">
        <v>0</v>
      </c>
      <c r="L51" s="137">
        <f ca="1">L44/(1+C38)^L47</f>
        <v>1649198.7843719027</v>
      </c>
    </row>
    <row r="52" spans="2:14" x14ac:dyDescent="0.3">
      <c r="B52" s="3" t="s">
        <v>325</v>
      </c>
      <c r="G52" s="125">
        <f>SUM(G50:G51)</f>
        <v>0</v>
      </c>
      <c r="H52" s="125">
        <f ca="1">SUM(H50:H51)</f>
        <v>91430.87279587466</v>
      </c>
      <c r="I52" s="125">
        <f t="shared" ref="I52:L52" ca="1" si="10">SUM(I50:I51)</f>
        <v>100506.55398801925</v>
      </c>
      <c r="J52" s="125">
        <f t="shared" ca="1" si="10"/>
        <v>97573.557943776439</v>
      </c>
      <c r="K52" s="125">
        <f t="shared" ca="1" si="10"/>
        <v>92678.610782477583</v>
      </c>
      <c r="L52" s="125">
        <f t="shared" ca="1" si="10"/>
        <v>1739934.4583421017</v>
      </c>
    </row>
    <row r="53" spans="2:14" x14ac:dyDescent="0.3">
      <c r="B53" s="3"/>
    </row>
    <row r="54" spans="2:14" x14ac:dyDescent="0.3">
      <c r="B54" s="3"/>
    </row>
    <row r="55" spans="2:14" ht="16.5" customHeight="1" x14ac:dyDescent="0.3">
      <c r="B55" s="3"/>
      <c r="C55" s="32" t="s">
        <v>328</v>
      </c>
      <c r="G55" s="32" t="s">
        <v>328</v>
      </c>
      <c r="L55" s="32" t="s">
        <v>348</v>
      </c>
    </row>
    <row r="56" spans="2:14" ht="16.95" customHeight="1" x14ac:dyDescent="0.3">
      <c r="B56" s="3"/>
      <c r="C56" s="67" t="s">
        <v>329</v>
      </c>
      <c r="D56" s="68"/>
      <c r="E56" s="69">
        <f ca="1">SUM(G52:L52)</f>
        <v>2122124.0538522494</v>
      </c>
      <c r="G56" s="67" t="s">
        <v>330</v>
      </c>
      <c r="H56" s="68"/>
      <c r="I56" s="139">
        <f ca="1">J56/$J$58</f>
        <v>0.22285467648408916</v>
      </c>
      <c r="J56" s="140">
        <f ca="1">SUM(H50:L50)</f>
        <v>472925.26948034693</v>
      </c>
      <c r="L56" s="67" t="s">
        <v>331</v>
      </c>
      <c r="M56" s="68"/>
      <c r="N56" s="140">
        <f>WACC!J17</f>
        <v>106629</v>
      </c>
    </row>
    <row r="57" spans="2:14" x14ac:dyDescent="0.3">
      <c r="C57" s="70" t="s">
        <v>332</v>
      </c>
      <c r="D57" s="57"/>
      <c r="E57" s="71">
        <f ca="1">XNPV(C38,G45:L45,G37:L37)</f>
        <v>2121755.7582949186</v>
      </c>
      <c r="G57" s="122" t="s">
        <v>333</v>
      </c>
      <c r="I57" s="141">
        <f ca="1">J57/$J$58</f>
        <v>0.7771453235159107</v>
      </c>
      <c r="J57" s="142">
        <f ca="1">L51</f>
        <v>1649198.7843719027</v>
      </c>
      <c r="L57" s="122" t="s">
        <v>334</v>
      </c>
      <c r="N57" s="142">
        <f>'Financial Model'!J276+'Financial Model'!J277</f>
        <v>65171</v>
      </c>
    </row>
    <row r="58" spans="2:14" x14ac:dyDescent="0.3">
      <c r="G58" s="85" t="s">
        <v>335</v>
      </c>
      <c r="H58" s="143"/>
      <c r="I58" s="144">
        <f ca="1">SUM(I56:I57)</f>
        <v>0.99999999999999989</v>
      </c>
      <c r="J58" s="145">
        <f ca="1">SUM(J56:J57)</f>
        <v>2122124.0538522499</v>
      </c>
      <c r="L58" s="85" t="s">
        <v>336</v>
      </c>
      <c r="M58" s="143"/>
      <c r="N58" s="145">
        <f>N56-N57</f>
        <v>41458</v>
      </c>
    </row>
    <row r="59" spans="2:14" x14ac:dyDescent="0.3">
      <c r="E59" s="146"/>
    </row>
    <row r="60" spans="2:14" x14ac:dyDescent="0.3">
      <c r="C60" s="32" t="s">
        <v>337</v>
      </c>
      <c r="G60" s="32" t="s">
        <v>338</v>
      </c>
    </row>
    <row r="61" spans="2:14" ht="16.5" customHeight="1" x14ac:dyDescent="0.3">
      <c r="C61" s="67" t="s">
        <v>335</v>
      </c>
      <c r="D61" s="68"/>
      <c r="E61" s="140">
        <f ca="1">E57</f>
        <v>2121755.7582949186</v>
      </c>
      <c r="G61" s="67" t="s">
        <v>339</v>
      </c>
      <c r="H61" s="68"/>
      <c r="I61" s="68"/>
      <c r="J61" s="140">
        <f ca="1">E63</f>
        <v>2080297.7582949186</v>
      </c>
    </row>
    <row r="62" spans="2:14" x14ac:dyDescent="0.3">
      <c r="C62" s="122" t="s">
        <v>340</v>
      </c>
      <c r="E62" s="142">
        <f>-N58</f>
        <v>-41458</v>
      </c>
      <c r="G62" s="122" t="s">
        <v>341</v>
      </c>
      <c r="J62" s="142">
        <f>WACC!D15</f>
        <v>15115</v>
      </c>
    </row>
    <row r="63" spans="2:14" x14ac:dyDescent="0.3">
      <c r="C63" s="85" t="s">
        <v>339</v>
      </c>
      <c r="D63" s="143"/>
      <c r="E63" s="145">
        <f ca="1">SUM(E61:E62)</f>
        <v>2080297.7582949186</v>
      </c>
      <c r="G63" s="85" t="s">
        <v>342</v>
      </c>
      <c r="H63" s="143"/>
      <c r="I63" s="147" t="s">
        <v>290</v>
      </c>
      <c r="J63" s="148">
        <f ca="1">J61/J62</f>
        <v>137.6313435855057</v>
      </c>
    </row>
  </sheetData>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7169" r:id="rId4" name="Drop Down 1">
              <controlPr defaultSize="0" autoLine="0" autoPict="0">
                <anchor moveWithCells="1">
                  <from>
                    <xdr:col>2</xdr:col>
                    <xdr:colOff>0</xdr:colOff>
                    <xdr:row>2</xdr:row>
                    <xdr:rowOff>0</xdr:rowOff>
                  </from>
                  <to>
                    <xdr:col>3</xdr:col>
                    <xdr:colOff>388620</xdr:colOff>
                    <xdr:row>3</xdr:row>
                    <xdr:rowOff>0</xdr:rowOff>
                  </to>
                </anchor>
              </controlPr>
            </control>
          </mc:Choice>
        </mc:AlternateContent>
      </controls>
    </mc:Choice>
  </mc:AlternateConten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0E87BF-E4FE-4A9A-949E-7E767EC2E87C}">
  <dimension ref="B1:R497"/>
  <sheetViews>
    <sheetView showGridLines="0" topLeftCell="A12" zoomScale="85" zoomScaleNormal="85" workbookViewId="0">
      <selection activeCell="U6" sqref="U6"/>
    </sheetView>
  </sheetViews>
  <sheetFormatPr defaultRowHeight="14.4" x14ac:dyDescent="0.3"/>
  <cols>
    <col min="1" max="8" width="8.88671875" style="9"/>
    <col min="9" max="9" width="10.33203125" style="9" bestFit="1" customWidth="1"/>
    <col min="10" max="16384" width="8.88671875" style="9"/>
  </cols>
  <sheetData>
    <row r="1" spans="2:18" ht="98.4" customHeight="1" x14ac:dyDescent="0.3">
      <c r="B1" s="280"/>
      <c r="C1" s="280"/>
      <c r="D1" s="280"/>
      <c r="E1" s="280"/>
      <c r="F1" s="280"/>
      <c r="G1" s="280"/>
      <c r="H1" s="280"/>
      <c r="I1" s="280"/>
      <c r="J1" s="280"/>
      <c r="K1" s="280"/>
      <c r="L1" s="280"/>
      <c r="M1" s="280"/>
      <c r="N1" s="280"/>
      <c r="O1" s="280"/>
      <c r="P1" s="280"/>
      <c r="Q1" s="280"/>
      <c r="R1" s="280"/>
    </row>
    <row r="3" spans="2:18" x14ac:dyDescent="0.3">
      <c r="B3" s="278" t="s">
        <v>362</v>
      </c>
      <c r="C3" s="74"/>
      <c r="D3" s="74"/>
      <c r="E3" s="74"/>
      <c r="F3" s="74"/>
      <c r="G3" s="74"/>
      <c r="H3" s="74"/>
      <c r="I3" s="74"/>
      <c r="J3" s="74"/>
      <c r="K3" s="74"/>
      <c r="L3" s="74"/>
      <c r="M3" s="74"/>
      <c r="N3" s="74"/>
      <c r="O3" s="74"/>
      <c r="P3" s="74"/>
      <c r="Q3" s="74"/>
      <c r="R3" s="74"/>
    </row>
    <row r="5" spans="2:18" x14ac:dyDescent="0.3">
      <c r="B5" s="279" t="s">
        <v>127</v>
      </c>
      <c r="C5" s="72"/>
      <c r="D5" s="72"/>
      <c r="E5" s="72"/>
    </row>
    <row r="8" spans="2:18" ht="28.8" x14ac:dyDescent="0.3">
      <c r="B8" s="40" t="s">
        <v>363</v>
      </c>
      <c r="C8" s="41"/>
      <c r="D8" s="41"/>
      <c r="E8" s="41"/>
      <c r="F8" s="41"/>
      <c r="G8" s="42" t="s">
        <v>351</v>
      </c>
      <c r="H8" s="43" t="s">
        <v>364</v>
      </c>
      <c r="I8" s="43" t="s">
        <v>335</v>
      </c>
      <c r="J8" s="42" t="s">
        <v>365</v>
      </c>
      <c r="K8" s="44" t="s">
        <v>366</v>
      </c>
      <c r="L8" s="45" t="s">
        <v>367</v>
      </c>
      <c r="M8" s="43" t="s">
        <v>368</v>
      </c>
    </row>
    <row r="9" spans="2:18" x14ac:dyDescent="0.3">
      <c r="B9" s="46"/>
      <c r="C9" s="46"/>
      <c r="D9" s="46"/>
      <c r="E9" s="46"/>
      <c r="F9" s="46"/>
      <c r="G9" s="47"/>
      <c r="H9" s="48" t="s">
        <v>290</v>
      </c>
      <c r="I9" s="46"/>
      <c r="J9" s="47" t="s">
        <v>369</v>
      </c>
      <c r="K9" s="49" t="s">
        <v>369</v>
      </c>
      <c r="L9" s="47" t="s">
        <v>369</v>
      </c>
      <c r="M9" s="48" t="s">
        <v>369</v>
      </c>
    </row>
    <row r="10" spans="2:18" x14ac:dyDescent="0.3">
      <c r="B10" s="46"/>
      <c r="C10" s="46"/>
      <c r="D10" s="46"/>
      <c r="E10" s="46"/>
      <c r="F10" s="46"/>
      <c r="G10" s="47"/>
      <c r="H10" s="48"/>
      <c r="I10" s="46"/>
      <c r="J10" s="47"/>
      <c r="K10" s="49"/>
      <c r="L10" s="47"/>
      <c r="M10" s="48"/>
    </row>
    <row r="11" spans="2:18" x14ac:dyDescent="0.3">
      <c r="B11" s="50" t="s">
        <v>375</v>
      </c>
      <c r="G11" s="51" t="s">
        <v>376</v>
      </c>
      <c r="H11" s="281">
        <v>198.15</v>
      </c>
      <c r="I11" s="53">
        <v>2870000</v>
      </c>
      <c r="J11" s="54">
        <v>137350</v>
      </c>
      <c r="K11" s="281">
        <v>21.98</v>
      </c>
      <c r="L11" s="56">
        <v>6.3</v>
      </c>
      <c r="M11" s="281">
        <v>31.45</v>
      </c>
    </row>
    <row r="12" spans="2:18" x14ac:dyDescent="0.3">
      <c r="B12" s="50" t="s">
        <v>381</v>
      </c>
      <c r="G12" s="51" t="s">
        <v>384</v>
      </c>
      <c r="H12" s="281">
        <v>388.45</v>
      </c>
      <c r="I12" s="53">
        <v>2650000</v>
      </c>
      <c r="J12" s="54">
        <v>142040</v>
      </c>
      <c r="K12" s="281">
        <v>20.14</v>
      </c>
      <c r="L12" s="56">
        <v>12.42</v>
      </c>
      <c r="M12" s="281">
        <v>31.3</v>
      </c>
    </row>
    <row r="13" spans="2:18" x14ac:dyDescent="0.3">
      <c r="B13" s="50" t="s">
        <v>382</v>
      </c>
      <c r="G13" s="51" t="s">
        <v>383</v>
      </c>
      <c r="H13" s="281">
        <v>159.4</v>
      </c>
      <c r="I13" s="53">
        <v>1730000</v>
      </c>
      <c r="J13" s="54">
        <v>129500</v>
      </c>
      <c r="K13" s="281">
        <v>13.72</v>
      </c>
      <c r="L13" s="56">
        <v>8.0399999999999991</v>
      </c>
      <c r="M13" s="281">
        <v>19.829999999999998</v>
      </c>
    </row>
    <row r="14" spans="2:18" x14ac:dyDescent="0.3">
      <c r="B14" s="50" t="s">
        <v>377</v>
      </c>
      <c r="G14" s="51" t="s">
        <v>378</v>
      </c>
      <c r="H14" s="281">
        <v>14.14</v>
      </c>
      <c r="I14" s="53">
        <v>21960</v>
      </c>
      <c r="J14" s="54">
        <v>5060</v>
      </c>
      <c r="K14" s="281">
        <v>4.67</v>
      </c>
      <c r="L14" s="56">
        <v>2.08</v>
      </c>
      <c r="M14" s="281">
        <v>6.8</v>
      </c>
    </row>
    <row r="15" spans="2:18" x14ac:dyDescent="0.3">
      <c r="B15" s="50" t="s">
        <v>379</v>
      </c>
      <c r="G15" s="51" t="s">
        <v>380</v>
      </c>
      <c r="H15" s="281">
        <v>81.93</v>
      </c>
      <c r="I15" s="53">
        <v>73270</v>
      </c>
      <c r="J15" s="54">
        <v>9730</v>
      </c>
      <c r="K15" s="281">
        <v>8.15</v>
      </c>
      <c r="L15" s="56">
        <v>6.38</v>
      </c>
      <c r="M15" s="281">
        <v>12.84</v>
      </c>
    </row>
    <row r="16" spans="2:18" x14ac:dyDescent="0.3">
      <c r="B16" s="50" t="s">
        <v>385</v>
      </c>
      <c r="G16" s="51" t="s">
        <v>386</v>
      </c>
      <c r="H16" s="281">
        <v>139.25</v>
      </c>
      <c r="I16" s="53">
        <v>143740</v>
      </c>
      <c r="J16" s="54">
        <v>12580</v>
      </c>
      <c r="K16" s="281">
        <v>11.52</v>
      </c>
      <c r="L16" s="56">
        <v>9.27</v>
      </c>
      <c r="M16" s="281">
        <v>15.02</v>
      </c>
    </row>
    <row r="17" spans="2:18" x14ac:dyDescent="0.3">
      <c r="B17" s="50"/>
      <c r="G17" s="51"/>
      <c r="H17" s="52"/>
      <c r="I17" s="53"/>
      <c r="J17" s="54"/>
      <c r="K17" s="55"/>
      <c r="L17" s="56"/>
      <c r="M17" s="52"/>
    </row>
    <row r="18" spans="2:18" x14ac:dyDescent="0.3">
      <c r="B18" s="57"/>
      <c r="C18" s="57"/>
      <c r="D18" s="57"/>
      <c r="E18" s="57"/>
      <c r="F18" s="57"/>
      <c r="G18" s="58"/>
      <c r="H18" s="57"/>
      <c r="I18" s="57"/>
      <c r="J18" s="59"/>
      <c r="K18" s="60"/>
      <c r="L18" s="59"/>
      <c r="M18" s="57"/>
    </row>
    <row r="19" spans="2:18" x14ac:dyDescent="0.3">
      <c r="G19" s="61"/>
    </row>
    <row r="21" spans="2:18" x14ac:dyDescent="0.3">
      <c r="B21" s="278" t="s">
        <v>370</v>
      </c>
      <c r="C21" s="74"/>
      <c r="D21" s="74"/>
      <c r="E21" s="74"/>
      <c r="F21" s="74"/>
      <c r="G21" s="74"/>
      <c r="H21" s="74"/>
      <c r="I21" s="74"/>
      <c r="J21" s="74"/>
      <c r="K21" s="74"/>
      <c r="L21" s="74"/>
      <c r="M21" s="74"/>
      <c r="N21" s="74"/>
      <c r="O21" s="74"/>
      <c r="P21" s="74"/>
      <c r="Q21" s="74"/>
      <c r="R21" s="74"/>
    </row>
    <row r="23" spans="2:18" x14ac:dyDescent="0.3">
      <c r="B23" s="279" t="s">
        <v>127</v>
      </c>
      <c r="C23" s="72"/>
      <c r="D23" s="72"/>
      <c r="E23" s="72"/>
    </row>
    <row r="25" spans="2:18" ht="28.8" x14ac:dyDescent="0.3">
      <c r="B25" s="40" t="s">
        <v>370</v>
      </c>
      <c r="C25" s="41"/>
      <c r="D25" s="41"/>
      <c r="E25" s="41"/>
      <c r="F25" s="41"/>
      <c r="G25" s="62"/>
      <c r="H25" s="43"/>
      <c r="I25" s="44" t="s">
        <v>335</v>
      </c>
      <c r="J25" s="62" t="s">
        <v>365</v>
      </c>
      <c r="K25" s="44" t="s">
        <v>366</v>
      </c>
    </row>
    <row r="26" spans="2:18" x14ac:dyDescent="0.3">
      <c r="B26" s="46"/>
      <c r="C26" s="46"/>
      <c r="D26" s="46"/>
      <c r="E26" s="46"/>
      <c r="F26" s="46"/>
      <c r="G26" s="48"/>
      <c r="H26" s="48"/>
      <c r="I26" s="149"/>
      <c r="J26" s="48" t="s">
        <v>369</v>
      </c>
      <c r="K26" s="49" t="s">
        <v>369</v>
      </c>
    </row>
    <row r="27" spans="2:18" x14ac:dyDescent="0.3">
      <c r="B27" s="50" t="s">
        <v>371</v>
      </c>
      <c r="G27" s="63"/>
      <c r="H27" s="52"/>
      <c r="I27" s="150">
        <f>K27*J27</f>
        <v>1835453.8333333335</v>
      </c>
      <c r="J27" s="151">
        <v>137350</v>
      </c>
      <c r="K27" s="55">
        <f>AVERAGE($K$11:$K$16)</f>
        <v>13.363333333333335</v>
      </c>
    </row>
    <row r="28" spans="2:18" x14ac:dyDescent="0.3">
      <c r="B28" s="50" t="s">
        <v>372</v>
      </c>
      <c r="G28" s="63"/>
      <c r="H28" s="52"/>
      <c r="I28" s="150">
        <f t="shared" ref="I28:I30" si="0">K28*J28</f>
        <v>1733357.0000000002</v>
      </c>
      <c r="J28" s="151">
        <v>137350</v>
      </c>
      <c r="K28" s="55">
        <f>MEDIAN($K$11:$K$16)</f>
        <v>12.620000000000001</v>
      </c>
    </row>
    <row r="29" spans="2:18" x14ac:dyDescent="0.3">
      <c r="B29" s="50" t="s">
        <v>373</v>
      </c>
      <c r="G29" s="63"/>
      <c r="H29" s="52"/>
      <c r="I29" s="150">
        <f t="shared" si="0"/>
        <v>3018953</v>
      </c>
      <c r="J29" s="151">
        <v>137350</v>
      </c>
      <c r="K29" s="55">
        <f>MAX($K$11:$K$16)</f>
        <v>21.98</v>
      </c>
    </row>
    <row r="30" spans="2:18" x14ac:dyDescent="0.3">
      <c r="B30" s="64" t="s">
        <v>374</v>
      </c>
      <c r="C30" s="57"/>
      <c r="D30" s="57"/>
      <c r="E30" s="57"/>
      <c r="F30" s="57"/>
      <c r="G30" s="65"/>
      <c r="H30" s="152"/>
      <c r="I30" s="153">
        <f t="shared" si="0"/>
        <v>641424.5</v>
      </c>
      <c r="J30" s="154">
        <v>137350</v>
      </c>
      <c r="K30" s="66">
        <f>MIN($K$11:$K$16)</f>
        <v>4.67</v>
      </c>
    </row>
    <row r="490" spans="2:15" x14ac:dyDescent="0.3">
      <c r="B490" s="9" t="s">
        <v>187</v>
      </c>
      <c r="E490" s="9">
        <f>E250</f>
        <v>0</v>
      </c>
      <c r="F490" s="9">
        <f t="shared" ref="F490:O490" si="1">F250</f>
        <v>0</v>
      </c>
      <c r="G490" s="9">
        <f t="shared" si="1"/>
        <v>0</v>
      </c>
      <c r="H490" s="9">
        <f t="shared" si="1"/>
        <v>0</v>
      </c>
      <c r="I490" s="9">
        <f t="shared" si="1"/>
        <v>0</v>
      </c>
      <c r="J490" s="9">
        <f t="shared" si="1"/>
        <v>0</v>
      </c>
      <c r="K490" s="9">
        <f t="shared" si="1"/>
        <v>0</v>
      </c>
      <c r="L490" s="9">
        <f t="shared" si="1"/>
        <v>0</v>
      </c>
      <c r="M490" s="9">
        <f t="shared" si="1"/>
        <v>0</v>
      </c>
      <c r="N490" s="9">
        <f t="shared" si="1"/>
        <v>0</v>
      </c>
      <c r="O490" s="9">
        <f t="shared" si="1"/>
        <v>0</v>
      </c>
    </row>
    <row r="497" spans="5:10" x14ac:dyDescent="0.3">
      <c r="E497" s="9" t="e">
        <f>-E503/E489</f>
        <v>#DIV/0!</v>
      </c>
      <c r="F497" s="9" t="e">
        <f t="shared" ref="F497:J497" si="2">-F503/F490</f>
        <v>#DIV/0!</v>
      </c>
      <c r="G497" s="9" t="e">
        <f t="shared" si="2"/>
        <v>#DIV/0!</v>
      </c>
      <c r="H497" s="9" t="e">
        <f t="shared" si="2"/>
        <v>#DIV/0!</v>
      </c>
      <c r="I497" s="9" t="e">
        <f t="shared" si="2"/>
        <v>#DIV/0!</v>
      </c>
      <c r="J497" s="9" t="e">
        <f t="shared" si="2"/>
        <v>#DIV/0!</v>
      </c>
    </row>
  </sheetData>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AAA5E1-931E-4678-901B-1EE9C5C4A59D}">
  <dimension ref="B1:T654"/>
  <sheetViews>
    <sheetView showGridLines="0" tabSelected="1" zoomScale="85" zoomScaleNormal="85" workbookViewId="0">
      <selection activeCell="R441" sqref="R441"/>
    </sheetView>
  </sheetViews>
  <sheetFormatPr defaultRowHeight="14.4" outlineLevelRow="1" x14ac:dyDescent="0.3"/>
  <cols>
    <col min="1" max="1" width="8.88671875" style="9"/>
    <col min="2" max="2" width="40.5546875" style="9" customWidth="1"/>
    <col min="3" max="3" width="11.109375" style="9" customWidth="1"/>
    <col min="4" max="4" width="8.88671875" style="9"/>
    <col min="5" max="5" width="9.77734375" style="9" bestFit="1" customWidth="1"/>
    <col min="6" max="10" width="8.88671875" style="9"/>
    <col min="11" max="12" width="8.88671875" style="9" customWidth="1"/>
    <col min="13" max="15" width="10" style="9" bestFit="1" customWidth="1"/>
    <col min="16" max="16384" width="8.88671875" style="9"/>
  </cols>
  <sheetData>
    <row r="1" spans="2:17" ht="76.8" customHeight="1" x14ac:dyDescent="0.3">
      <c r="B1" s="280"/>
      <c r="C1" s="280"/>
      <c r="D1" s="280"/>
      <c r="E1" s="280"/>
      <c r="F1" s="280"/>
      <c r="G1" s="280"/>
      <c r="H1" s="280"/>
      <c r="I1" s="280"/>
      <c r="J1" s="280"/>
      <c r="K1" s="280"/>
      <c r="L1" s="280"/>
      <c r="M1" s="280"/>
      <c r="N1" s="280"/>
      <c r="O1" s="280"/>
    </row>
    <row r="3" spans="2:17" x14ac:dyDescent="0.3">
      <c r="B3" s="279" t="s">
        <v>121</v>
      </c>
      <c r="C3" s="73">
        <f>Dashboard!C3</f>
        <v>1</v>
      </c>
      <c r="Q3" s="155" t="s">
        <v>118</v>
      </c>
    </row>
    <row r="4" spans="2:17" x14ac:dyDescent="0.3">
      <c r="Q4" s="155" t="s">
        <v>119</v>
      </c>
    </row>
    <row r="5" spans="2:17" x14ac:dyDescent="0.3">
      <c r="B5" s="278" t="s">
        <v>116</v>
      </c>
      <c r="C5" s="74"/>
      <c r="D5" s="74"/>
      <c r="E5" s="74"/>
      <c r="F5" s="74"/>
      <c r="G5" s="74"/>
      <c r="H5" s="74"/>
      <c r="I5" s="74"/>
      <c r="J5" s="74"/>
      <c r="K5" s="74"/>
      <c r="L5" s="74"/>
      <c r="M5" s="74"/>
      <c r="N5" s="74"/>
      <c r="O5" s="74"/>
      <c r="Q5" s="155" t="s">
        <v>120</v>
      </c>
    </row>
    <row r="6" spans="2:17" outlineLevel="1" x14ac:dyDescent="0.3"/>
    <row r="7" spans="2:17" ht="15" outlineLevel="1" thickBot="1" x14ac:dyDescent="0.35">
      <c r="B7" s="279" t="s">
        <v>127</v>
      </c>
      <c r="E7" s="78">
        <v>2019</v>
      </c>
      <c r="F7" s="78">
        <f>E7+1</f>
        <v>2020</v>
      </c>
      <c r="G7" s="78">
        <f t="shared" ref="G7" si="0">F7+1</f>
        <v>2021</v>
      </c>
      <c r="H7" s="78">
        <f t="shared" ref="H7" si="1">G7+1</f>
        <v>2022</v>
      </c>
      <c r="I7" s="78">
        <f t="shared" ref="I7" si="2">H7+1</f>
        <v>2023</v>
      </c>
      <c r="J7" s="78">
        <f t="shared" ref="J7" si="3">I7+1</f>
        <v>2024</v>
      </c>
      <c r="K7" s="131">
        <f t="shared" ref="K7" si="4">J7+1</f>
        <v>2025</v>
      </c>
      <c r="L7" s="131">
        <f t="shared" ref="L7" si="5">K7+1</f>
        <v>2026</v>
      </c>
      <c r="M7" s="131">
        <f t="shared" ref="M7" si="6">L7+1</f>
        <v>2027</v>
      </c>
      <c r="N7" s="131">
        <f t="shared" ref="N7" si="7">M7+1</f>
        <v>2028</v>
      </c>
      <c r="O7" s="131">
        <f t="shared" ref="O7" si="8">N7+1</f>
        <v>2029</v>
      </c>
    </row>
    <row r="8" spans="2:17" outlineLevel="1" x14ac:dyDescent="0.3">
      <c r="E8" s="156"/>
      <c r="F8" s="156"/>
      <c r="G8" s="156"/>
      <c r="H8" s="156"/>
      <c r="I8" s="156"/>
      <c r="J8" s="157"/>
      <c r="K8" s="157"/>
      <c r="L8" s="157"/>
      <c r="M8" s="157"/>
      <c r="N8" s="157"/>
      <c r="O8" s="157"/>
    </row>
    <row r="9" spans="2:17" outlineLevel="1" x14ac:dyDescent="0.3">
      <c r="B9" s="11" t="s">
        <v>7</v>
      </c>
      <c r="C9" s="11"/>
      <c r="E9" s="158">
        <v>365</v>
      </c>
      <c r="F9" s="158">
        <v>365</v>
      </c>
      <c r="G9" s="158">
        <v>365</v>
      </c>
      <c r="H9" s="158">
        <v>365</v>
      </c>
      <c r="I9" s="158">
        <v>365</v>
      </c>
      <c r="J9" s="158">
        <v>365</v>
      </c>
      <c r="K9" s="158">
        <v>365</v>
      </c>
      <c r="L9" s="158">
        <v>365</v>
      </c>
      <c r="M9" s="158">
        <v>365</v>
      </c>
      <c r="N9" s="158">
        <v>365</v>
      </c>
      <c r="O9" s="158">
        <v>365</v>
      </c>
    </row>
    <row r="10" spans="2:17" outlineLevel="1" x14ac:dyDescent="0.3">
      <c r="B10" s="11"/>
      <c r="C10" s="11"/>
      <c r="E10" s="158"/>
      <c r="F10" s="158"/>
      <c r="G10" s="158"/>
      <c r="H10" s="158"/>
      <c r="I10" s="158"/>
      <c r="J10" s="158"/>
      <c r="K10" s="158"/>
      <c r="L10" s="158"/>
      <c r="M10" s="158"/>
      <c r="N10" s="158"/>
      <c r="O10" s="158"/>
      <c r="Q10" s="155"/>
    </row>
    <row r="11" spans="2:17" outlineLevel="1" x14ac:dyDescent="0.3">
      <c r="B11" s="11" t="s">
        <v>8</v>
      </c>
      <c r="C11" s="11"/>
      <c r="M11" s="2"/>
    </row>
    <row r="12" spans="2:17" outlineLevel="1" x14ac:dyDescent="0.3">
      <c r="B12" s="3" t="s">
        <v>122</v>
      </c>
      <c r="C12" s="3"/>
      <c r="E12" s="159">
        <f>E245/D245-1</f>
        <v>-5.2973915969660834E-2</v>
      </c>
      <c r="F12" s="159">
        <f t="shared" ref="F12:J12" si="9">F245/E245-1</f>
        <v>3.2092312151970948E-2</v>
      </c>
      <c r="G12" s="159">
        <f t="shared" si="9"/>
        <v>0.34720743656765429</v>
      </c>
      <c r="H12" s="159">
        <f t="shared" si="9"/>
        <v>6.3239764351428418E-2</v>
      </c>
      <c r="I12" s="159">
        <f t="shared" si="9"/>
        <v>-5.7286708686618226E-2</v>
      </c>
      <c r="J12" s="159">
        <f t="shared" si="9"/>
        <v>-1.0798933190197424E-2</v>
      </c>
      <c r="K12" s="160">
        <f>CHOOSE($C$3,K74,K130,K186)</f>
        <v>5.0000000000000001E-3</v>
      </c>
      <c r="L12" s="160">
        <f>CHOOSE($C$3,L74,L130,L186)</f>
        <v>5.0000000000000001E-3</v>
      </c>
      <c r="M12" s="160">
        <f>CHOOSE($C$3,M74,M130,M186)</f>
        <v>5.0000000000000001E-3</v>
      </c>
      <c r="N12" s="160">
        <f>CHOOSE($C$3,N74,N130,N186)</f>
        <v>5.0000000000000001E-3</v>
      </c>
      <c r="O12" s="160">
        <f>CHOOSE($C$3,O74,O130,O186)</f>
        <v>5.0000000000000001E-3</v>
      </c>
    </row>
    <row r="13" spans="2:17" outlineLevel="1" x14ac:dyDescent="0.3">
      <c r="B13" s="3" t="s">
        <v>123</v>
      </c>
      <c r="C13" s="3"/>
      <c r="E13" s="159">
        <f>E246/D246-1</f>
        <v>0.16461205595250084</v>
      </c>
      <c r="F13" s="159">
        <f t="shared" ref="F13:J13" si="10">F246/E246-1</f>
        <v>0.16152167807997242</v>
      </c>
      <c r="G13" s="159">
        <f t="shared" si="10"/>
        <v>0.27259708376729663</v>
      </c>
      <c r="H13" s="159">
        <f t="shared" si="10"/>
        <v>0.14181951041286078</v>
      </c>
      <c r="I13" s="159">
        <f t="shared" si="10"/>
        <v>9.0504166186691215E-2</v>
      </c>
      <c r="J13" s="159">
        <f t="shared" si="10"/>
        <v>0.12874413145539898</v>
      </c>
      <c r="K13" s="160">
        <f>CHOOSE($C$3,K75,K131,K187)</f>
        <v>7.4999999999999997E-2</v>
      </c>
      <c r="L13" s="160">
        <f>CHOOSE($C$3,L75,L131,L187)</f>
        <v>7.4999999999999997E-2</v>
      </c>
      <c r="M13" s="160">
        <v>0.06</v>
      </c>
      <c r="N13" s="160">
        <v>0.06</v>
      </c>
      <c r="O13" s="160">
        <v>0.06</v>
      </c>
    </row>
    <row r="14" spans="2:17" outlineLevel="1" x14ac:dyDescent="0.3">
      <c r="B14" s="3" t="s">
        <v>282</v>
      </c>
      <c r="C14" s="3"/>
      <c r="E14" s="159">
        <f>E250/E245</f>
        <v>0.67792204148997348</v>
      </c>
      <c r="F14" s="159">
        <f t="shared" ref="F14:J14" si="11">F250/F245</f>
        <v>0.68533660706600774</v>
      </c>
      <c r="G14" s="159">
        <f t="shared" si="11"/>
        <v>0.64650696723516432</v>
      </c>
      <c r="H14" s="159">
        <f t="shared" si="11"/>
        <v>0.63716520292600543</v>
      </c>
      <c r="I14" s="159">
        <f t="shared" si="11"/>
        <v>0.63499337437308145</v>
      </c>
      <c r="J14" s="159">
        <f t="shared" si="11"/>
        <v>0.62819382363514276</v>
      </c>
      <c r="K14" s="160">
        <f t="shared" ref="K14:O14" si="12">CHOOSE($C$3,K76,K132,K188)</f>
        <v>0.628</v>
      </c>
      <c r="L14" s="160">
        <f t="shared" si="12"/>
        <v>0.628</v>
      </c>
      <c r="M14" s="160">
        <f t="shared" si="12"/>
        <v>0.628</v>
      </c>
      <c r="N14" s="160">
        <f t="shared" si="12"/>
        <v>0.628</v>
      </c>
      <c r="O14" s="160">
        <f t="shared" si="12"/>
        <v>0.628</v>
      </c>
    </row>
    <row r="15" spans="2:17" outlineLevel="1" x14ac:dyDescent="0.3">
      <c r="B15" s="3" t="s">
        <v>283</v>
      </c>
      <c r="C15" s="3"/>
      <c r="E15" s="159">
        <f t="shared" ref="E15:J15" si="13">E251/E246</f>
        <v>0.36261908362316647</v>
      </c>
      <c r="F15" s="159">
        <f t="shared" si="13"/>
        <v>0.33984898080642761</v>
      </c>
      <c r="G15" s="159">
        <f t="shared" si="13"/>
        <v>0.30274022652539279</v>
      </c>
      <c r="H15" s="159">
        <f t="shared" si="13"/>
        <v>0.28254553366867619</v>
      </c>
      <c r="I15" s="159">
        <f t="shared" si="13"/>
        <v>0.29172535211267608</v>
      </c>
      <c r="J15" s="159">
        <f t="shared" si="13"/>
        <v>0.2611964354417744</v>
      </c>
      <c r="K15" s="160">
        <f t="shared" ref="K15:O15" si="14">CHOOSE($C$3,K77,K133,K189)</f>
        <v>0.26500000000000001</v>
      </c>
      <c r="L15" s="160">
        <f t="shared" si="14"/>
        <v>0.26500000000000001</v>
      </c>
      <c r="M15" s="160">
        <f t="shared" si="14"/>
        <v>0.26500000000000001</v>
      </c>
      <c r="N15" s="160">
        <f t="shared" si="14"/>
        <v>0.26500000000000001</v>
      </c>
      <c r="O15" s="160">
        <f t="shared" si="14"/>
        <v>0.26500000000000001</v>
      </c>
    </row>
    <row r="16" spans="2:17" outlineLevel="1" x14ac:dyDescent="0.3">
      <c r="B16" s="3" t="s">
        <v>106</v>
      </c>
      <c r="C16" s="3"/>
      <c r="E16" s="159">
        <f t="shared" ref="E16:J17" si="15">E257/E$247</f>
        <v>6.233136285716482E-2</v>
      </c>
      <c r="F16" s="159">
        <f t="shared" si="15"/>
        <v>6.8309564140393061E-2</v>
      </c>
      <c r="G16" s="159">
        <f t="shared" si="15"/>
        <v>5.9904269074427925E-2</v>
      </c>
      <c r="H16" s="159">
        <f t="shared" si="15"/>
        <v>6.657148363798665E-2</v>
      </c>
      <c r="I16" s="159">
        <f t="shared" si="15"/>
        <v>7.8048971392045086E-2</v>
      </c>
      <c r="J16" s="159">
        <f t="shared" si="15"/>
        <v>8.0222997941360744E-2</v>
      </c>
      <c r="K16" s="160">
        <f t="shared" ref="K16:O19" si="16">CHOOSE($C$3,K78,K134,K190)</f>
        <v>7.4999999999999997E-2</v>
      </c>
      <c r="L16" s="160">
        <f t="shared" si="16"/>
        <v>7.4999999999999997E-2</v>
      </c>
      <c r="M16" s="160">
        <f t="shared" si="16"/>
        <v>7.4999999999999997E-2</v>
      </c>
      <c r="N16" s="160">
        <f t="shared" si="16"/>
        <v>7.4999999999999997E-2</v>
      </c>
      <c r="O16" s="160">
        <f t="shared" si="16"/>
        <v>7.4999999999999997E-2</v>
      </c>
    </row>
    <row r="17" spans="2:16" outlineLevel="1" x14ac:dyDescent="0.3">
      <c r="B17" s="3" t="s">
        <v>107</v>
      </c>
      <c r="C17" s="3"/>
      <c r="E17" s="159">
        <f t="shared" si="15"/>
        <v>7.0126146348213125E-2</v>
      </c>
      <c r="F17" s="159">
        <f t="shared" si="15"/>
        <v>7.2549769593646979E-2</v>
      </c>
      <c r="G17" s="159">
        <f t="shared" si="15"/>
        <v>6.006555190163388E-2</v>
      </c>
      <c r="H17" s="159">
        <f t="shared" si="15"/>
        <v>6.3637378020328261E-2</v>
      </c>
      <c r="I17" s="159">
        <f t="shared" si="15"/>
        <v>6.5048201729783317E-2</v>
      </c>
      <c r="J17" s="159">
        <f t="shared" si="15"/>
        <v>6.6738271510222866E-2</v>
      </c>
      <c r="K17" s="160">
        <f t="shared" si="16"/>
        <v>6.7000000000000004E-2</v>
      </c>
      <c r="L17" s="160">
        <f t="shared" si="16"/>
        <v>6.7000000000000004E-2</v>
      </c>
      <c r="M17" s="160">
        <f t="shared" si="16"/>
        <v>6.7000000000000004E-2</v>
      </c>
      <c r="N17" s="160">
        <f t="shared" si="16"/>
        <v>6.7000000000000004E-2</v>
      </c>
      <c r="O17" s="160">
        <f t="shared" si="16"/>
        <v>6.7000000000000004E-2</v>
      </c>
    </row>
    <row r="18" spans="2:16" outlineLevel="1" x14ac:dyDescent="0.3">
      <c r="B18" s="3" t="s">
        <v>108</v>
      </c>
      <c r="C18" s="3"/>
      <c r="E18" s="161">
        <f t="shared" ref="E18:J18" si="17">E263/E247</f>
        <v>6.9453519567673943E-3</v>
      </c>
      <c r="F18" s="161">
        <f t="shared" si="17"/>
        <v>2.9251589166347921E-3</v>
      </c>
      <c r="G18" s="161">
        <f t="shared" si="17"/>
        <v>7.0527066812094575E-4</v>
      </c>
      <c r="H18" s="161">
        <f t="shared" si="17"/>
        <v>-8.4701061045626988E-4</v>
      </c>
      <c r="I18" s="161">
        <f t="shared" si="17"/>
        <v>-1.4740989081231982E-3</v>
      </c>
      <c r="J18" s="161">
        <f t="shared" si="17"/>
        <v>6.8791796130781137E-4</v>
      </c>
      <c r="K18" s="160">
        <f t="shared" si="16"/>
        <v>1E-3</v>
      </c>
      <c r="L18" s="160">
        <f t="shared" si="16"/>
        <v>1E-3</v>
      </c>
      <c r="M18" s="160">
        <f t="shared" si="16"/>
        <v>1E-3</v>
      </c>
      <c r="N18" s="160">
        <f t="shared" si="16"/>
        <v>1E-3</v>
      </c>
      <c r="O18" s="160">
        <f t="shared" si="16"/>
        <v>1E-3</v>
      </c>
    </row>
    <row r="19" spans="2:16" outlineLevel="1" x14ac:dyDescent="0.3">
      <c r="B19" s="3" t="s">
        <v>280</v>
      </c>
      <c r="C19" s="3"/>
      <c r="E19" s="159">
        <f t="shared" ref="E19:J19" si="18">E266/E264</f>
        <v>0.15943836804235059</v>
      </c>
      <c r="F19" s="159">
        <f t="shared" si="18"/>
        <v>0.14428164731484103</v>
      </c>
      <c r="G19" s="159">
        <f t="shared" si="18"/>
        <v>0.13302260844085087</v>
      </c>
      <c r="H19" s="159">
        <f t="shared" si="18"/>
        <v>0.16204461684424407</v>
      </c>
      <c r="I19" s="159">
        <f t="shared" si="18"/>
        <v>0.14719174228036858</v>
      </c>
      <c r="J19" s="159">
        <f t="shared" si="18"/>
        <v>0.24091185164189982</v>
      </c>
      <c r="K19" s="160">
        <f t="shared" si="16"/>
        <v>0.16</v>
      </c>
      <c r="L19" s="160">
        <f t="shared" si="16"/>
        <v>0.16</v>
      </c>
      <c r="M19" s="160">
        <f t="shared" si="16"/>
        <v>0.16</v>
      </c>
      <c r="N19" s="160">
        <f t="shared" si="16"/>
        <v>0.16</v>
      </c>
      <c r="O19" s="160">
        <f t="shared" si="16"/>
        <v>0.16</v>
      </c>
      <c r="P19" s="162"/>
    </row>
    <row r="20" spans="2:16" outlineLevel="1" x14ac:dyDescent="0.3">
      <c r="B20" s="3"/>
      <c r="C20" s="3"/>
      <c r="E20" s="162"/>
      <c r="L20" s="163"/>
      <c r="M20" s="163"/>
      <c r="N20" s="163"/>
      <c r="O20" s="163"/>
    </row>
    <row r="21" spans="2:16" outlineLevel="1" x14ac:dyDescent="0.3">
      <c r="B21" s="11" t="s">
        <v>9</v>
      </c>
      <c r="C21" s="11"/>
      <c r="L21" s="163"/>
      <c r="M21" s="163"/>
      <c r="N21" s="163"/>
      <c r="O21" s="163"/>
    </row>
    <row r="22" spans="2:16" outlineLevel="1" x14ac:dyDescent="0.3">
      <c r="B22" s="3" t="s">
        <v>98</v>
      </c>
      <c r="C22" s="11"/>
      <c r="E22" s="164">
        <f t="shared" ref="E22:J22" si="19">(E278*E9)/E247</f>
        <v>32.163052418765901</v>
      </c>
      <c r="F22" s="164">
        <f t="shared" si="19"/>
        <v>21.433437152796749</v>
      </c>
      <c r="G22" s="164">
        <f t="shared" si="19"/>
        <v>26.219311841713207</v>
      </c>
      <c r="H22" s="164">
        <f t="shared" si="19"/>
        <v>26.087825363656652</v>
      </c>
      <c r="I22" s="164">
        <f t="shared" si="19"/>
        <v>28.100290906244702</v>
      </c>
      <c r="J22" s="164">
        <f t="shared" si="19"/>
        <v>31.185571624023424</v>
      </c>
      <c r="K22" s="165">
        <f t="shared" ref="K22:O30" si="20">CHOOSE($C$3,K84,K140,K196)</f>
        <v>28</v>
      </c>
      <c r="L22" s="165">
        <f t="shared" si="20"/>
        <v>28</v>
      </c>
      <c r="M22" s="165">
        <f t="shared" si="20"/>
        <v>28</v>
      </c>
      <c r="N22" s="165">
        <f t="shared" si="20"/>
        <v>28</v>
      </c>
      <c r="O22" s="165">
        <f t="shared" si="20"/>
        <v>28</v>
      </c>
    </row>
    <row r="23" spans="2:16" outlineLevel="1" x14ac:dyDescent="0.3">
      <c r="B23" s="3" t="s">
        <v>99</v>
      </c>
      <c r="C23" s="11"/>
      <c r="E23" s="164">
        <f t="shared" ref="E23:J23" si="21">(E279*E9)/E252</f>
        <v>9.263638723714628</v>
      </c>
      <c r="F23" s="164">
        <f t="shared" si="21"/>
        <v>8.7418833562358831</v>
      </c>
      <c r="G23" s="164">
        <f t="shared" si="21"/>
        <v>11.27659274770989</v>
      </c>
      <c r="H23" s="164">
        <f t="shared" si="21"/>
        <v>8.0756980666171607</v>
      </c>
      <c r="I23" s="164">
        <f t="shared" si="21"/>
        <v>10.791292490321617</v>
      </c>
      <c r="J23" s="164">
        <f t="shared" si="21"/>
        <v>12.642570548414087</v>
      </c>
      <c r="K23" s="165">
        <f t="shared" si="20"/>
        <v>12</v>
      </c>
      <c r="L23" s="165">
        <f t="shared" si="20"/>
        <v>12</v>
      </c>
      <c r="M23" s="165">
        <f t="shared" si="20"/>
        <v>12</v>
      </c>
      <c r="N23" s="165">
        <f t="shared" si="20"/>
        <v>12</v>
      </c>
      <c r="O23" s="165">
        <f t="shared" si="20"/>
        <v>12</v>
      </c>
    </row>
    <row r="24" spans="2:16" outlineLevel="1" x14ac:dyDescent="0.3">
      <c r="B24" s="3" t="s">
        <v>100</v>
      </c>
      <c r="C24" s="11"/>
      <c r="E24" s="164">
        <f t="shared" ref="E24:J24" si="22">(E293*E9)/E252</f>
        <v>104.31407696777144</v>
      </c>
      <c r="F24" s="164">
        <f t="shared" si="22"/>
        <v>91.048189715674184</v>
      </c>
      <c r="G24" s="164">
        <f t="shared" si="22"/>
        <v>93.85107122231561</v>
      </c>
      <c r="H24" s="164">
        <f t="shared" si="22"/>
        <v>104.68527730310539</v>
      </c>
      <c r="I24" s="164">
        <f t="shared" si="22"/>
        <v>106.72146803214764</v>
      </c>
      <c r="J24" s="164">
        <f t="shared" si="22"/>
        <v>119.65847721913745</v>
      </c>
      <c r="K24" s="165">
        <f t="shared" si="20"/>
        <v>110</v>
      </c>
      <c r="L24" s="165">
        <f t="shared" si="20"/>
        <v>110</v>
      </c>
      <c r="M24" s="165">
        <f t="shared" si="20"/>
        <v>110</v>
      </c>
      <c r="N24" s="165">
        <f t="shared" si="20"/>
        <v>110</v>
      </c>
      <c r="O24" s="165">
        <f t="shared" si="20"/>
        <v>110</v>
      </c>
    </row>
    <row r="25" spans="2:16" outlineLevel="1" x14ac:dyDescent="0.3">
      <c r="B25" s="3" t="s">
        <v>110</v>
      </c>
      <c r="E25" s="159">
        <f t="shared" ref="E25:J25" si="23">E277/E247</f>
        <v>0.19876313544012852</v>
      </c>
      <c r="F25" s="159">
        <f t="shared" si="23"/>
        <v>0.19280185053640056</v>
      </c>
      <c r="G25" s="159">
        <f t="shared" si="23"/>
        <v>7.5718186962333622E-2</v>
      </c>
      <c r="H25" s="159">
        <f t="shared" si="23"/>
        <v>6.2531699498894325E-2</v>
      </c>
      <c r="I25" s="159">
        <f t="shared" si="23"/>
        <v>8.2419087624091739E-2</v>
      </c>
      <c r="J25" s="159">
        <f t="shared" si="23"/>
        <v>9.0089122457069057E-2</v>
      </c>
      <c r="K25" s="160">
        <f t="shared" si="20"/>
        <v>7.8399999999999997E-2</v>
      </c>
      <c r="L25" s="160">
        <f t="shared" si="20"/>
        <v>8.3099999999999993E-2</v>
      </c>
      <c r="M25" s="160">
        <f t="shared" si="20"/>
        <v>7.9799999999999996E-2</v>
      </c>
      <c r="N25" s="160">
        <f t="shared" si="20"/>
        <v>8.48E-2</v>
      </c>
      <c r="O25" s="160">
        <f t="shared" si="20"/>
        <v>8.77E-2</v>
      </c>
    </row>
    <row r="26" spans="2:16" outlineLevel="1" x14ac:dyDescent="0.3">
      <c r="B26" s="3" t="s">
        <v>237</v>
      </c>
      <c r="E26" s="159">
        <f t="shared" ref="E26:J26" si="24">E280/E252</f>
        <v>0.14141251807988528</v>
      </c>
      <c r="F26" s="159">
        <f t="shared" si="24"/>
        <v>0.12576743198532664</v>
      </c>
      <c r="G26" s="159">
        <f t="shared" si="24"/>
        <v>0.11845188068419249</v>
      </c>
      <c r="H26" s="159">
        <f t="shared" si="24"/>
        <v>0.14649333917851359</v>
      </c>
      <c r="I26" s="159">
        <f t="shared" si="24"/>
        <v>0.1469946809752635</v>
      </c>
      <c r="J26" s="159">
        <f t="shared" si="24"/>
        <v>0.15608598919905681</v>
      </c>
      <c r="K26" s="160">
        <f t="shared" si="20"/>
        <v>0.15</v>
      </c>
      <c r="L26" s="160">
        <f t="shared" si="20"/>
        <v>0.15</v>
      </c>
      <c r="M26" s="160">
        <f t="shared" si="20"/>
        <v>0.14799999999999999</v>
      </c>
      <c r="N26" s="160">
        <f t="shared" si="20"/>
        <v>0.14799999999999999</v>
      </c>
      <c r="O26" s="160">
        <f t="shared" si="20"/>
        <v>0.14799999999999999</v>
      </c>
    </row>
    <row r="27" spans="2:16" outlineLevel="1" x14ac:dyDescent="0.3">
      <c r="B27" s="3" t="s">
        <v>10</v>
      </c>
      <c r="E27" s="159"/>
      <c r="F27" s="159"/>
      <c r="G27" s="159"/>
      <c r="H27" s="159"/>
      <c r="I27" s="159"/>
      <c r="J27" s="159"/>
      <c r="K27" s="160">
        <f t="shared" si="20"/>
        <v>0</v>
      </c>
      <c r="L27" s="160">
        <f t="shared" si="20"/>
        <v>0</v>
      </c>
      <c r="M27" s="160">
        <f t="shared" si="20"/>
        <v>0</v>
      </c>
      <c r="N27" s="160">
        <f t="shared" si="20"/>
        <v>0</v>
      </c>
      <c r="O27" s="160">
        <f t="shared" si="20"/>
        <v>0</v>
      </c>
    </row>
    <row r="28" spans="2:16" outlineLevel="1" x14ac:dyDescent="0.3">
      <c r="B28" s="3" t="s">
        <v>109</v>
      </c>
      <c r="E28" s="159">
        <f t="shared" ref="E28:J28" si="25">E281/E247</f>
        <v>4.7475919961256698E-2</v>
      </c>
      <c r="F28" s="159">
        <f t="shared" si="25"/>
        <v>4.1032366173068865E-2</v>
      </c>
      <c r="G28" s="159">
        <f t="shared" si="25"/>
        <v>3.8573931774630484E-2</v>
      </c>
      <c r="H28" s="159">
        <f t="shared" si="25"/>
        <v>5.3820677202734778E-2</v>
      </c>
      <c r="I28" s="159">
        <f t="shared" si="25"/>
        <v>3.8339616734283891E-2</v>
      </c>
      <c r="J28" s="159">
        <f t="shared" si="25"/>
        <v>3.6536371424552787E-2</v>
      </c>
      <c r="K28" s="160">
        <f t="shared" si="20"/>
        <v>4.0500000000000001E-2</v>
      </c>
      <c r="L28" s="160">
        <f t="shared" si="20"/>
        <v>4.0399999999999998E-2</v>
      </c>
      <c r="M28" s="160">
        <f t="shared" si="20"/>
        <v>4.07E-2</v>
      </c>
      <c r="N28" s="160">
        <f t="shared" si="20"/>
        <v>4.4999999999999998E-2</v>
      </c>
      <c r="O28" s="160">
        <f t="shared" si="20"/>
        <v>4.4999999999999998E-2</v>
      </c>
    </row>
    <row r="29" spans="2:16" outlineLevel="1" x14ac:dyDescent="0.3">
      <c r="B29" s="3" t="s">
        <v>230</v>
      </c>
      <c r="E29" s="159">
        <f t="shared" ref="E29:J29" si="26">E285/E247</f>
        <v>0.40488672965015721</v>
      </c>
      <c r="F29" s="159">
        <f t="shared" si="26"/>
        <v>0.36750997213267034</v>
      </c>
      <c r="G29" s="159">
        <f t="shared" si="26"/>
        <v>0.3495654931290782</v>
      </c>
      <c r="H29" s="159">
        <f t="shared" si="26"/>
        <v>0.30635663711428052</v>
      </c>
      <c r="I29" s="159">
        <f t="shared" si="26"/>
        <v>0.26232177100590942</v>
      </c>
      <c r="J29" s="159">
        <f t="shared" si="26"/>
        <v>0.23394069584564042</v>
      </c>
      <c r="K29" s="160">
        <f t="shared" si="20"/>
        <v>0.26500000000000001</v>
      </c>
      <c r="L29" s="160">
        <f t="shared" si="20"/>
        <v>0.26500000000000001</v>
      </c>
      <c r="M29" s="160">
        <f t="shared" si="20"/>
        <v>0.28000000000000003</v>
      </c>
      <c r="N29" s="160">
        <f t="shared" si="20"/>
        <v>0.28299999999999997</v>
      </c>
      <c r="O29" s="160">
        <f t="shared" si="20"/>
        <v>0.28899999999999998</v>
      </c>
    </row>
    <row r="30" spans="2:16" outlineLevel="1" x14ac:dyDescent="0.3">
      <c r="B30" s="3" t="s">
        <v>111</v>
      </c>
      <c r="E30" s="159"/>
      <c r="F30" s="159"/>
      <c r="G30" s="159"/>
      <c r="H30" s="159"/>
      <c r="I30" s="159"/>
      <c r="J30" s="159"/>
      <c r="K30" s="160">
        <f t="shared" si="20"/>
        <v>0</v>
      </c>
      <c r="L30" s="160">
        <f t="shared" si="20"/>
        <v>0</v>
      </c>
      <c r="M30" s="160">
        <f t="shared" si="20"/>
        <v>0</v>
      </c>
      <c r="N30" s="160">
        <f t="shared" si="20"/>
        <v>0</v>
      </c>
      <c r="O30" s="160">
        <f t="shared" si="20"/>
        <v>0</v>
      </c>
    </row>
    <row r="31" spans="2:16" outlineLevel="1" x14ac:dyDescent="0.3">
      <c r="B31" s="3"/>
      <c r="E31" s="159"/>
      <c r="F31" s="159"/>
      <c r="G31" s="159"/>
      <c r="H31" s="159"/>
      <c r="I31" s="159"/>
      <c r="J31" s="159"/>
      <c r="K31" s="160"/>
      <c r="L31" s="160"/>
      <c r="M31" s="160"/>
      <c r="N31" s="160"/>
      <c r="O31" s="160"/>
    </row>
    <row r="32" spans="2:16" outlineLevel="1" x14ac:dyDescent="0.3">
      <c r="B32" s="3" t="s">
        <v>11</v>
      </c>
      <c r="E32" s="159"/>
      <c r="F32" s="159"/>
      <c r="G32" s="159"/>
      <c r="H32" s="159"/>
      <c r="I32" s="159"/>
      <c r="J32" s="159"/>
      <c r="K32" s="160">
        <f>CHOOSE($C$3,K94,K150,K206)</f>
        <v>0</v>
      </c>
      <c r="L32" s="160">
        <f>CHOOSE($C$3,L94,L150,L206)</f>
        <v>0</v>
      </c>
      <c r="M32" s="160">
        <f>CHOOSE($C$3,M94,M150,M206)</f>
        <v>0</v>
      </c>
      <c r="N32" s="160">
        <f>CHOOSE($C$3,N94,N150,N206)</f>
        <v>0</v>
      </c>
      <c r="O32" s="160">
        <f>CHOOSE($C$3,O94,O150,O206)</f>
        <v>0</v>
      </c>
    </row>
    <row r="33" spans="2:15" outlineLevel="1" x14ac:dyDescent="0.3">
      <c r="B33" s="3" t="s">
        <v>112</v>
      </c>
      <c r="E33" s="159">
        <f t="shared" ref="E33:J33" si="27">E295/E247</f>
        <v>2.1224257612213363E-2</v>
      </c>
      <c r="F33" s="159">
        <f t="shared" si="27"/>
        <v>2.419904194670601E-2</v>
      </c>
      <c r="G33" s="159">
        <f t="shared" si="27"/>
        <v>2.0808218316808676E-2</v>
      </c>
      <c r="H33" s="159">
        <f t="shared" si="27"/>
        <v>2.0064514820149724E-2</v>
      </c>
      <c r="I33" s="159">
        <f t="shared" si="27"/>
        <v>2.1031347430763011E-2</v>
      </c>
      <c r="J33" s="159">
        <f t="shared" si="27"/>
        <v>2.1095298374825783E-2</v>
      </c>
      <c r="K33" s="160">
        <v>2.1000000000000001E-2</v>
      </c>
      <c r="L33" s="160">
        <v>2.1000000000000001E-2</v>
      </c>
      <c r="M33" s="160">
        <v>2.1000000000000001E-2</v>
      </c>
      <c r="N33" s="160">
        <v>2.1000000000000001E-2</v>
      </c>
      <c r="O33" s="160">
        <v>2.1000000000000001E-2</v>
      </c>
    </row>
    <row r="34" spans="2:15" outlineLevel="1" x14ac:dyDescent="0.3">
      <c r="B34" s="3" t="s">
        <v>113</v>
      </c>
      <c r="E34" s="159">
        <f t="shared" ref="E34:J34" si="28">E296/E247</f>
        <v>2.2984617986424469E-2</v>
      </c>
      <c r="F34" s="159">
        <f t="shared" si="28"/>
        <v>1.8199369797643115E-2</v>
      </c>
      <c r="G34" s="159">
        <f t="shared" si="28"/>
        <v>1.6401643444673156E-2</v>
      </c>
      <c r="H34" s="159">
        <f t="shared" si="28"/>
        <v>2.5313951837049362E-2</v>
      </c>
      <c r="I34" s="159">
        <f t="shared" si="28"/>
        <v>1.5615012327641311E-2</v>
      </c>
      <c r="J34" s="159">
        <f t="shared" si="28"/>
        <v>2.5488766990167121E-2</v>
      </c>
      <c r="K34" s="160">
        <f t="shared" ref="K34:O34" si="29">CHOOSE($C$3,K96,K152,K208)</f>
        <v>2.5000000000000001E-2</v>
      </c>
      <c r="L34" s="160">
        <f t="shared" si="29"/>
        <v>2.5000000000000001E-2</v>
      </c>
      <c r="M34" s="160">
        <f t="shared" si="29"/>
        <v>2.5000000000000001E-2</v>
      </c>
      <c r="N34" s="160">
        <f t="shared" si="29"/>
        <v>2.5000000000000001E-2</v>
      </c>
      <c r="O34" s="160">
        <f t="shared" si="29"/>
        <v>2.5000000000000001E-2</v>
      </c>
    </row>
    <row r="35" spans="2:15" outlineLevel="1" x14ac:dyDescent="0.3">
      <c r="B35" s="3" t="s">
        <v>114</v>
      </c>
      <c r="E35" s="159">
        <f t="shared" ref="E35:J35" si="30">(E297+E301)/E247</f>
        <v>0.39230284348166994</v>
      </c>
      <c r="F35" s="159">
        <f t="shared" si="30"/>
        <v>0.39138116314226912</v>
      </c>
      <c r="G35" s="159">
        <f t="shared" si="30"/>
        <v>0.32453111801802542</v>
      </c>
      <c r="H35" s="159">
        <f t="shared" si="30"/>
        <v>0.27917621878233351</v>
      </c>
      <c r="I35" s="159">
        <f t="shared" si="30"/>
        <v>0.2742163142309248</v>
      </c>
      <c r="J35" s="159">
        <f t="shared" si="30"/>
        <v>0.24719526385106191</v>
      </c>
      <c r="K35" s="160">
        <f t="shared" ref="K35:O36" si="31">CHOOSE($C$3,K97,K153,K209)</f>
        <v>0.24</v>
      </c>
      <c r="L35" s="160">
        <f t="shared" si="31"/>
        <v>0.24</v>
      </c>
      <c r="M35" s="160">
        <f t="shared" si="31"/>
        <v>0.24</v>
      </c>
      <c r="N35" s="160">
        <f t="shared" si="31"/>
        <v>0.24</v>
      </c>
      <c r="O35" s="160">
        <f t="shared" si="31"/>
        <v>0.24</v>
      </c>
    </row>
    <row r="36" spans="2:15" outlineLevel="1" x14ac:dyDescent="0.3">
      <c r="B36" s="3" t="s">
        <v>12</v>
      </c>
      <c r="E36" s="159"/>
      <c r="F36" s="159"/>
      <c r="G36" s="159"/>
      <c r="H36" s="159"/>
      <c r="I36" s="159"/>
      <c r="J36" s="159"/>
      <c r="K36" s="160">
        <f t="shared" si="31"/>
        <v>0</v>
      </c>
      <c r="L36" s="160">
        <f t="shared" si="31"/>
        <v>0</v>
      </c>
      <c r="M36" s="160">
        <f t="shared" si="31"/>
        <v>0</v>
      </c>
      <c r="N36" s="160">
        <f t="shared" si="31"/>
        <v>0</v>
      </c>
      <c r="O36" s="160">
        <f t="shared" si="31"/>
        <v>0</v>
      </c>
    </row>
    <row r="37" spans="2:15" outlineLevel="1" x14ac:dyDescent="0.3">
      <c r="K37" s="160"/>
      <c r="L37" s="160"/>
      <c r="M37" s="160"/>
      <c r="N37" s="160"/>
      <c r="O37" s="160"/>
    </row>
    <row r="38" spans="2:15" outlineLevel="1" x14ac:dyDescent="0.3">
      <c r="B38" s="11" t="s">
        <v>13</v>
      </c>
    </row>
    <row r="39" spans="2:15" outlineLevel="1" x14ac:dyDescent="0.3">
      <c r="B39" s="3" t="s">
        <v>277</v>
      </c>
      <c r="E39" s="159">
        <f t="shared" ref="E39:J39" si="32">E405/E247</f>
        <v>4.7929462590420259E-3</v>
      </c>
      <c r="F39" s="159">
        <f t="shared" si="32"/>
        <v>4.9396207857494122E-3</v>
      </c>
      <c r="G39" s="159">
        <f t="shared" si="32"/>
        <v>4.8767553175494849E-3</v>
      </c>
      <c r="H39" s="159">
        <f t="shared" si="32"/>
        <v>6.0964476273559064E-3</v>
      </c>
      <c r="I39" s="159">
        <f t="shared" si="32"/>
        <v>7.8766453161485585E-3</v>
      </c>
      <c r="J39" s="159">
        <f t="shared" si="32"/>
        <v>8.2984899049957164E-3</v>
      </c>
      <c r="K39" s="160">
        <f t="shared" ref="K39:O41" si="33">CHOOSE($C$3,K101,K157,K213)</f>
        <v>0.01</v>
      </c>
      <c r="L39" s="160">
        <f t="shared" si="33"/>
        <v>0.01</v>
      </c>
      <c r="M39" s="160">
        <f t="shared" si="33"/>
        <v>0.01</v>
      </c>
      <c r="N39" s="160">
        <f t="shared" si="33"/>
        <v>0.01</v>
      </c>
      <c r="O39" s="160">
        <f t="shared" si="33"/>
        <v>0.01</v>
      </c>
    </row>
    <row r="40" spans="2:15" outlineLevel="1" x14ac:dyDescent="0.3">
      <c r="B40" s="3" t="s">
        <v>206</v>
      </c>
      <c r="E40" s="159">
        <f t="shared" ref="E40:J40" si="34">E578/E247</f>
        <v>2.3807144449483807E-2</v>
      </c>
      <c r="F40" s="159">
        <f t="shared" si="34"/>
        <v>2.5408447625812798E-2</v>
      </c>
      <c r="G40" s="159">
        <f t="shared" si="34"/>
        <v>2.2164087508234991E-2</v>
      </c>
      <c r="H40" s="159">
        <f t="shared" si="34"/>
        <v>2.3533707979144267E-2</v>
      </c>
      <c r="I40" s="159">
        <f t="shared" si="34"/>
        <v>2.9059316174648107E-2</v>
      </c>
      <c r="J40" s="159">
        <f t="shared" si="34"/>
        <v>3.0774738834119707E-2</v>
      </c>
      <c r="K40" s="160">
        <f t="shared" si="33"/>
        <v>2.8000000000000001E-2</v>
      </c>
      <c r="L40" s="160">
        <f t="shared" si="33"/>
        <v>2.8000000000000001E-2</v>
      </c>
      <c r="M40" s="160">
        <f t="shared" si="33"/>
        <v>2.8000000000000001E-2</v>
      </c>
      <c r="N40" s="160">
        <f t="shared" si="33"/>
        <v>2.8000000000000001E-2</v>
      </c>
      <c r="O40" s="160">
        <f t="shared" si="33"/>
        <v>2.8000000000000001E-2</v>
      </c>
    </row>
    <row r="41" spans="2:15" outlineLevel="1" x14ac:dyDescent="0.3">
      <c r="B41" s="3" t="s">
        <v>207</v>
      </c>
      <c r="E41" s="159">
        <f t="shared" ref="E41:J41" si="35">E323/E259</f>
        <v>0.17607799895537113</v>
      </c>
      <c r="F41" s="159">
        <f t="shared" si="35"/>
        <v>0.17660597910416881</v>
      </c>
      <c r="G41" s="159">
        <f t="shared" si="35"/>
        <v>0.18014446191355071</v>
      </c>
      <c r="H41" s="159">
        <f t="shared" si="35"/>
        <v>0.17602492939916253</v>
      </c>
      <c r="I41" s="159">
        <f t="shared" si="35"/>
        <v>0.19751308184586214</v>
      </c>
      <c r="J41" s="159">
        <f t="shared" si="35"/>
        <v>0.20338629126281171</v>
      </c>
      <c r="K41" s="160">
        <f t="shared" si="33"/>
        <v>0.19500000000000001</v>
      </c>
      <c r="L41" s="160">
        <f t="shared" si="33"/>
        <v>0.19500000000000001</v>
      </c>
      <c r="M41" s="160">
        <f t="shared" si="33"/>
        <v>0.19500000000000001</v>
      </c>
      <c r="N41" s="160">
        <f t="shared" si="33"/>
        <v>0.19500000000000001</v>
      </c>
      <c r="O41" s="160">
        <f t="shared" si="33"/>
        <v>0.19500000000000001</v>
      </c>
    </row>
    <row r="42" spans="2:15" outlineLevel="1" x14ac:dyDescent="0.3">
      <c r="B42" s="3" t="s">
        <v>255</v>
      </c>
      <c r="E42" s="159"/>
      <c r="F42" s="159"/>
      <c r="G42" s="159"/>
      <c r="H42" s="159"/>
      <c r="I42" s="159"/>
      <c r="J42" s="159"/>
      <c r="K42" s="166">
        <v>0</v>
      </c>
      <c r="L42" s="166">
        <v>0</v>
      </c>
      <c r="M42" s="166">
        <v>0</v>
      </c>
      <c r="N42" s="166">
        <v>0</v>
      </c>
      <c r="O42" s="166">
        <v>0</v>
      </c>
    </row>
    <row r="43" spans="2:15" outlineLevel="1" x14ac:dyDescent="0.3">
      <c r="B43" s="3" t="s">
        <v>81</v>
      </c>
      <c r="E43" s="159"/>
      <c r="F43" s="159"/>
      <c r="G43" s="159"/>
      <c r="H43" s="159"/>
      <c r="I43" s="159"/>
      <c r="J43" s="159"/>
      <c r="K43" s="166">
        <f t="shared" ref="K43:O44" si="36">CHOOSE($C$3,K105,K161,K217)</f>
        <v>-1000</v>
      </c>
      <c r="L43" s="166">
        <f t="shared" si="36"/>
        <v>-1000</v>
      </c>
      <c r="M43" s="166">
        <f t="shared" si="36"/>
        <v>-1000</v>
      </c>
      <c r="N43" s="166">
        <f t="shared" si="36"/>
        <v>-1000</v>
      </c>
      <c r="O43" s="166">
        <f t="shared" si="36"/>
        <v>-1000</v>
      </c>
    </row>
    <row r="44" spans="2:15" outlineLevel="1" x14ac:dyDescent="0.3">
      <c r="B44" s="3" t="s">
        <v>82</v>
      </c>
      <c r="E44" s="159">
        <f t="shared" ref="E44:J44" si="37">E330/E247</f>
        <v>3.3554467394897262E-3</v>
      </c>
      <c r="F44" s="159">
        <f t="shared" si="37"/>
        <v>-3.4927053166493631E-2</v>
      </c>
      <c r="G44" s="159">
        <f t="shared" si="37"/>
        <v>-2.1983669430343588E-2</v>
      </c>
      <c r="H44" s="159">
        <f t="shared" si="37"/>
        <v>-1.6481203465135624E-2</v>
      </c>
      <c r="I44" s="159">
        <f t="shared" si="37"/>
        <v>-1.4829695918180988E-2</v>
      </c>
      <c r="J44" s="159">
        <f t="shared" si="37"/>
        <v>-2.9999872134207937E-2</v>
      </c>
      <c r="K44" s="160">
        <f t="shared" si="36"/>
        <v>-0.02</v>
      </c>
      <c r="L44" s="160">
        <f t="shared" si="36"/>
        <v>-0.02</v>
      </c>
      <c r="M44" s="160">
        <f t="shared" si="36"/>
        <v>-0.02</v>
      </c>
      <c r="N44" s="160">
        <f t="shared" si="36"/>
        <v>-0.02</v>
      </c>
      <c r="O44" s="160">
        <f t="shared" si="36"/>
        <v>-0.02</v>
      </c>
    </row>
    <row r="45" spans="2:15" outlineLevel="1" x14ac:dyDescent="0.3">
      <c r="B45" s="3" t="s">
        <v>112</v>
      </c>
      <c r="E45" s="159"/>
      <c r="F45" s="159"/>
      <c r="G45" s="159"/>
      <c r="H45" s="159"/>
      <c r="I45" s="159"/>
      <c r="J45" s="159"/>
      <c r="K45" s="166">
        <v>0</v>
      </c>
      <c r="L45" s="166">
        <v>0</v>
      </c>
      <c r="M45" s="166">
        <v>0</v>
      </c>
      <c r="N45" s="166">
        <v>0</v>
      </c>
      <c r="O45" s="166">
        <v>0</v>
      </c>
    </row>
    <row r="46" spans="2:15" outlineLevel="1" x14ac:dyDescent="0.3">
      <c r="B46" s="3" t="s">
        <v>83</v>
      </c>
      <c r="E46" s="159"/>
      <c r="F46" s="159"/>
      <c r="G46" s="159"/>
      <c r="H46" s="159"/>
      <c r="I46" s="159"/>
      <c r="J46" s="159"/>
      <c r="K46" s="160"/>
      <c r="L46" s="160"/>
      <c r="M46" s="160"/>
      <c r="N46" s="160"/>
      <c r="O46" s="160"/>
    </row>
    <row r="47" spans="2:15" outlineLevel="1" x14ac:dyDescent="0.3">
      <c r="B47" s="3"/>
      <c r="K47" s="160"/>
      <c r="L47" s="160"/>
      <c r="M47" s="160"/>
      <c r="N47" s="160"/>
      <c r="O47" s="160"/>
    </row>
    <row r="48" spans="2:15" outlineLevel="1" x14ac:dyDescent="0.3">
      <c r="B48" s="3" t="s">
        <v>188</v>
      </c>
      <c r="E48" s="159">
        <f t="shared" ref="E48:J48" si="38">E348/E247</f>
        <v>3.0018372320062725E-3</v>
      </c>
      <c r="F48" s="159">
        <f t="shared" si="38"/>
        <v>3.2056536072710053E-3</v>
      </c>
      <c r="G48" s="159">
        <f t="shared" si="38"/>
        <v>3.0206360010606396E-3</v>
      </c>
      <c r="H48" s="159">
        <f t="shared" si="38"/>
        <v>0</v>
      </c>
      <c r="I48" s="159">
        <f t="shared" si="38"/>
        <v>0</v>
      </c>
      <c r="J48" s="159">
        <f t="shared" si="38"/>
        <v>0</v>
      </c>
      <c r="K48" s="160">
        <f t="shared" ref="K48:O54" si="39">CHOOSE($C$3,K110,K166,K222)</f>
        <v>0</v>
      </c>
      <c r="L48" s="160">
        <f t="shared" si="39"/>
        <v>0</v>
      </c>
      <c r="M48" s="160">
        <f t="shared" si="39"/>
        <v>0</v>
      </c>
      <c r="N48" s="160">
        <f t="shared" si="39"/>
        <v>0</v>
      </c>
      <c r="O48" s="160">
        <f t="shared" si="39"/>
        <v>0</v>
      </c>
    </row>
    <row r="49" spans="2:15" outlineLevel="1" x14ac:dyDescent="0.3">
      <c r="B49" s="3" t="s">
        <v>210</v>
      </c>
      <c r="E49" s="159">
        <f>-E349/E323</f>
        <v>0.46423862887277523</v>
      </c>
      <c r="F49" s="159">
        <f t="shared" ref="F49:J49" si="40">-F349/F323</f>
        <v>0.53214233416312784</v>
      </c>
      <c r="G49" s="159">
        <f t="shared" si="40"/>
        <v>0.82924361244624334</v>
      </c>
      <c r="H49" s="159">
        <f t="shared" si="40"/>
        <v>0.68853728701040051</v>
      </c>
      <c r="I49" s="159">
        <f t="shared" si="40"/>
        <v>0.50133850272316072</v>
      </c>
      <c r="J49" s="159">
        <f t="shared" si="40"/>
        <v>0.4655201916495551</v>
      </c>
      <c r="K49" s="160">
        <f t="shared" si="39"/>
        <v>0.5</v>
      </c>
      <c r="L49" s="160">
        <f t="shared" si="39"/>
        <v>0.5</v>
      </c>
      <c r="M49" s="160">
        <f t="shared" si="39"/>
        <v>0.5</v>
      </c>
      <c r="N49" s="160">
        <f t="shared" si="39"/>
        <v>0.5</v>
      </c>
      <c r="O49" s="160">
        <f t="shared" si="39"/>
        <v>0.5</v>
      </c>
    </row>
    <row r="50" spans="2:15" outlineLevel="1" x14ac:dyDescent="0.3">
      <c r="B50" s="3" t="s">
        <v>219</v>
      </c>
      <c r="E50" s="159">
        <f t="shared" ref="E50:J50" si="41">-E350/E267</f>
        <v>0.25551976255972203</v>
      </c>
      <c r="F50" s="159">
        <f t="shared" si="41"/>
        <v>0.24526658654264863</v>
      </c>
      <c r="G50" s="159">
        <f t="shared" si="41"/>
        <v>0.15279890156316012</v>
      </c>
      <c r="H50" s="159">
        <f t="shared" si="41"/>
        <v>0.14870294480125848</v>
      </c>
      <c r="I50" s="159">
        <f t="shared" si="41"/>
        <v>0.1549048920047425</v>
      </c>
      <c r="J50" s="159">
        <f t="shared" si="41"/>
        <v>0.16252026969360758</v>
      </c>
      <c r="K50" s="160">
        <f t="shared" si="39"/>
        <v>0.155</v>
      </c>
      <c r="L50" s="160">
        <f t="shared" si="39"/>
        <v>0.155</v>
      </c>
      <c r="M50" s="160">
        <f t="shared" si="39"/>
        <v>0.155</v>
      </c>
      <c r="N50" s="160">
        <f t="shared" si="39"/>
        <v>0.155</v>
      </c>
      <c r="O50" s="160">
        <f t="shared" si="39"/>
        <v>0.155</v>
      </c>
    </row>
    <row r="51" spans="2:15" outlineLevel="1" x14ac:dyDescent="0.3">
      <c r="B51" s="3" t="s">
        <v>216</v>
      </c>
      <c r="E51" s="159">
        <f t="shared" ref="E51:J51" si="42">-E351/E247</f>
        <v>0.25712407850131064</v>
      </c>
      <c r="F51" s="159">
        <f t="shared" si="42"/>
        <v>0.2635848678578584</v>
      </c>
      <c r="G51" s="159">
        <f t="shared" si="42"/>
        <v>0.23501094809699932</v>
      </c>
      <c r="H51" s="159">
        <f t="shared" si="42"/>
        <v>0.22671988801201032</v>
      </c>
      <c r="I51" s="159">
        <f t="shared" si="42"/>
        <v>0.2023298589822195</v>
      </c>
      <c r="J51" s="159">
        <f t="shared" si="42"/>
        <v>0.24281458181492704</v>
      </c>
      <c r="K51" s="160">
        <f t="shared" si="39"/>
        <v>0.23</v>
      </c>
      <c r="L51" s="160">
        <f t="shared" si="39"/>
        <v>0.23</v>
      </c>
      <c r="M51" s="160">
        <f t="shared" si="39"/>
        <v>0.23</v>
      </c>
      <c r="N51" s="160">
        <f t="shared" si="39"/>
        <v>0.23</v>
      </c>
      <c r="O51" s="160">
        <f t="shared" si="39"/>
        <v>0.23</v>
      </c>
    </row>
    <row r="52" spans="2:15" outlineLevel="1" x14ac:dyDescent="0.3">
      <c r="B52" s="3" t="s">
        <v>93</v>
      </c>
      <c r="E52" s="159">
        <f t="shared" ref="E52:J52" si="43">E352/E247</f>
        <v>2.6762858702253107E-2</v>
      </c>
      <c r="F52" s="159">
        <f t="shared" si="43"/>
        <v>5.8616104766588344E-2</v>
      </c>
      <c r="G52" s="159">
        <f t="shared" si="43"/>
        <v>5.5746452461203279E-2</v>
      </c>
      <c r="H52" s="159">
        <f t="shared" si="43"/>
        <v>1.385902091659735E-2</v>
      </c>
      <c r="I52" s="159">
        <f t="shared" si="43"/>
        <v>1.363998069321784E-2</v>
      </c>
      <c r="J52" s="159">
        <f t="shared" si="43"/>
        <v>0</v>
      </c>
      <c r="K52" s="160">
        <f t="shared" si="39"/>
        <v>1.4999999999999999E-2</v>
      </c>
      <c r="L52" s="160">
        <f t="shared" si="39"/>
        <v>1.4999999999999999E-2</v>
      </c>
      <c r="M52" s="160">
        <f t="shared" si="39"/>
        <v>1.4999999999999999E-2</v>
      </c>
      <c r="N52" s="160">
        <f t="shared" si="39"/>
        <v>1.4999999999999999E-2</v>
      </c>
      <c r="O52" s="160">
        <f t="shared" si="39"/>
        <v>1.4999999999999999E-2</v>
      </c>
    </row>
    <row r="53" spans="2:15" outlineLevel="1" x14ac:dyDescent="0.3">
      <c r="B53" s="3" t="s">
        <v>94</v>
      </c>
      <c r="E53" s="159">
        <f t="shared" ref="E53:J53" si="44">-E353/E247</f>
        <v>3.3842736015128334E-2</v>
      </c>
      <c r="F53" s="159">
        <f t="shared" si="44"/>
        <v>4.6004772052529008E-2</v>
      </c>
      <c r="G53" s="159">
        <f t="shared" si="44"/>
        <v>2.3919063356815019E-2</v>
      </c>
      <c r="H53" s="159">
        <f t="shared" si="44"/>
        <v>2.4200665435880789E-2</v>
      </c>
      <c r="I53" s="159">
        <f t="shared" si="44"/>
        <v>2.9093233494658022E-2</v>
      </c>
      <c r="J53" s="159">
        <f t="shared" si="44"/>
        <v>2.5465751147595483E-2</v>
      </c>
      <c r="K53" s="160">
        <f t="shared" si="39"/>
        <v>1.7000000000000001E-2</v>
      </c>
      <c r="L53" s="160">
        <f t="shared" si="39"/>
        <v>1.7000000000000001E-2</v>
      </c>
      <c r="M53" s="160">
        <f t="shared" si="39"/>
        <v>1.7000000000000001E-2</v>
      </c>
      <c r="N53" s="160">
        <f t="shared" si="39"/>
        <v>1.7000000000000001E-2</v>
      </c>
      <c r="O53" s="160">
        <f t="shared" si="39"/>
        <v>1.7000000000000001E-2</v>
      </c>
    </row>
    <row r="54" spans="2:15" outlineLevel="1" x14ac:dyDescent="0.3">
      <c r="B54" s="3" t="s">
        <v>95</v>
      </c>
      <c r="E54" s="159"/>
      <c r="F54" s="159"/>
      <c r="G54" s="159"/>
      <c r="H54" s="159"/>
      <c r="I54" s="159"/>
      <c r="J54" s="159"/>
      <c r="K54" s="160">
        <f t="shared" si="39"/>
        <v>0</v>
      </c>
      <c r="L54" s="160">
        <f t="shared" si="39"/>
        <v>0</v>
      </c>
      <c r="M54" s="160">
        <f t="shared" si="39"/>
        <v>0</v>
      </c>
      <c r="N54" s="160">
        <f t="shared" si="39"/>
        <v>0</v>
      </c>
      <c r="O54" s="160">
        <f t="shared" si="39"/>
        <v>0</v>
      </c>
    </row>
    <row r="55" spans="2:15" outlineLevel="1" x14ac:dyDescent="0.3">
      <c r="B55" s="3" t="s">
        <v>81</v>
      </c>
      <c r="E55" s="159"/>
      <c r="F55" s="159"/>
      <c r="G55" s="159"/>
      <c r="H55" s="159"/>
      <c r="I55" s="159"/>
      <c r="J55" s="159"/>
      <c r="K55" s="166">
        <f>CHOOSE($C$3,K117,K173,K238)</f>
        <v>-300</v>
      </c>
      <c r="L55" s="166">
        <f>CHOOSE($C$3,L117,L173,L238)</f>
        <v>-300</v>
      </c>
      <c r="M55" s="166">
        <f>CHOOSE($C$3,M117,M173,M238)</f>
        <v>-300</v>
      </c>
      <c r="N55" s="166">
        <f>CHOOSE($C$3,N117,N173,N238)</f>
        <v>-300</v>
      </c>
      <c r="O55" s="166">
        <f>CHOOSE($C$3,O117,O173,O238)</f>
        <v>-300</v>
      </c>
    </row>
    <row r="56" spans="2:15" outlineLevel="1" x14ac:dyDescent="0.3">
      <c r="B56" s="3"/>
      <c r="E56" s="159"/>
      <c r="F56" s="159"/>
      <c r="G56" s="159"/>
      <c r="H56" s="159"/>
      <c r="I56" s="159"/>
      <c r="J56" s="159"/>
      <c r="K56" s="160"/>
      <c r="L56" s="160"/>
      <c r="M56" s="160"/>
      <c r="N56" s="160"/>
      <c r="O56" s="160"/>
    </row>
    <row r="57" spans="2:15" outlineLevel="1" x14ac:dyDescent="0.3">
      <c r="B57" s="11" t="s">
        <v>217</v>
      </c>
      <c r="E57" s="159"/>
      <c r="F57" s="159"/>
      <c r="G57" s="159"/>
      <c r="H57" s="159"/>
      <c r="I57" s="159"/>
      <c r="J57" s="159"/>
      <c r="K57" s="160"/>
      <c r="L57" s="160"/>
      <c r="M57" s="160"/>
      <c r="N57" s="160"/>
      <c r="O57" s="160"/>
    </row>
    <row r="58" spans="2:15" outlineLevel="1" x14ac:dyDescent="0.3">
      <c r="B58" s="3" t="s">
        <v>212</v>
      </c>
      <c r="E58" s="159">
        <f t="shared" ref="E58:J58" si="45">-E581/E579</f>
        <v>0.32992748846407383</v>
      </c>
      <c r="F58" s="159">
        <f t="shared" si="45"/>
        <v>0.32947722946258601</v>
      </c>
      <c r="G58" s="159">
        <f t="shared" si="45"/>
        <v>0.33227928155831016</v>
      </c>
      <c r="H58" s="159">
        <f t="shared" si="45"/>
        <v>0.32872316884266428</v>
      </c>
      <c r="I58" s="159">
        <f t="shared" si="45"/>
        <v>0.32502538539647374</v>
      </c>
      <c r="J58" s="159">
        <f t="shared" si="45"/>
        <v>0.34163244353182753</v>
      </c>
      <c r="K58" s="160">
        <f t="shared" ref="K58:O63" si="46">CHOOSE($C$3,K120,K176,K232)</f>
        <v>0.33</v>
      </c>
      <c r="L58" s="160">
        <f t="shared" si="46"/>
        <v>0.33</v>
      </c>
      <c r="M58" s="160">
        <f t="shared" si="46"/>
        <v>0.33</v>
      </c>
      <c r="N58" s="160">
        <f t="shared" si="46"/>
        <v>0.33</v>
      </c>
      <c r="O58" s="160">
        <f t="shared" si="46"/>
        <v>0.33</v>
      </c>
    </row>
    <row r="59" spans="2:15" outlineLevel="1" x14ac:dyDescent="0.3">
      <c r="B59" s="3" t="s">
        <v>213</v>
      </c>
      <c r="E59" s="159">
        <f t="shared" ref="E59:J59" si="47">-E583/E579</f>
        <v>0.16957811470006592</v>
      </c>
      <c r="F59" s="159">
        <f t="shared" si="47"/>
        <v>0.23488065602577243</v>
      </c>
      <c r="G59" s="159">
        <f t="shared" si="47"/>
        <v>0.52504427017455102</v>
      </c>
      <c r="H59" s="159">
        <f t="shared" si="47"/>
        <v>0.38216419561849968</v>
      </c>
      <c r="I59" s="159">
        <f t="shared" si="47"/>
        <v>0.19375980799409212</v>
      </c>
      <c r="J59" s="159">
        <f t="shared" si="47"/>
        <v>0.13791923340177961</v>
      </c>
      <c r="K59" s="160">
        <f t="shared" si="46"/>
        <v>0.13800000000000001</v>
      </c>
      <c r="L59" s="160">
        <f t="shared" si="46"/>
        <v>0.13800000000000001</v>
      </c>
      <c r="M59" s="160">
        <f t="shared" si="46"/>
        <v>0.13500000000000001</v>
      </c>
      <c r="N59" s="160">
        <f t="shared" si="46"/>
        <v>0.13500000000000001</v>
      </c>
      <c r="O59" s="160">
        <f t="shared" si="46"/>
        <v>0.13500000000000001</v>
      </c>
    </row>
    <row r="60" spans="2:15" outlineLevel="1" x14ac:dyDescent="0.3">
      <c r="B60" s="3" t="s">
        <v>211</v>
      </c>
      <c r="E60" s="159">
        <f t="shared" ref="E60:J60" si="48">E587/E578</f>
        <v>0.12608976428802066</v>
      </c>
      <c r="F60" s="159">
        <f t="shared" si="48"/>
        <v>0.12616487455197134</v>
      </c>
      <c r="G60" s="159">
        <f t="shared" si="48"/>
        <v>0.13628515046867293</v>
      </c>
      <c r="H60" s="159">
        <f t="shared" si="48"/>
        <v>0.12661637931034483</v>
      </c>
      <c r="I60" s="159">
        <f t="shared" si="48"/>
        <v>0.12084754893158556</v>
      </c>
      <c r="J60" s="159">
        <f t="shared" si="48"/>
        <v>0.11824829649326907</v>
      </c>
      <c r="K60" s="160">
        <f t="shared" si="46"/>
        <v>0.122</v>
      </c>
      <c r="L60" s="160">
        <f t="shared" si="46"/>
        <v>0.122</v>
      </c>
      <c r="M60" s="160">
        <f t="shared" si="46"/>
        <v>0.12</v>
      </c>
      <c r="N60" s="160">
        <f t="shared" si="46"/>
        <v>0.12</v>
      </c>
      <c r="O60" s="160">
        <f t="shared" si="46"/>
        <v>0.12</v>
      </c>
    </row>
    <row r="61" spans="2:15" outlineLevel="1" x14ac:dyDescent="0.3">
      <c r="B61" s="3" t="s">
        <v>218</v>
      </c>
      <c r="E61" s="159">
        <f t="shared" ref="E61:J61" si="49">-E595/E267</f>
        <v>0.25570073838135227</v>
      </c>
      <c r="F61" s="159">
        <f t="shared" si="49"/>
        <v>0.2453710961314034</v>
      </c>
      <c r="G61" s="159">
        <f t="shared" si="49"/>
        <v>0.15241867342627799</v>
      </c>
      <c r="H61" s="159">
        <f t="shared" si="49"/>
        <v>0.14822199733474944</v>
      </c>
      <c r="I61" s="159">
        <f t="shared" si="49"/>
        <v>0.15460590752100623</v>
      </c>
      <c r="J61" s="159">
        <f t="shared" si="49"/>
        <v>0.16234957753691218</v>
      </c>
      <c r="K61" s="160">
        <f t="shared" si="46"/>
        <v>0.14699999999999999</v>
      </c>
      <c r="L61" s="160">
        <f t="shared" si="46"/>
        <v>0.14699999999999999</v>
      </c>
      <c r="M61" s="160">
        <f t="shared" si="46"/>
        <v>0.14699999999999999</v>
      </c>
      <c r="N61" s="160">
        <f t="shared" si="46"/>
        <v>0.14699999999999999</v>
      </c>
      <c r="O61" s="160">
        <f t="shared" si="46"/>
        <v>0.14699999999999999</v>
      </c>
    </row>
    <row r="62" spans="2:15" outlineLevel="1" x14ac:dyDescent="0.3">
      <c r="B62" s="3" t="s">
        <v>214</v>
      </c>
      <c r="E62" s="159">
        <f t="shared" ref="E62:J62" si="50">-E597/E546</f>
        <v>0.25790816914833919</v>
      </c>
      <c r="F62" s="159">
        <f t="shared" si="50"/>
        <v>0.26416042839189113</v>
      </c>
      <c r="G62" s="159">
        <f t="shared" si="50"/>
        <v>0.23372888630107402</v>
      </c>
      <c r="H62" s="159">
        <f t="shared" si="50"/>
        <v>0.22870808058266215</v>
      </c>
      <c r="I62" s="159">
        <f t="shared" si="50"/>
        <v>0.20101491057568127</v>
      </c>
      <c r="J62" s="159">
        <f t="shared" si="50"/>
        <v>0.24510849412456687</v>
      </c>
      <c r="K62" s="160">
        <f t="shared" si="46"/>
        <v>0.2</v>
      </c>
      <c r="L62" s="160">
        <f t="shared" si="46"/>
        <v>0.2</v>
      </c>
      <c r="M62" s="160">
        <f t="shared" si="46"/>
        <v>0.2</v>
      </c>
      <c r="N62" s="160">
        <f t="shared" si="46"/>
        <v>0.2</v>
      </c>
      <c r="O62" s="160">
        <f t="shared" si="46"/>
        <v>0.2</v>
      </c>
    </row>
    <row r="63" spans="2:15" outlineLevel="1" x14ac:dyDescent="0.3">
      <c r="B63" s="3" t="s">
        <v>200</v>
      </c>
      <c r="E63" s="159"/>
      <c r="F63" s="159"/>
      <c r="G63" s="159"/>
      <c r="H63" s="159"/>
      <c r="I63" s="159"/>
      <c r="J63" s="159"/>
      <c r="K63" s="166">
        <f t="shared" si="46"/>
        <v>762</v>
      </c>
      <c r="L63" s="166">
        <f t="shared" si="46"/>
        <v>762</v>
      </c>
      <c r="M63" s="166">
        <f t="shared" si="46"/>
        <v>762</v>
      </c>
      <c r="N63" s="166">
        <f t="shared" si="46"/>
        <v>762</v>
      </c>
      <c r="O63" s="166">
        <f t="shared" si="46"/>
        <v>762</v>
      </c>
    </row>
    <row r="65" spans="2:16" x14ac:dyDescent="0.3">
      <c r="B65" s="278" t="s">
        <v>117</v>
      </c>
      <c r="C65" s="74"/>
      <c r="D65" s="74"/>
      <c r="E65" s="74"/>
      <c r="F65" s="74"/>
      <c r="G65" s="74"/>
      <c r="H65" s="74"/>
      <c r="I65" s="74"/>
      <c r="J65" s="74"/>
      <c r="K65" s="74"/>
      <c r="L65" s="74"/>
      <c r="M65" s="74"/>
      <c r="N65" s="74"/>
      <c r="O65" s="74"/>
    </row>
    <row r="66" spans="2:16" outlineLevel="1" x14ac:dyDescent="0.3"/>
    <row r="67" spans="2:16" ht="15" outlineLevel="1" thickBot="1" x14ac:dyDescent="0.35">
      <c r="B67" s="72" t="s">
        <v>127</v>
      </c>
      <c r="E67" s="78">
        <v>2019</v>
      </c>
      <c r="F67" s="78">
        <f>E67+1</f>
        <v>2020</v>
      </c>
      <c r="G67" s="78">
        <f t="shared" ref="G67:O67" si="51">F67+1</f>
        <v>2021</v>
      </c>
      <c r="H67" s="78">
        <f t="shared" si="51"/>
        <v>2022</v>
      </c>
      <c r="I67" s="78">
        <f t="shared" si="51"/>
        <v>2023</v>
      </c>
      <c r="J67" s="78">
        <f t="shared" si="51"/>
        <v>2024</v>
      </c>
      <c r="K67" s="131">
        <f t="shared" si="51"/>
        <v>2025</v>
      </c>
      <c r="L67" s="131">
        <f t="shared" si="51"/>
        <v>2026</v>
      </c>
      <c r="M67" s="131">
        <f t="shared" si="51"/>
        <v>2027</v>
      </c>
      <c r="N67" s="131">
        <f t="shared" si="51"/>
        <v>2028</v>
      </c>
      <c r="O67" s="131">
        <f t="shared" si="51"/>
        <v>2029</v>
      </c>
    </row>
    <row r="68" spans="2:16" outlineLevel="1" x14ac:dyDescent="0.3">
      <c r="E68" s="156"/>
      <c r="F68" s="156"/>
      <c r="G68" s="156"/>
      <c r="H68" s="156"/>
      <c r="I68" s="156"/>
      <c r="J68" s="157"/>
      <c r="K68" s="157"/>
      <c r="L68" s="157"/>
      <c r="M68" s="157"/>
      <c r="N68" s="157"/>
      <c r="O68" s="157"/>
    </row>
    <row r="69" spans="2:16" outlineLevel="1" x14ac:dyDescent="0.3">
      <c r="B69" s="11" t="s">
        <v>7</v>
      </c>
      <c r="C69" s="11"/>
      <c r="E69" s="158">
        <v>365</v>
      </c>
      <c r="F69" s="158">
        <v>365</v>
      </c>
      <c r="G69" s="158">
        <v>365</v>
      </c>
      <c r="H69" s="158">
        <v>365</v>
      </c>
      <c r="I69" s="158">
        <v>365</v>
      </c>
      <c r="J69" s="158">
        <v>365</v>
      </c>
      <c r="K69" s="158">
        <v>365</v>
      </c>
      <c r="L69" s="158">
        <v>365</v>
      </c>
      <c r="M69" s="158">
        <v>365</v>
      </c>
      <c r="N69" s="158">
        <v>365</v>
      </c>
      <c r="O69" s="158">
        <v>365</v>
      </c>
    </row>
    <row r="70" spans="2:16" outlineLevel="1" x14ac:dyDescent="0.3">
      <c r="E70" s="156"/>
      <c r="F70" s="156"/>
      <c r="G70" s="156"/>
      <c r="H70" s="156"/>
      <c r="I70" s="156"/>
      <c r="J70" s="157"/>
      <c r="K70" s="157"/>
      <c r="L70" s="157"/>
      <c r="M70" s="157"/>
      <c r="N70" s="157"/>
      <c r="O70" s="157"/>
    </row>
    <row r="71" spans="2:16" outlineLevel="1" x14ac:dyDescent="0.3">
      <c r="B71" s="279" t="s">
        <v>118</v>
      </c>
      <c r="C71" s="279"/>
      <c r="D71" s="279"/>
      <c r="E71" s="279"/>
      <c r="F71" s="279"/>
      <c r="G71" s="279"/>
      <c r="H71" s="279"/>
      <c r="I71" s="279"/>
      <c r="J71" s="279"/>
      <c r="K71" s="279"/>
      <c r="L71" s="279"/>
      <c r="M71" s="279"/>
      <c r="N71" s="279"/>
      <c r="O71" s="279"/>
    </row>
    <row r="72" spans="2:16" outlineLevel="1" x14ac:dyDescent="0.3">
      <c r="E72" s="156"/>
      <c r="F72" s="156"/>
      <c r="G72" s="156"/>
      <c r="H72" s="156"/>
      <c r="I72" s="156"/>
      <c r="J72" s="157"/>
      <c r="K72" s="157"/>
      <c r="L72" s="157"/>
      <c r="M72" s="157"/>
      <c r="N72" s="157"/>
      <c r="O72" s="157"/>
    </row>
    <row r="73" spans="2:16" outlineLevel="1" x14ac:dyDescent="0.3">
      <c r="B73" s="11" t="s">
        <v>8</v>
      </c>
      <c r="C73" s="11"/>
      <c r="K73" s="157"/>
      <c r="L73" s="157"/>
      <c r="M73" s="157"/>
      <c r="N73" s="157"/>
      <c r="O73" s="157"/>
    </row>
    <row r="74" spans="2:16" outlineLevel="1" x14ac:dyDescent="0.3">
      <c r="B74" s="3" t="s">
        <v>122</v>
      </c>
      <c r="C74" s="3"/>
      <c r="E74" s="159">
        <f t="shared" ref="E74:J81" si="52">E12</f>
        <v>-5.2973915969660834E-2</v>
      </c>
      <c r="F74" s="159">
        <f t="shared" si="52"/>
        <v>3.2092312151970948E-2</v>
      </c>
      <c r="G74" s="159">
        <f t="shared" si="52"/>
        <v>0.34720743656765429</v>
      </c>
      <c r="H74" s="159">
        <f t="shared" si="52"/>
        <v>6.3239764351428418E-2</v>
      </c>
      <c r="I74" s="159">
        <f t="shared" si="52"/>
        <v>-5.7286708686618226E-2</v>
      </c>
      <c r="J74" s="159">
        <f t="shared" si="52"/>
        <v>-1.0798933190197424E-2</v>
      </c>
      <c r="K74" s="160">
        <v>5.0000000000000001E-3</v>
      </c>
      <c r="L74" s="160">
        <v>5.0000000000000001E-3</v>
      </c>
      <c r="M74" s="160">
        <v>5.0000000000000001E-3</v>
      </c>
      <c r="N74" s="160">
        <v>5.0000000000000001E-3</v>
      </c>
      <c r="O74" s="160">
        <v>5.0000000000000001E-3</v>
      </c>
    </row>
    <row r="75" spans="2:16" outlineLevel="1" x14ac:dyDescent="0.3">
      <c r="B75" s="3" t="s">
        <v>123</v>
      </c>
      <c r="C75" s="3"/>
      <c r="E75" s="159">
        <f t="shared" si="52"/>
        <v>0.16461205595250084</v>
      </c>
      <c r="F75" s="159">
        <f t="shared" si="52"/>
        <v>0.16152167807997242</v>
      </c>
      <c r="G75" s="159">
        <f t="shared" si="52"/>
        <v>0.27259708376729663</v>
      </c>
      <c r="H75" s="159">
        <f t="shared" si="52"/>
        <v>0.14181951041286078</v>
      </c>
      <c r="I75" s="159">
        <f t="shared" si="52"/>
        <v>9.0504166186691215E-2</v>
      </c>
      <c r="J75" s="159">
        <f t="shared" si="52"/>
        <v>0.12874413145539898</v>
      </c>
      <c r="K75" s="160">
        <v>7.4999999999999997E-2</v>
      </c>
      <c r="L75" s="160">
        <v>7.4999999999999997E-2</v>
      </c>
      <c r="M75" s="160">
        <v>7.4999999999999997E-2</v>
      </c>
      <c r="N75" s="160">
        <v>7.4999999999999997E-2</v>
      </c>
      <c r="O75" s="160">
        <v>7.4999999999999997E-2</v>
      </c>
    </row>
    <row r="76" spans="2:16" outlineLevel="1" x14ac:dyDescent="0.3">
      <c r="B76" s="3" t="s">
        <v>124</v>
      </c>
      <c r="C76" s="3"/>
      <c r="E76" s="159">
        <f t="shared" si="52"/>
        <v>0.67792204148997348</v>
      </c>
      <c r="F76" s="159">
        <f t="shared" si="52"/>
        <v>0.68533660706600774</v>
      </c>
      <c r="G76" s="159">
        <f t="shared" si="52"/>
        <v>0.64650696723516432</v>
      </c>
      <c r="H76" s="159">
        <f t="shared" si="52"/>
        <v>0.63716520292600543</v>
      </c>
      <c r="I76" s="159">
        <f t="shared" si="52"/>
        <v>0.63499337437308145</v>
      </c>
      <c r="J76" s="159">
        <f t="shared" si="52"/>
        <v>0.62819382363514276</v>
      </c>
      <c r="K76" s="160">
        <v>0.628</v>
      </c>
      <c r="L76" s="160">
        <v>0.628</v>
      </c>
      <c r="M76" s="160">
        <v>0.628</v>
      </c>
      <c r="N76" s="160">
        <v>0.628</v>
      </c>
      <c r="O76" s="160">
        <v>0.628</v>
      </c>
    </row>
    <row r="77" spans="2:16" outlineLevel="1" x14ac:dyDescent="0.3">
      <c r="B77" s="3" t="s">
        <v>125</v>
      </c>
      <c r="C77" s="3"/>
      <c r="E77" s="159">
        <f t="shared" si="52"/>
        <v>0.36261908362316647</v>
      </c>
      <c r="F77" s="159">
        <f t="shared" si="52"/>
        <v>0.33984898080642761</v>
      </c>
      <c r="G77" s="159">
        <f t="shared" si="52"/>
        <v>0.30274022652539279</v>
      </c>
      <c r="H77" s="159">
        <f t="shared" si="52"/>
        <v>0.28254553366867619</v>
      </c>
      <c r="I77" s="159">
        <f t="shared" si="52"/>
        <v>0.29172535211267608</v>
      </c>
      <c r="J77" s="159">
        <f t="shared" si="52"/>
        <v>0.2611964354417744</v>
      </c>
      <c r="K77" s="160">
        <v>0.26500000000000001</v>
      </c>
      <c r="L77" s="160">
        <v>0.26500000000000001</v>
      </c>
      <c r="M77" s="160">
        <v>0.26500000000000001</v>
      </c>
      <c r="N77" s="160">
        <v>0.26500000000000001</v>
      </c>
      <c r="O77" s="160">
        <v>0.26500000000000001</v>
      </c>
    </row>
    <row r="78" spans="2:16" outlineLevel="1" x14ac:dyDescent="0.3">
      <c r="B78" s="3" t="s">
        <v>106</v>
      </c>
      <c r="C78" s="3"/>
      <c r="E78" s="159">
        <f t="shared" si="52"/>
        <v>6.233136285716482E-2</v>
      </c>
      <c r="F78" s="159">
        <f t="shared" si="52"/>
        <v>6.8309564140393061E-2</v>
      </c>
      <c r="G78" s="159">
        <f t="shared" si="52"/>
        <v>5.9904269074427925E-2</v>
      </c>
      <c r="H78" s="159">
        <f t="shared" si="52"/>
        <v>6.657148363798665E-2</v>
      </c>
      <c r="I78" s="159">
        <f t="shared" si="52"/>
        <v>7.8048971392045086E-2</v>
      </c>
      <c r="J78" s="159">
        <f t="shared" si="52"/>
        <v>8.0222997941360744E-2</v>
      </c>
      <c r="K78" s="160">
        <v>7.4999999999999997E-2</v>
      </c>
      <c r="L78" s="160">
        <v>7.4999999999999997E-2</v>
      </c>
      <c r="M78" s="160">
        <v>7.4999999999999997E-2</v>
      </c>
      <c r="N78" s="160">
        <v>7.4999999999999997E-2</v>
      </c>
      <c r="O78" s="160">
        <v>7.4999999999999997E-2</v>
      </c>
      <c r="P78" s="162"/>
    </row>
    <row r="79" spans="2:16" outlineLevel="1" x14ac:dyDescent="0.3">
      <c r="B79" s="3" t="s">
        <v>107</v>
      </c>
      <c r="C79" s="3"/>
      <c r="E79" s="159">
        <f t="shared" si="52"/>
        <v>7.0126146348213125E-2</v>
      </c>
      <c r="F79" s="159">
        <f t="shared" si="52"/>
        <v>7.2549769593646979E-2</v>
      </c>
      <c r="G79" s="159">
        <f t="shared" si="52"/>
        <v>6.006555190163388E-2</v>
      </c>
      <c r="H79" s="159">
        <f t="shared" si="52"/>
        <v>6.3637378020328261E-2</v>
      </c>
      <c r="I79" s="159">
        <f t="shared" si="52"/>
        <v>6.5048201729783317E-2</v>
      </c>
      <c r="J79" s="159">
        <f t="shared" si="52"/>
        <v>6.6738271510222866E-2</v>
      </c>
      <c r="K79" s="160">
        <v>6.7000000000000004E-2</v>
      </c>
      <c r="L79" s="160">
        <v>6.7000000000000004E-2</v>
      </c>
      <c r="M79" s="160">
        <v>6.7000000000000004E-2</v>
      </c>
      <c r="N79" s="160">
        <v>6.7000000000000004E-2</v>
      </c>
      <c r="O79" s="160">
        <v>6.7000000000000004E-2</v>
      </c>
    </row>
    <row r="80" spans="2:16" outlineLevel="1" x14ac:dyDescent="0.3">
      <c r="B80" s="3" t="s">
        <v>108</v>
      </c>
      <c r="C80" s="3"/>
      <c r="E80" s="161">
        <f t="shared" si="52"/>
        <v>6.9453519567673943E-3</v>
      </c>
      <c r="F80" s="161">
        <f t="shared" si="52"/>
        <v>2.9251589166347921E-3</v>
      </c>
      <c r="G80" s="161">
        <f t="shared" si="52"/>
        <v>7.0527066812094575E-4</v>
      </c>
      <c r="H80" s="161">
        <f t="shared" si="52"/>
        <v>-8.4701061045626988E-4</v>
      </c>
      <c r="I80" s="161">
        <f t="shared" si="52"/>
        <v>-1.4740989081231982E-3</v>
      </c>
      <c r="J80" s="161">
        <f t="shared" si="52"/>
        <v>6.8791796130781137E-4</v>
      </c>
      <c r="K80" s="160">
        <v>1E-3</v>
      </c>
      <c r="L80" s="160">
        <v>1E-3</v>
      </c>
      <c r="M80" s="160">
        <v>1E-3</v>
      </c>
      <c r="N80" s="160">
        <v>1E-3</v>
      </c>
      <c r="O80" s="160">
        <v>1E-3</v>
      </c>
    </row>
    <row r="81" spans="2:15" outlineLevel="1" x14ac:dyDescent="0.3">
      <c r="B81" s="3" t="s">
        <v>280</v>
      </c>
      <c r="C81" s="3"/>
      <c r="E81" s="159">
        <f t="shared" si="52"/>
        <v>0.15943836804235059</v>
      </c>
      <c r="F81" s="159">
        <f t="shared" si="52"/>
        <v>0.14428164731484103</v>
      </c>
      <c r="G81" s="159">
        <f t="shared" si="52"/>
        <v>0.13302260844085087</v>
      </c>
      <c r="H81" s="159">
        <f t="shared" si="52"/>
        <v>0.16204461684424407</v>
      </c>
      <c r="I81" s="159">
        <f t="shared" si="52"/>
        <v>0.14719174228036858</v>
      </c>
      <c r="J81" s="159">
        <f t="shared" si="52"/>
        <v>0.24091185164189982</v>
      </c>
      <c r="K81" s="160">
        <v>0.16</v>
      </c>
      <c r="L81" s="160">
        <v>0.16</v>
      </c>
      <c r="M81" s="160">
        <v>0.16</v>
      </c>
      <c r="N81" s="160">
        <v>0.16</v>
      </c>
      <c r="O81" s="160">
        <v>0.16</v>
      </c>
    </row>
    <row r="82" spans="2:15" outlineLevel="1" x14ac:dyDescent="0.3">
      <c r="B82" s="3"/>
      <c r="C82" s="3"/>
      <c r="K82" s="157"/>
      <c r="L82" s="157"/>
      <c r="M82" s="157"/>
      <c r="N82" s="157"/>
      <c r="O82" s="157"/>
    </row>
    <row r="83" spans="2:15" outlineLevel="1" x14ac:dyDescent="0.3">
      <c r="B83" s="11" t="s">
        <v>9</v>
      </c>
      <c r="C83" s="11"/>
      <c r="K83" s="157"/>
      <c r="L83" s="157"/>
      <c r="M83" s="157"/>
      <c r="N83" s="157"/>
      <c r="O83" s="157"/>
    </row>
    <row r="84" spans="2:15" outlineLevel="1" x14ac:dyDescent="0.3">
      <c r="B84" s="3" t="s">
        <v>98</v>
      </c>
      <c r="C84" s="11"/>
      <c r="E84" s="164">
        <f t="shared" ref="E84:J88" si="53">E22</f>
        <v>32.163052418765901</v>
      </c>
      <c r="F84" s="164">
        <f t="shared" si="53"/>
        <v>21.433437152796749</v>
      </c>
      <c r="G84" s="164">
        <f t="shared" si="53"/>
        <v>26.219311841713207</v>
      </c>
      <c r="H84" s="164">
        <f t="shared" si="53"/>
        <v>26.087825363656652</v>
      </c>
      <c r="I84" s="164">
        <f t="shared" si="53"/>
        <v>28.100290906244702</v>
      </c>
      <c r="J84" s="164">
        <f t="shared" si="53"/>
        <v>31.185571624023424</v>
      </c>
      <c r="K84" s="165">
        <v>28</v>
      </c>
      <c r="L84" s="165">
        <v>28</v>
      </c>
      <c r="M84" s="165">
        <v>28</v>
      </c>
      <c r="N84" s="165">
        <v>28</v>
      </c>
      <c r="O84" s="165">
        <v>28</v>
      </c>
    </row>
    <row r="85" spans="2:15" outlineLevel="1" x14ac:dyDescent="0.3">
      <c r="B85" s="3" t="s">
        <v>99</v>
      </c>
      <c r="C85" s="11"/>
      <c r="E85" s="164">
        <f t="shared" si="53"/>
        <v>9.263638723714628</v>
      </c>
      <c r="F85" s="164">
        <f t="shared" si="53"/>
        <v>8.7418833562358831</v>
      </c>
      <c r="G85" s="164">
        <f t="shared" si="53"/>
        <v>11.27659274770989</v>
      </c>
      <c r="H85" s="164">
        <f t="shared" si="53"/>
        <v>8.0756980666171607</v>
      </c>
      <c r="I85" s="164">
        <f t="shared" si="53"/>
        <v>10.791292490321617</v>
      </c>
      <c r="J85" s="164">
        <f t="shared" si="53"/>
        <v>12.642570548414087</v>
      </c>
      <c r="K85" s="165">
        <v>12</v>
      </c>
      <c r="L85" s="165">
        <v>12</v>
      </c>
      <c r="M85" s="165">
        <v>12</v>
      </c>
      <c r="N85" s="165">
        <v>12</v>
      </c>
      <c r="O85" s="165">
        <v>12</v>
      </c>
    </row>
    <row r="86" spans="2:15" outlineLevel="1" x14ac:dyDescent="0.3">
      <c r="B86" s="3" t="s">
        <v>100</v>
      </c>
      <c r="C86" s="11"/>
      <c r="E86" s="164">
        <f t="shared" si="53"/>
        <v>104.31407696777144</v>
      </c>
      <c r="F86" s="164">
        <f t="shared" si="53"/>
        <v>91.048189715674184</v>
      </c>
      <c r="G86" s="164">
        <f t="shared" si="53"/>
        <v>93.85107122231561</v>
      </c>
      <c r="H86" s="164">
        <f t="shared" si="53"/>
        <v>104.68527730310539</v>
      </c>
      <c r="I86" s="164">
        <f t="shared" si="53"/>
        <v>106.72146803214764</v>
      </c>
      <c r="J86" s="164">
        <f t="shared" si="53"/>
        <v>119.65847721913745</v>
      </c>
      <c r="K86" s="165">
        <v>110</v>
      </c>
      <c r="L86" s="165">
        <v>110</v>
      </c>
      <c r="M86" s="165">
        <v>110</v>
      </c>
      <c r="N86" s="165">
        <v>110</v>
      </c>
      <c r="O86" s="165">
        <v>110</v>
      </c>
    </row>
    <row r="87" spans="2:15" outlineLevel="1" x14ac:dyDescent="0.3">
      <c r="B87" s="3" t="s">
        <v>110</v>
      </c>
      <c r="E87" s="159">
        <f t="shared" si="53"/>
        <v>0.19876313544012852</v>
      </c>
      <c r="F87" s="159">
        <f t="shared" si="53"/>
        <v>0.19280185053640056</v>
      </c>
      <c r="G87" s="159">
        <f t="shared" si="53"/>
        <v>7.5718186962333622E-2</v>
      </c>
      <c r="H87" s="159">
        <f t="shared" si="53"/>
        <v>6.2531699498894325E-2</v>
      </c>
      <c r="I87" s="159">
        <f t="shared" si="53"/>
        <v>8.2419087624091739E-2</v>
      </c>
      <c r="J87" s="159">
        <f t="shared" si="53"/>
        <v>9.0089122457069057E-2</v>
      </c>
      <c r="K87" s="160">
        <v>7.8399999999999997E-2</v>
      </c>
      <c r="L87" s="160">
        <v>8.3099999999999993E-2</v>
      </c>
      <c r="M87" s="160">
        <v>7.9799999999999996E-2</v>
      </c>
      <c r="N87" s="160">
        <v>8.48E-2</v>
      </c>
      <c r="O87" s="160">
        <v>8.77E-2</v>
      </c>
    </row>
    <row r="88" spans="2:15" outlineLevel="1" x14ac:dyDescent="0.3">
      <c r="B88" s="3" t="s">
        <v>237</v>
      </c>
      <c r="E88" s="159">
        <f t="shared" si="53"/>
        <v>0.14141251807988528</v>
      </c>
      <c r="F88" s="159">
        <f t="shared" si="53"/>
        <v>0.12576743198532664</v>
      </c>
      <c r="G88" s="159">
        <f t="shared" si="53"/>
        <v>0.11845188068419249</v>
      </c>
      <c r="H88" s="159">
        <f t="shared" si="53"/>
        <v>0.14649333917851359</v>
      </c>
      <c r="I88" s="159">
        <f t="shared" si="53"/>
        <v>0.1469946809752635</v>
      </c>
      <c r="J88" s="159">
        <f t="shared" si="53"/>
        <v>0.15608598919905681</v>
      </c>
      <c r="K88" s="160">
        <v>0.15</v>
      </c>
      <c r="L88" s="160">
        <v>0.15</v>
      </c>
      <c r="M88" s="160">
        <v>0.14799999999999999</v>
      </c>
      <c r="N88" s="160">
        <v>0.14799999999999999</v>
      </c>
      <c r="O88" s="160">
        <v>0.14799999999999999</v>
      </c>
    </row>
    <row r="89" spans="2:15" outlineLevel="1" x14ac:dyDescent="0.3">
      <c r="B89" s="3" t="s">
        <v>10</v>
      </c>
      <c r="E89" s="159"/>
      <c r="F89" s="159"/>
      <c r="G89" s="159"/>
      <c r="H89" s="159"/>
      <c r="I89" s="159"/>
      <c r="J89" s="159"/>
      <c r="K89" s="160"/>
      <c r="L89" s="160"/>
      <c r="M89" s="160"/>
      <c r="N89" s="160"/>
      <c r="O89" s="160"/>
    </row>
    <row r="90" spans="2:15" outlineLevel="1" x14ac:dyDescent="0.3">
      <c r="B90" s="3" t="s">
        <v>109</v>
      </c>
      <c r="E90" s="159">
        <f t="shared" ref="E90:J91" si="54">E28</f>
        <v>4.7475919961256698E-2</v>
      </c>
      <c r="F90" s="159">
        <f t="shared" si="54"/>
        <v>4.1032366173068865E-2</v>
      </c>
      <c r="G90" s="159">
        <f t="shared" si="54"/>
        <v>3.8573931774630484E-2</v>
      </c>
      <c r="H90" s="159">
        <f t="shared" si="54"/>
        <v>5.3820677202734778E-2</v>
      </c>
      <c r="I90" s="159">
        <f t="shared" si="54"/>
        <v>3.8339616734283891E-2</v>
      </c>
      <c r="J90" s="159">
        <f t="shared" si="54"/>
        <v>3.6536371424552787E-2</v>
      </c>
      <c r="K90" s="160">
        <v>4.0500000000000001E-2</v>
      </c>
      <c r="L90" s="160">
        <v>4.0399999999999998E-2</v>
      </c>
      <c r="M90" s="160">
        <v>4.07E-2</v>
      </c>
      <c r="N90" s="160">
        <v>4.4999999999999998E-2</v>
      </c>
      <c r="O90" s="160">
        <v>4.4999999999999998E-2</v>
      </c>
    </row>
    <row r="91" spans="2:15" outlineLevel="1" x14ac:dyDescent="0.3">
      <c r="B91" s="3" t="s">
        <v>230</v>
      </c>
      <c r="E91" s="159">
        <f t="shared" si="54"/>
        <v>0.40488672965015721</v>
      </c>
      <c r="F91" s="159">
        <f t="shared" si="54"/>
        <v>0.36750997213267034</v>
      </c>
      <c r="G91" s="159">
        <f t="shared" si="54"/>
        <v>0.3495654931290782</v>
      </c>
      <c r="H91" s="159">
        <f t="shared" si="54"/>
        <v>0.30635663711428052</v>
      </c>
      <c r="I91" s="159">
        <f t="shared" si="54"/>
        <v>0.26232177100590942</v>
      </c>
      <c r="J91" s="159">
        <f t="shared" si="54"/>
        <v>0.23394069584564042</v>
      </c>
      <c r="K91" s="160">
        <v>0.26500000000000001</v>
      </c>
      <c r="L91" s="160">
        <v>0.26500000000000001</v>
      </c>
      <c r="M91" s="160">
        <v>0.28000000000000003</v>
      </c>
      <c r="N91" s="160">
        <v>0.28299999999999997</v>
      </c>
      <c r="O91" s="160">
        <v>0.28899999999999998</v>
      </c>
    </row>
    <row r="92" spans="2:15" outlineLevel="1" x14ac:dyDescent="0.3">
      <c r="B92" s="3" t="s">
        <v>111</v>
      </c>
      <c r="E92" s="159"/>
      <c r="F92" s="159"/>
      <c r="G92" s="159"/>
      <c r="H92" s="159"/>
      <c r="I92" s="159"/>
      <c r="J92" s="159"/>
      <c r="K92" s="157"/>
      <c r="L92" s="157"/>
      <c r="M92" s="157"/>
      <c r="N92" s="157"/>
      <c r="O92" s="157"/>
    </row>
    <row r="93" spans="2:15" outlineLevel="1" x14ac:dyDescent="0.3">
      <c r="B93" s="3"/>
      <c r="E93" s="159"/>
      <c r="F93" s="159"/>
      <c r="G93" s="159"/>
      <c r="H93" s="159"/>
      <c r="I93" s="159"/>
      <c r="J93" s="159"/>
      <c r="K93" s="157"/>
      <c r="L93" s="157"/>
      <c r="M93" s="157"/>
      <c r="N93" s="157"/>
      <c r="O93" s="157"/>
    </row>
    <row r="94" spans="2:15" outlineLevel="1" x14ac:dyDescent="0.3">
      <c r="B94" s="3" t="s">
        <v>11</v>
      </c>
      <c r="E94" s="159"/>
      <c r="F94" s="159"/>
      <c r="G94" s="159"/>
      <c r="H94" s="159"/>
      <c r="I94" s="159"/>
      <c r="J94" s="159"/>
      <c r="K94" s="157"/>
      <c r="L94" s="157"/>
      <c r="M94" s="157"/>
      <c r="N94" s="157"/>
      <c r="O94" s="157"/>
    </row>
    <row r="95" spans="2:15" outlineLevel="1" x14ac:dyDescent="0.3">
      <c r="B95" s="3" t="s">
        <v>112</v>
      </c>
      <c r="E95" s="159"/>
      <c r="F95" s="159"/>
      <c r="G95" s="159"/>
      <c r="H95" s="159"/>
      <c r="I95" s="159"/>
      <c r="J95" s="159"/>
      <c r="K95" s="157"/>
      <c r="L95" s="157"/>
      <c r="M95" s="157"/>
      <c r="N95" s="157"/>
      <c r="O95" s="157"/>
    </row>
    <row r="96" spans="2:15" outlineLevel="1" x14ac:dyDescent="0.3">
      <c r="B96" s="3" t="s">
        <v>113</v>
      </c>
      <c r="E96" s="159">
        <f t="shared" ref="E96:J96" si="55">E34</f>
        <v>2.2984617986424469E-2</v>
      </c>
      <c r="F96" s="159">
        <f t="shared" si="55"/>
        <v>1.8199369797643115E-2</v>
      </c>
      <c r="G96" s="159">
        <f t="shared" si="55"/>
        <v>1.6401643444673156E-2</v>
      </c>
      <c r="H96" s="159">
        <f t="shared" si="55"/>
        <v>2.5313951837049362E-2</v>
      </c>
      <c r="I96" s="159">
        <f t="shared" si="55"/>
        <v>1.5615012327641311E-2</v>
      </c>
      <c r="J96" s="159">
        <f t="shared" si="55"/>
        <v>2.5488766990167121E-2</v>
      </c>
      <c r="K96" s="160">
        <v>2.5000000000000001E-2</v>
      </c>
      <c r="L96" s="160">
        <v>2.5000000000000001E-2</v>
      </c>
      <c r="M96" s="160">
        <v>2.5000000000000001E-2</v>
      </c>
      <c r="N96" s="160">
        <v>2.5000000000000001E-2</v>
      </c>
      <c r="O96" s="160">
        <v>2.5000000000000001E-2</v>
      </c>
    </row>
    <row r="97" spans="2:15" outlineLevel="1" x14ac:dyDescent="0.3">
      <c r="B97" s="3" t="s">
        <v>114</v>
      </c>
      <c r="E97" s="159">
        <f>E35</f>
        <v>0.39230284348166994</v>
      </c>
      <c r="F97" s="159">
        <f t="shared" ref="F97:J97" si="56">F35</f>
        <v>0.39138116314226912</v>
      </c>
      <c r="G97" s="159">
        <f t="shared" si="56"/>
        <v>0.32453111801802542</v>
      </c>
      <c r="H97" s="159">
        <f t="shared" si="56"/>
        <v>0.27917621878233351</v>
      </c>
      <c r="I97" s="159">
        <f t="shared" si="56"/>
        <v>0.2742163142309248</v>
      </c>
      <c r="J97" s="159">
        <f t="shared" si="56"/>
        <v>0.24719526385106191</v>
      </c>
      <c r="K97" s="160">
        <v>0.24</v>
      </c>
      <c r="L97" s="160">
        <v>0.24</v>
      </c>
      <c r="M97" s="160">
        <v>0.24</v>
      </c>
      <c r="N97" s="160">
        <v>0.24</v>
      </c>
      <c r="O97" s="160">
        <v>0.24</v>
      </c>
    </row>
    <row r="98" spans="2:15" outlineLevel="1" x14ac:dyDescent="0.3">
      <c r="B98" s="3" t="s">
        <v>12</v>
      </c>
      <c r="E98" s="159"/>
      <c r="F98" s="159"/>
      <c r="G98" s="159"/>
      <c r="H98" s="159"/>
      <c r="I98" s="159"/>
      <c r="J98" s="159"/>
      <c r="K98" s="157"/>
      <c r="L98" s="157"/>
      <c r="M98" s="157"/>
      <c r="N98" s="157"/>
      <c r="O98" s="157"/>
    </row>
    <row r="99" spans="2:15" outlineLevel="1" x14ac:dyDescent="0.3">
      <c r="K99" s="157"/>
      <c r="L99" s="157"/>
      <c r="M99" s="157"/>
      <c r="N99" s="157"/>
      <c r="O99" s="157"/>
    </row>
    <row r="100" spans="2:15" outlineLevel="1" x14ac:dyDescent="0.3">
      <c r="B100" s="11" t="s">
        <v>13</v>
      </c>
      <c r="K100" s="157"/>
      <c r="L100" s="157"/>
      <c r="M100" s="157"/>
      <c r="N100" s="157"/>
      <c r="O100" s="157"/>
    </row>
    <row r="101" spans="2:15" outlineLevel="1" x14ac:dyDescent="0.3">
      <c r="B101" s="3" t="s">
        <v>278</v>
      </c>
      <c r="E101" s="159">
        <f t="shared" ref="E101:J103" si="57">E39</f>
        <v>4.7929462590420259E-3</v>
      </c>
      <c r="F101" s="159">
        <f t="shared" si="57"/>
        <v>4.9396207857494122E-3</v>
      </c>
      <c r="G101" s="159">
        <f t="shared" si="57"/>
        <v>4.8767553175494849E-3</v>
      </c>
      <c r="H101" s="159">
        <f t="shared" si="57"/>
        <v>6.0964476273559064E-3</v>
      </c>
      <c r="I101" s="159">
        <f t="shared" si="57"/>
        <v>7.8766453161485585E-3</v>
      </c>
      <c r="J101" s="159">
        <f t="shared" si="57"/>
        <v>8.2984899049957164E-3</v>
      </c>
      <c r="K101" s="160">
        <v>0.01</v>
      </c>
      <c r="L101" s="160">
        <v>0.01</v>
      </c>
      <c r="M101" s="160">
        <v>0.01</v>
      </c>
      <c r="N101" s="160">
        <v>0.01</v>
      </c>
      <c r="O101" s="160">
        <v>0.01</v>
      </c>
    </row>
    <row r="102" spans="2:15" outlineLevel="1" x14ac:dyDescent="0.3">
      <c r="B102" s="3" t="s">
        <v>206</v>
      </c>
      <c r="E102" s="159">
        <f t="shared" si="57"/>
        <v>2.3807144449483807E-2</v>
      </c>
      <c r="F102" s="159">
        <f t="shared" si="57"/>
        <v>2.5408447625812798E-2</v>
      </c>
      <c r="G102" s="159">
        <f t="shared" si="57"/>
        <v>2.2164087508234991E-2</v>
      </c>
      <c r="H102" s="159">
        <f t="shared" si="57"/>
        <v>2.3533707979144267E-2</v>
      </c>
      <c r="I102" s="159">
        <f t="shared" si="57"/>
        <v>2.9059316174648107E-2</v>
      </c>
      <c r="J102" s="159">
        <f t="shared" si="57"/>
        <v>3.0774738834119707E-2</v>
      </c>
      <c r="K102" s="160">
        <v>2.8000000000000001E-2</v>
      </c>
      <c r="L102" s="160">
        <v>2.8000000000000001E-2</v>
      </c>
      <c r="M102" s="160">
        <v>2.8000000000000001E-2</v>
      </c>
      <c r="N102" s="160">
        <v>2.8000000000000001E-2</v>
      </c>
      <c r="O102" s="160">
        <v>2.8000000000000001E-2</v>
      </c>
    </row>
    <row r="103" spans="2:15" outlineLevel="1" x14ac:dyDescent="0.3">
      <c r="B103" s="3" t="s">
        <v>207</v>
      </c>
      <c r="E103" s="159">
        <f t="shared" si="57"/>
        <v>0.17607799895537113</v>
      </c>
      <c r="F103" s="159">
        <f t="shared" si="57"/>
        <v>0.17660597910416881</v>
      </c>
      <c r="G103" s="159">
        <f t="shared" si="57"/>
        <v>0.18014446191355071</v>
      </c>
      <c r="H103" s="159">
        <f t="shared" si="57"/>
        <v>0.17602492939916253</v>
      </c>
      <c r="I103" s="159">
        <f t="shared" si="57"/>
        <v>0.19751308184586214</v>
      </c>
      <c r="J103" s="159">
        <f t="shared" si="57"/>
        <v>0.20338629126281171</v>
      </c>
      <c r="K103" s="160">
        <v>0.19500000000000001</v>
      </c>
      <c r="L103" s="160">
        <v>0.19500000000000001</v>
      </c>
      <c r="M103" s="160">
        <v>0.19500000000000001</v>
      </c>
      <c r="N103" s="160">
        <v>0.19500000000000001</v>
      </c>
      <c r="O103" s="160">
        <v>0.19500000000000001</v>
      </c>
    </row>
    <row r="104" spans="2:15" outlineLevel="1" x14ac:dyDescent="0.3">
      <c r="B104" s="3" t="s">
        <v>255</v>
      </c>
      <c r="E104" s="159"/>
      <c r="F104" s="159"/>
      <c r="G104" s="159"/>
      <c r="H104" s="159"/>
      <c r="I104" s="159"/>
      <c r="J104" s="159"/>
      <c r="K104" s="160"/>
      <c r="L104" s="160"/>
      <c r="M104" s="160"/>
      <c r="N104" s="160"/>
      <c r="O104" s="160"/>
    </row>
    <row r="105" spans="2:15" outlineLevel="1" x14ac:dyDescent="0.3">
      <c r="B105" s="3" t="s">
        <v>81</v>
      </c>
      <c r="E105" s="159"/>
      <c r="F105" s="159"/>
      <c r="G105" s="159"/>
      <c r="H105" s="159"/>
      <c r="I105" s="159"/>
      <c r="J105" s="159"/>
      <c r="K105" s="166">
        <v>-1000</v>
      </c>
      <c r="L105" s="166">
        <v>-1000</v>
      </c>
      <c r="M105" s="166">
        <v>-1000</v>
      </c>
      <c r="N105" s="166">
        <v>-1000</v>
      </c>
      <c r="O105" s="166">
        <v>-1000</v>
      </c>
    </row>
    <row r="106" spans="2:15" outlineLevel="1" x14ac:dyDescent="0.3">
      <c r="B106" s="3" t="s">
        <v>82</v>
      </c>
      <c r="E106" s="159">
        <f t="shared" ref="E106:J106" si="58">E44</f>
        <v>3.3554467394897262E-3</v>
      </c>
      <c r="F106" s="159">
        <f t="shared" si="58"/>
        <v>-3.4927053166493631E-2</v>
      </c>
      <c r="G106" s="159">
        <f t="shared" si="58"/>
        <v>-2.1983669430343588E-2</v>
      </c>
      <c r="H106" s="159">
        <f t="shared" si="58"/>
        <v>-1.6481203465135624E-2</v>
      </c>
      <c r="I106" s="159">
        <f t="shared" si="58"/>
        <v>-1.4829695918180988E-2</v>
      </c>
      <c r="J106" s="159">
        <f t="shared" si="58"/>
        <v>-2.9999872134207937E-2</v>
      </c>
      <c r="K106" s="160">
        <v>-0.02</v>
      </c>
      <c r="L106" s="160">
        <v>-0.02</v>
      </c>
      <c r="M106" s="160">
        <v>-0.02</v>
      </c>
      <c r="N106" s="160">
        <v>-0.02</v>
      </c>
      <c r="O106" s="160">
        <v>-0.02</v>
      </c>
    </row>
    <row r="107" spans="2:15" outlineLevel="1" x14ac:dyDescent="0.3">
      <c r="B107" s="3" t="s">
        <v>112</v>
      </c>
      <c r="E107" s="159"/>
      <c r="F107" s="159"/>
      <c r="G107" s="159"/>
      <c r="H107" s="159"/>
      <c r="I107" s="159"/>
      <c r="J107" s="159"/>
      <c r="K107" s="160"/>
      <c r="L107" s="160"/>
      <c r="M107" s="160"/>
      <c r="N107" s="160"/>
      <c r="O107" s="160"/>
    </row>
    <row r="108" spans="2:15" outlineLevel="1" x14ac:dyDescent="0.3">
      <c r="B108" s="3" t="s">
        <v>83</v>
      </c>
      <c r="E108" s="159"/>
      <c r="F108" s="159"/>
      <c r="G108" s="159"/>
      <c r="H108" s="159"/>
      <c r="I108" s="159"/>
      <c r="J108" s="159"/>
      <c r="K108" s="160"/>
      <c r="L108" s="160"/>
      <c r="M108" s="160"/>
      <c r="N108" s="160"/>
      <c r="O108" s="160"/>
    </row>
    <row r="109" spans="2:15" outlineLevel="1" x14ac:dyDescent="0.3">
      <c r="B109" s="3"/>
      <c r="K109" s="157"/>
      <c r="L109" s="157"/>
      <c r="M109" s="157"/>
      <c r="N109" s="157"/>
      <c r="O109" s="157"/>
    </row>
    <row r="110" spans="2:15" outlineLevel="1" x14ac:dyDescent="0.3">
      <c r="B110" s="3" t="s">
        <v>56</v>
      </c>
      <c r="E110" s="159">
        <f t="shared" ref="E110:J115" si="59">E48</f>
        <v>3.0018372320062725E-3</v>
      </c>
      <c r="F110" s="159">
        <f t="shared" si="59"/>
        <v>3.2056536072710053E-3</v>
      </c>
      <c r="G110" s="159">
        <f t="shared" si="59"/>
        <v>3.0206360010606396E-3</v>
      </c>
      <c r="H110" s="159">
        <f t="shared" si="59"/>
        <v>0</v>
      </c>
      <c r="I110" s="159">
        <f t="shared" si="59"/>
        <v>0</v>
      </c>
      <c r="J110" s="159">
        <f t="shared" si="59"/>
        <v>0</v>
      </c>
      <c r="K110" s="160">
        <v>0</v>
      </c>
      <c r="L110" s="160">
        <v>0</v>
      </c>
      <c r="M110" s="160">
        <v>0</v>
      </c>
      <c r="N110" s="160">
        <v>0</v>
      </c>
      <c r="O110" s="160">
        <v>0</v>
      </c>
    </row>
    <row r="111" spans="2:15" outlineLevel="1" x14ac:dyDescent="0.3">
      <c r="B111" s="3" t="s">
        <v>91</v>
      </c>
      <c r="E111" s="159">
        <f t="shared" si="59"/>
        <v>0.46423862887277523</v>
      </c>
      <c r="F111" s="159">
        <f t="shared" si="59"/>
        <v>0.53214233416312784</v>
      </c>
      <c r="G111" s="159">
        <f t="shared" si="59"/>
        <v>0.82924361244624334</v>
      </c>
      <c r="H111" s="159">
        <f t="shared" si="59"/>
        <v>0.68853728701040051</v>
      </c>
      <c r="I111" s="159">
        <f t="shared" si="59"/>
        <v>0.50133850272316072</v>
      </c>
      <c r="J111" s="159">
        <f t="shared" si="59"/>
        <v>0.4655201916495551</v>
      </c>
      <c r="K111" s="160">
        <v>0.5</v>
      </c>
      <c r="L111" s="160">
        <v>0.5</v>
      </c>
      <c r="M111" s="160">
        <v>0.5</v>
      </c>
      <c r="N111" s="160">
        <v>0.5</v>
      </c>
      <c r="O111" s="160">
        <v>0.5</v>
      </c>
    </row>
    <row r="112" spans="2:15" outlineLevel="1" x14ac:dyDescent="0.3">
      <c r="B112" s="3" t="s">
        <v>219</v>
      </c>
      <c r="E112" s="159">
        <f t="shared" si="59"/>
        <v>0.25551976255972203</v>
      </c>
      <c r="F112" s="159">
        <f t="shared" si="59"/>
        <v>0.24526658654264863</v>
      </c>
      <c r="G112" s="159">
        <f t="shared" si="59"/>
        <v>0.15279890156316012</v>
      </c>
      <c r="H112" s="159">
        <f t="shared" si="59"/>
        <v>0.14870294480125848</v>
      </c>
      <c r="I112" s="159">
        <f t="shared" si="59"/>
        <v>0.1549048920047425</v>
      </c>
      <c r="J112" s="159">
        <f t="shared" si="59"/>
        <v>0.16252026969360758</v>
      </c>
      <c r="K112" s="160">
        <v>0.155</v>
      </c>
      <c r="L112" s="160">
        <v>0.155</v>
      </c>
      <c r="M112" s="160">
        <v>0.155</v>
      </c>
      <c r="N112" s="160">
        <v>0.155</v>
      </c>
      <c r="O112" s="160">
        <v>0.155</v>
      </c>
    </row>
    <row r="113" spans="2:15" outlineLevel="1" x14ac:dyDescent="0.3">
      <c r="B113" s="3" t="s">
        <v>55</v>
      </c>
      <c r="E113" s="159">
        <f t="shared" si="59"/>
        <v>0.25712407850131064</v>
      </c>
      <c r="F113" s="159">
        <f t="shared" si="59"/>
        <v>0.2635848678578584</v>
      </c>
      <c r="G113" s="159">
        <f t="shared" si="59"/>
        <v>0.23501094809699932</v>
      </c>
      <c r="H113" s="159">
        <f t="shared" si="59"/>
        <v>0.22671988801201032</v>
      </c>
      <c r="I113" s="159">
        <f t="shared" si="59"/>
        <v>0.2023298589822195</v>
      </c>
      <c r="J113" s="159">
        <f t="shared" si="59"/>
        <v>0.24281458181492704</v>
      </c>
      <c r="K113" s="160">
        <v>0.23</v>
      </c>
      <c r="L113" s="160">
        <v>0.23</v>
      </c>
      <c r="M113" s="160">
        <v>0.23</v>
      </c>
      <c r="N113" s="160">
        <v>0.23</v>
      </c>
      <c r="O113" s="160">
        <v>0.23</v>
      </c>
    </row>
    <row r="114" spans="2:15" outlineLevel="1" x14ac:dyDescent="0.3">
      <c r="B114" s="3" t="s">
        <v>93</v>
      </c>
      <c r="E114" s="159">
        <f t="shared" si="59"/>
        <v>2.6762858702253107E-2</v>
      </c>
      <c r="F114" s="159">
        <f t="shared" si="59"/>
        <v>5.8616104766588344E-2</v>
      </c>
      <c r="G114" s="159">
        <f t="shared" si="59"/>
        <v>5.5746452461203279E-2</v>
      </c>
      <c r="H114" s="159">
        <f t="shared" si="59"/>
        <v>1.385902091659735E-2</v>
      </c>
      <c r="I114" s="159">
        <f t="shared" si="59"/>
        <v>1.363998069321784E-2</v>
      </c>
      <c r="J114" s="159">
        <f t="shared" si="59"/>
        <v>0</v>
      </c>
      <c r="K114" s="160">
        <v>1.4999999999999999E-2</v>
      </c>
      <c r="L114" s="160">
        <v>1.4999999999999999E-2</v>
      </c>
      <c r="M114" s="160">
        <v>1.4999999999999999E-2</v>
      </c>
      <c r="N114" s="160">
        <v>1.4999999999999999E-2</v>
      </c>
      <c r="O114" s="160">
        <v>1.4999999999999999E-2</v>
      </c>
    </row>
    <row r="115" spans="2:15" outlineLevel="1" x14ac:dyDescent="0.3">
      <c r="B115" s="3" t="s">
        <v>94</v>
      </c>
      <c r="E115" s="159">
        <f t="shared" si="59"/>
        <v>3.3842736015128334E-2</v>
      </c>
      <c r="F115" s="159">
        <f t="shared" si="59"/>
        <v>4.6004772052529008E-2</v>
      </c>
      <c r="G115" s="159">
        <f t="shared" si="59"/>
        <v>2.3919063356815019E-2</v>
      </c>
      <c r="H115" s="159">
        <f t="shared" si="59"/>
        <v>2.4200665435880789E-2</v>
      </c>
      <c r="I115" s="159">
        <f t="shared" si="59"/>
        <v>2.9093233494658022E-2</v>
      </c>
      <c r="J115" s="159">
        <f t="shared" si="59"/>
        <v>2.5465751147595483E-2</v>
      </c>
      <c r="K115" s="160">
        <v>1.7000000000000001E-2</v>
      </c>
      <c r="L115" s="160">
        <v>1.7000000000000001E-2</v>
      </c>
      <c r="M115" s="160">
        <v>1.7000000000000001E-2</v>
      </c>
      <c r="N115" s="160">
        <v>1.7000000000000001E-2</v>
      </c>
      <c r="O115" s="160">
        <v>1.7000000000000001E-2</v>
      </c>
    </row>
    <row r="116" spans="2:15" outlineLevel="1" x14ac:dyDescent="0.3">
      <c r="B116" s="3" t="s">
        <v>95</v>
      </c>
      <c r="E116" s="159"/>
      <c r="F116" s="159"/>
      <c r="G116" s="159"/>
      <c r="H116" s="159"/>
      <c r="I116" s="159"/>
      <c r="J116" s="159"/>
      <c r="K116" s="157"/>
      <c r="L116" s="157"/>
      <c r="M116" s="157"/>
      <c r="N116" s="157"/>
      <c r="O116" s="157"/>
    </row>
    <row r="117" spans="2:15" outlineLevel="1" x14ac:dyDescent="0.3">
      <c r="B117" s="3" t="s">
        <v>81</v>
      </c>
      <c r="E117" s="159"/>
      <c r="F117" s="159"/>
      <c r="G117" s="159"/>
      <c r="H117" s="159"/>
      <c r="I117" s="159"/>
      <c r="J117" s="159"/>
      <c r="K117" s="166">
        <v>-300</v>
      </c>
      <c r="L117" s="166">
        <v>-300</v>
      </c>
      <c r="M117" s="166">
        <v>-300</v>
      </c>
      <c r="N117" s="166">
        <v>-300</v>
      </c>
      <c r="O117" s="166">
        <v>-300</v>
      </c>
    </row>
    <row r="118" spans="2:15" outlineLevel="1" x14ac:dyDescent="0.3">
      <c r="B118" s="3"/>
      <c r="E118" s="159"/>
      <c r="F118" s="159"/>
      <c r="G118" s="159"/>
      <c r="H118" s="159"/>
      <c r="I118" s="159"/>
      <c r="J118" s="159"/>
      <c r="K118" s="157"/>
      <c r="L118" s="157"/>
      <c r="M118" s="157"/>
      <c r="N118" s="157"/>
      <c r="O118" s="157"/>
    </row>
    <row r="119" spans="2:15" outlineLevel="1" x14ac:dyDescent="0.3">
      <c r="B119" s="11" t="s">
        <v>217</v>
      </c>
      <c r="E119" s="159"/>
      <c r="F119" s="159"/>
      <c r="G119" s="159"/>
      <c r="H119" s="159"/>
      <c r="I119" s="159"/>
      <c r="J119" s="159"/>
      <c r="K119" s="157"/>
      <c r="L119" s="157"/>
      <c r="M119" s="157"/>
      <c r="N119" s="157"/>
      <c r="O119" s="157"/>
    </row>
    <row r="120" spans="2:15" outlineLevel="1" x14ac:dyDescent="0.3">
      <c r="B120" s="3" t="s">
        <v>212</v>
      </c>
      <c r="E120" s="159">
        <f t="shared" ref="E120:J124" si="60">E58</f>
        <v>0.32992748846407383</v>
      </c>
      <c r="F120" s="159">
        <f t="shared" si="60"/>
        <v>0.32947722946258601</v>
      </c>
      <c r="G120" s="159">
        <f t="shared" si="60"/>
        <v>0.33227928155831016</v>
      </c>
      <c r="H120" s="159">
        <f t="shared" si="60"/>
        <v>0.32872316884266428</v>
      </c>
      <c r="I120" s="159">
        <f t="shared" si="60"/>
        <v>0.32502538539647374</v>
      </c>
      <c r="J120" s="159">
        <f t="shared" si="60"/>
        <v>0.34163244353182753</v>
      </c>
      <c r="K120" s="160">
        <v>0.33</v>
      </c>
      <c r="L120" s="160">
        <v>0.33</v>
      </c>
      <c r="M120" s="160">
        <v>0.33</v>
      </c>
      <c r="N120" s="160">
        <v>0.33</v>
      </c>
      <c r="O120" s="160">
        <v>0.33</v>
      </c>
    </row>
    <row r="121" spans="2:15" outlineLevel="1" x14ac:dyDescent="0.3">
      <c r="B121" s="3" t="s">
        <v>213</v>
      </c>
      <c r="E121" s="159">
        <f t="shared" si="60"/>
        <v>0.16957811470006592</v>
      </c>
      <c r="F121" s="159">
        <f t="shared" si="60"/>
        <v>0.23488065602577243</v>
      </c>
      <c r="G121" s="159">
        <f t="shared" si="60"/>
        <v>0.52504427017455102</v>
      </c>
      <c r="H121" s="159">
        <f t="shared" si="60"/>
        <v>0.38216419561849968</v>
      </c>
      <c r="I121" s="159">
        <f t="shared" si="60"/>
        <v>0.19375980799409212</v>
      </c>
      <c r="J121" s="159">
        <f t="shared" si="60"/>
        <v>0.13791923340177961</v>
      </c>
      <c r="K121" s="160">
        <v>0.13800000000000001</v>
      </c>
      <c r="L121" s="160">
        <v>0.13800000000000001</v>
      </c>
      <c r="M121" s="160">
        <v>0.13500000000000001</v>
      </c>
      <c r="N121" s="160">
        <v>0.13500000000000001</v>
      </c>
      <c r="O121" s="160">
        <v>0.13500000000000001</v>
      </c>
    </row>
    <row r="122" spans="2:15" outlineLevel="1" x14ac:dyDescent="0.3">
      <c r="B122" s="3" t="s">
        <v>211</v>
      </c>
      <c r="E122" s="159">
        <f t="shared" si="60"/>
        <v>0.12608976428802066</v>
      </c>
      <c r="F122" s="159">
        <f t="shared" si="60"/>
        <v>0.12616487455197134</v>
      </c>
      <c r="G122" s="159">
        <f t="shared" si="60"/>
        <v>0.13628515046867293</v>
      </c>
      <c r="H122" s="159">
        <f t="shared" si="60"/>
        <v>0.12661637931034483</v>
      </c>
      <c r="I122" s="159">
        <f t="shared" si="60"/>
        <v>0.12084754893158556</v>
      </c>
      <c r="J122" s="159">
        <f t="shared" si="60"/>
        <v>0.11824829649326907</v>
      </c>
      <c r="K122" s="160">
        <v>0.122</v>
      </c>
      <c r="L122" s="160">
        <v>0.122</v>
      </c>
      <c r="M122" s="160">
        <v>0.12</v>
      </c>
      <c r="N122" s="160">
        <v>0.12</v>
      </c>
      <c r="O122" s="160">
        <v>0.12</v>
      </c>
    </row>
    <row r="123" spans="2:15" outlineLevel="1" x14ac:dyDescent="0.3">
      <c r="B123" s="3" t="s">
        <v>218</v>
      </c>
      <c r="E123" s="159">
        <f t="shared" si="60"/>
        <v>0.25570073838135227</v>
      </c>
      <c r="F123" s="159">
        <f t="shared" si="60"/>
        <v>0.2453710961314034</v>
      </c>
      <c r="G123" s="159">
        <f t="shared" si="60"/>
        <v>0.15241867342627799</v>
      </c>
      <c r="H123" s="159">
        <f t="shared" si="60"/>
        <v>0.14822199733474944</v>
      </c>
      <c r="I123" s="159">
        <f t="shared" si="60"/>
        <v>0.15460590752100623</v>
      </c>
      <c r="J123" s="159">
        <f t="shared" si="60"/>
        <v>0.16234957753691218</v>
      </c>
      <c r="K123" s="160">
        <v>0.14699999999999999</v>
      </c>
      <c r="L123" s="160">
        <v>0.14699999999999999</v>
      </c>
      <c r="M123" s="160">
        <v>0.14699999999999999</v>
      </c>
      <c r="N123" s="160">
        <v>0.14699999999999999</v>
      </c>
      <c r="O123" s="160">
        <v>0.14699999999999999</v>
      </c>
    </row>
    <row r="124" spans="2:15" outlineLevel="1" x14ac:dyDescent="0.3">
      <c r="B124" s="3" t="s">
        <v>215</v>
      </c>
      <c r="E124" s="159">
        <f t="shared" si="60"/>
        <v>0.25790816914833919</v>
      </c>
      <c r="F124" s="159">
        <f t="shared" si="60"/>
        <v>0.26416042839189113</v>
      </c>
      <c r="G124" s="159">
        <f t="shared" si="60"/>
        <v>0.23372888630107402</v>
      </c>
      <c r="H124" s="159">
        <f t="shared" si="60"/>
        <v>0.22870808058266215</v>
      </c>
      <c r="I124" s="159">
        <f t="shared" si="60"/>
        <v>0.20101491057568127</v>
      </c>
      <c r="J124" s="159">
        <f t="shared" si="60"/>
        <v>0.24510849412456687</v>
      </c>
      <c r="K124" s="160">
        <v>0.2</v>
      </c>
      <c r="L124" s="160">
        <v>0.2</v>
      </c>
      <c r="M124" s="160">
        <v>0.2</v>
      </c>
      <c r="N124" s="160">
        <v>0.2</v>
      </c>
      <c r="O124" s="160">
        <v>0.2</v>
      </c>
    </row>
    <row r="125" spans="2:15" outlineLevel="1" x14ac:dyDescent="0.3">
      <c r="B125" s="3" t="s">
        <v>200</v>
      </c>
      <c r="E125" s="159"/>
      <c r="F125" s="159"/>
      <c r="G125" s="159"/>
      <c r="H125" s="159"/>
      <c r="I125" s="159"/>
      <c r="J125" s="159"/>
      <c r="K125" s="166">
        <v>762</v>
      </c>
      <c r="L125" s="166">
        <v>762</v>
      </c>
      <c r="M125" s="166">
        <v>762</v>
      </c>
      <c r="N125" s="166">
        <v>762</v>
      </c>
      <c r="O125" s="166">
        <v>762</v>
      </c>
    </row>
    <row r="126" spans="2:15" outlineLevel="1" x14ac:dyDescent="0.3">
      <c r="B126" s="3"/>
      <c r="E126" s="156"/>
      <c r="F126" s="156"/>
      <c r="G126" s="156"/>
      <c r="H126" s="156"/>
      <c r="I126" s="156"/>
      <c r="J126" s="157"/>
      <c r="K126" s="157"/>
      <c r="L126" s="157"/>
      <c r="M126" s="157"/>
      <c r="N126" s="157"/>
      <c r="O126" s="157"/>
    </row>
    <row r="127" spans="2:15" outlineLevel="1" x14ac:dyDescent="0.3">
      <c r="B127" s="279" t="s">
        <v>119</v>
      </c>
      <c r="C127" s="279"/>
      <c r="D127" s="279"/>
      <c r="E127" s="279"/>
      <c r="F127" s="279"/>
      <c r="G127" s="279"/>
      <c r="H127" s="279"/>
      <c r="I127" s="279"/>
      <c r="J127" s="279"/>
      <c r="K127" s="279"/>
      <c r="L127" s="279"/>
      <c r="M127" s="279"/>
      <c r="N127" s="279"/>
      <c r="O127" s="279"/>
    </row>
    <row r="128" spans="2:15" outlineLevel="1" x14ac:dyDescent="0.3">
      <c r="E128" s="156"/>
      <c r="F128" s="156"/>
      <c r="G128" s="156"/>
      <c r="H128" s="156"/>
      <c r="I128" s="156"/>
      <c r="J128" s="157"/>
      <c r="K128" s="157"/>
      <c r="L128" s="157"/>
      <c r="M128" s="157"/>
      <c r="N128" s="157"/>
      <c r="O128" s="157"/>
    </row>
    <row r="129" spans="2:16" outlineLevel="1" x14ac:dyDescent="0.3">
      <c r="B129" s="11" t="s">
        <v>8</v>
      </c>
      <c r="C129" s="11"/>
      <c r="K129" s="157"/>
      <c r="L129" s="157"/>
      <c r="M129" s="157"/>
      <c r="N129" s="157"/>
      <c r="O129" s="157"/>
    </row>
    <row r="130" spans="2:16" outlineLevel="1" x14ac:dyDescent="0.3">
      <c r="B130" s="3" t="s">
        <v>122</v>
      </c>
      <c r="C130" s="3"/>
      <c r="E130" s="159">
        <f t="shared" ref="E130:J137" si="61">E12</f>
        <v>-5.2973915969660834E-2</v>
      </c>
      <c r="F130" s="159">
        <f t="shared" si="61"/>
        <v>3.2092312151970948E-2</v>
      </c>
      <c r="G130" s="159">
        <f t="shared" si="61"/>
        <v>0.34720743656765429</v>
      </c>
      <c r="H130" s="159">
        <f t="shared" si="61"/>
        <v>6.3239764351428418E-2</v>
      </c>
      <c r="I130" s="159">
        <f t="shared" si="61"/>
        <v>-5.7286708686618226E-2</v>
      </c>
      <c r="J130" s="159">
        <f t="shared" si="61"/>
        <v>-1.0798933190197424E-2</v>
      </c>
      <c r="K130" s="160">
        <v>3.5000000000000003E-2</v>
      </c>
      <c r="L130" s="160">
        <v>3.5000000000000003E-2</v>
      </c>
      <c r="M130" s="160">
        <v>3.5000000000000003E-2</v>
      </c>
      <c r="N130" s="160">
        <v>3.5000000000000003E-2</v>
      </c>
      <c r="O130" s="160">
        <v>3.5000000000000003E-2</v>
      </c>
    </row>
    <row r="131" spans="2:16" outlineLevel="1" x14ac:dyDescent="0.3">
      <c r="B131" s="3" t="s">
        <v>123</v>
      </c>
      <c r="C131" s="3"/>
      <c r="E131" s="159">
        <f t="shared" si="61"/>
        <v>0.16461205595250084</v>
      </c>
      <c r="F131" s="159">
        <f t="shared" si="61"/>
        <v>0.16152167807997242</v>
      </c>
      <c r="G131" s="159">
        <f t="shared" si="61"/>
        <v>0.27259708376729663</v>
      </c>
      <c r="H131" s="159">
        <f t="shared" si="61"/>
        <v>0.14181951041286078</v>
      </c>
      <c r="I131" s="159">
        <f t="shared" si="61"/>
        <v>9.0504166186691215E-2</v>
      </c>
      <c r="J131" s="159">
        <f t="shared" si="61"/>
        <v>0.12874413145539898</v>
      </c>
      <c r="K131" s="160">
        <v>0.14000000000000001</v>
      </c>
      <c r="L131" s="160">
        <v>0.14000000000000001</v>
      </c>
      <c r="M131" s="160">
        <v>0.14000000000000001</v>
      </c>
      <c r="N131" s="160">
        <v>0.14000000000000001</v>
      </c>
      <c r="O131" s="160">
        <v>0.14000000000000001</v>
      </c>
    </row>
    <row r="132" spans="2:16" outlineLevel="1" x14ac:dyDescent="0.3">
      <c r="B132" s="3" t="s">
        <v>124</v>
      </c>
      <c r="C132" s="3"/>
      <c r="E132" s="159">
        <f t="shared" si="61"/>
        <v>0.67792204148997348</v>
      </c>
      <c r="F132" s="159">
        <f t="shared" si="61"/>
        <v>0.68533660706600774</v>
      </c>
      <c r="G132" s="159">
        <f t="shared" si="61"/>
        <v>0.64650696723516432</v>
      </c>
      <c r="H132" s="159">
        <f t="shared" si="61"/>
        <v>0.63716520292600543</v>
      </c>
      <c r="I132" s="159">
        <f t="shared" si="61"/>
        <v>0.63499337437308145</v>
      </c>
      <c r="J132" s="159">
        <f t="shared" si="61"/>
        <v>0.62819382363514276</v>
      </c>
      <c r="K132" s="160">
        <v>0.64100000000000001</v>
      </c>
      <c r="L132" s="160">
        <v>0.64100000000000001</v>
      </c>
      <c r="M132" s="160">
        <v>0.64100000000000001</v>
      </c>
      <c r="N132" s="160">
        <v>0.64100000000000001</v>
      </c>
      <c r="O132" s="160">
        <v>0.64100000000000001</v>
      </c>
    </row>
    <row r="133" spans="2:16" outlineLevel="1" x14ac:dyDescent="0.3">
      <c r="B133" s="3" t="s">
        <v>125</v>
      </c>
      <c r="C133" s="3"/>
      <c r="E133" s="159">
        <f t="shared" si="61"/>
        <v>0.36261908362316647</v>
      </c>
      <c r="F133" s="159">
        <f t="shared" si="61"/>
        <v>0.33984898080642761</v>
      </c>
      <c r="G133" s="159">
        <f t="shared" si="61"/>
        <v>0.30274022652539279</v>
      </c>
      <c r="H133" s="159">
        <f t="shared" si="61"/>
        <v>0.28254553366867619</v>
      </c>
      <c r="I133" s="159">
        <f t="shared" si="61"/>
        <v>0.29172535211267608</v>
      </c>
      <c r="J133" s="159">
        <f t="shared" si="61"/>
        <v>0.2611964354417744</v>
      </c>
      <c r="K133" s="160">
        <v>0.28100000000000003</v>
      </c>
      <c r="L133" s="160">
        <v>0.28100000000000003</v>
      </c>
      <c r="M133" s="160">
        <v>0.28100000000000003</v>
      </c>
      <c r="N133" s="160">
        <v>0.28100000000000003</v>
      </c>
      <c r="O133" s="160">
        <v>0.28100000000000003</v>
      </c>
    </row>
    <row r="134" spans="2:16" outlineLevel="1" x14ac:dyDescent="0.3">
      <c r="B134" s="3" t="s">
        <v>106</v>
      </c>
      <c r="C134" s="3"/>
      <c r="E134" s="159">
        <f t="shared" si="61"/>
        <v>6.233136285716482E-2</v>
      </c>
      <c r="F134" s="159">
        <f t="shared" si="61"/>
        <v>6.8309564140393061E-2</v>
      </c>
      <c r="G134" s="159">
        <f t="shared" si="61"/>
        <v>5.9904269074427925E-2</v>
      </c>
      <c r="H134" s="159">
        <f t="shared" si="61"/>
        <v>6.657148363798665E-2</v>
      </c>
      <c r="I134" s="159">
        <f t="shared" si="61"/>
        <v>7.8048971392045086E-2</v>
      </c>
      <c r="J134" s="159">
        <f t="shared" si="61"/>
        <v>8.0222997941360744E-2</v>
      </c>
      <c r="K134" s="160">
        <v>8.5000000000000006E-2</v>
      </c>
      <c r="L134" s="160">
        <v>8.5000000000000006E-2</v>
      </c>
      <c r="M134" s="160">
        <v>8.5000000000000006E-2</v>
      </c>
      <c r="N134" s="160">
        <v>8.5000000000000006E-2</v>
      </c>
      <c r="O134" s="160">
        <v>8.5000000000000006E-2</v>
      </c>
      <c r="P134" s="162"/>
    </row>
    <row r="135" spans="2:16" outlineLevel="1" x14ac:dyDescent="0.3">
      <c r="B135" s="3" t="s">
        <v>107</v>
      </c>
      <c r="C135" s="3"/>
      <c r="E135" s="159">
        <f t="shared" si="61"/>
        <v>7.0126146348213125E-2</v>
      </c>
      <c r="F135" s="159">
        <f t="shared" si="61"/>
        <v>7.2549769593646979E-2</v>
      </c>
      <c r="G135" s="159">
        <f t="shared" si="61"/>
        <v>6.006555190163388E-2</v>
      </c>
      <c r="H135" s="159">
        <f t="shared" si="61"/>
        <v>6.3637378020328261E-2</v>
      </c>
      <c r="I135" s="159">
        <f t="shared" si="61"/>
        <v>6.5048201729783317E-2</v>
      </c>
      <c r="J135" s="159">
        <f t="shared" si="61"/>
        <v>6.6738271510222866E-2</v>
      </c>
      <c r="K135" s="160">
        <v>6.5000000000000002E-2</v>
      </c>
      <c r="L135" s="160">
        <v>6.5000000000000002E-2</v>
      </c>
      <c r="M135" s="160">
        <v>6.5000000000000002E-2</v>
      </c>
      <c r="N135" s="160">
        <v>6.5000000000000002E-2</v>
      </c>
      <c r="O135" s="160">
        <v>6.5000000000000002E-2</v>
      </c>
    </row>
    <row r="136" spans="2:16" outlineLevel="1" x14ac:dyDescent="0.3">
      <c r="B136" s="3" t="s">
        <v>108</v>
      </c>
      <c r="C136" s="3"/>
      <c r="E136" s="161">
        <f t="shared" si="61"/>
        <v>6.9453519567673943E-3</v>
      </c>
      <c r="F136" s="161">
        <f t="shared" si="61"/>
        <v>2.9251589166347921E-3</v>
      </c>
      <c r="G136" s="161">
        <f t="shared" si="61"/>
        <v>7.0527066812094575E-4</v>
      </c>
      <c r="H136" s="161">
        <f t="shared" si="61"/>
        <v>-8.4701061045626988E-4</v>
      </c>
      <c r="I136" s="161">
        <f t="shared" si="61"/>
        <v>-1.4740989081231982E-3</v>
      </c>
      <c r="J136" s="161">
        <f t="shared" si="61"/>
        <v>6.8791796130781137E-4</v>
      </c>
      <c r="K136" s="160">
        <v>2E-3</v>
      </c>
      <c r="L136" s="160">
        <v>2E-3</v>
      </c>
      <c r="M136" s="160">
        <v>2E-3</v>
      </c>
      <c r="N136" s="160">
        <v>2E-3</v>
      </c>
      <c r="O136" s="160">
        <v>2E-3</v>
      </c>
    </row>
    <row r="137" spans="2:16" outlineLevel="1" x14ac:dyDescent="0.3">
      <c r="B137" s="3" t="s">
        <v>280</v>
      </c>
      <c r="C137" s="3"/>
      <c r="E137" s="159">
        <f t="shared" si="61"/>
        <v>0.15943836804235059</v>
      </c>
      <c r="F137" s="159">
        <f t="shared" si="61"/>
        <v>0.14428164731484103</v>
      </c>
      <c r="G137" s="159">
        <f t="shared" si="61"/>
        <v>0.13302260844085087</v>
      </c>
      <c r="H137" s="159">
        <f t="shared" si="61"/>
        <v>0.16204461684424407</v>
      </c>
      <c r="I137" s="159">
        <f t="shared" si="61"/>
        <v>0.14719174228036858</v>
      </c>
      <c r="J137" s="159">
        <f t="shared" si="61"/>
        <v>0.24091185164189982</v>
      </c>
      <c r="K137" s="160">
        <v>0.14000000000000001</v>
      </c>
      <c r="L137" s="160">
        <v>0.14000000000000001</v>
      </c>
      <c r="M137" s="160">
        <v>0.14000000000000001</v>
      </c>
      <c r="N137" s="160">
        <v>0.14000000000000001</v>
      </c>
      <c r="O137" s="160">
        <v>0.14000000000000001</v>
      </c>
    </row>
    <row r="138" spans="2:16" outlineLevel="1" x14ac:dyDescent="0.3">
      <c r="B138" s="3"/>
      <c r="C138" s="3"/>
      <c r="K138" s="157"/>
      <c r="L138" s="157"/>
      <c r="M138" s="157"/>
      <c r="N138" s="157"/>
      <c r="O138" s="157"/>
    </row>
    <row r="139" spans="2:16" outlineLevel="1" x14ac:dyDescent="0.3">
      <c r="B139" s="11" t="s">
        <v>9</v>
      </c>
      <c r="C139" s="11"/>
      <c r="K139" s="157"/>
      <c r="L139" s="157"/>
      <c r="M139" s="157"/>
      <c r="N139" s="157"/>
      <c r="O139" s="157"/>
    </row>
    <row r="140" spans="2:16" outlineLevel="1" x14ac:dyDescent="0.3">
      <c r="B140" s="3" t="s">
        <v>98</v>
      </c>
      <c r="C140" s="11"/>
      <c r="E140" s="164">
        <f t="shared" ref="E140:J144" si="62">E22</f>
        <v>32.163052418765901</v>
      </c>
      <c r="F140" s="164">
        <f t="shared" si="62"/>
        <v>21.433437152796749</v>
      </c>
      <c r="G140" s="164">
        <f t="shared" si="62"/>
        <v>26.219311841713207</v>
      </c>
      <c r="H140" s="164">
        <f t="shared" si="62"/>
        <v>26.087825363656652</v>
      </c>
      <c r="I140" s="164">
        <f t="shared" si="62"/>
        <v>28.100290906244702</v>
      </c>
      <c r="J140" s="164">
        <f t="shared" si="62"/>
        <v>31.185571624023424</v>
      </c>
      <c r="K140" s="165">
        <v>26</v>
      </c>
      <c r="L140" s="165">
        <v>26</v>
      </c>
      <c r="M140" s="165">
        <v>26</v>
      </c>
      <c r="N140" s="165">
        <v>26</v>
      </c>
      <c r="O140" s="165">
        <v>26</v>
      </c>
    </row>
    <row r="141" spans="2:16" outlineLevel="1" x14ac:dyDescent="0.3">
      <c r="B141" s="3" t="s">
        <v>99</v>
      </c>
      <c r="C141" s="11"/>
      <c r="E141" s="164">
        <f t="shared" si="62"/>
        <v>9.263638723714628</v>
      </c>
      <c r="F141" s="164">
        <f t="shared" si="62"/>
        <v>8.7418833562358831</v>
      </c>
      <c r="G141" s="164">
        <f t="shared" si="62"/>
        <v>11.27659274770989</v>
      </c>
      <c r="H141" s="164">
        <f t="shared" si="62"/>
        <v>8.0756980666171607</v>
      </c>
      <c r="I141" s="164">
        <f t="shared" si="62"/>
        <v>10.791292490321617</v>
      </c>
      <c r="J141" s="164">
        <f t="shared" si="62"/>
        <v>12.642570548414087</v>
      </c>
      <c r="K141" s="165">
        <v>9</v>
      </c>
      <c r="L141" s="165">
        <v>9</v>
      </c>
      <c r="M141" s="165">
        <v>9</v>
      </c>
      <c r="N141" s="165">
        <v>9</v>
      </c>
      <c r="O141" s="165">
        <v>9</v>
      </c>
    </row>
    <row r="142" spans="2:16" outlineLevel="1" x14ac:dyDescent="0.3">
      <c r="B142" s="3" t="s">
        <v>100</v>
      </c>
      <c r="C142" s="11"/>
      <c r="E142" s="164">
        <f t="shared" si="62"/>
        <v>104.31407696777144</v>
      </c>
      <c r="F142" s="164">
        <f t="shared" si="62"/>
        <v>91.048189715674184</v>
      </c>
      <c r="G142" s="164">
        <f t="shared" si="62"/>
        <v>93.85107122231561</v>
      </c>
      <c r="H142" s="164">
        <f t="shared" si="62"/>
        <v>104.68527730310539</v>
      </c>
      <c r="I142" s="164">
        <f t="shared" si="62"/>
        <v>106.72146803214764</v>
      </c>
      <c r="J142" s="164">
        <f t="shared" si="62"/>
        <v>119.65847721913745</v>
      </c>
      <c r="K142" s="165">
        <v>120</v>
      </c>
      <c r="L142" s="165">
        <v>120</v>
      </c>
      <c r="M142" s="165">
        <v>120</v>
      </c>
      <c r="N142" s="165">
        <v>120</v>
      </c>
      <c r="O142" s="165">
        <v>120</v>
      </c>
    </row>
    <row r="143" spans="2:16" outlineLevel="1" x14ac:dyDescent="0.3">
      <c r="B143" s="3" t="s">
        <v>110</v>
      </c>
      <c r="E143" s="159">
        <f t="shared" si="62"/>
        <v>0.19876313544012852</v>
      </c>
      <c r="F143" s="159">
        <f t="shared" si="62"/>
        <v>0.19280185053640056</v>
      </c>
      <c r="G143" s="159">
        <f t="shared" si="62"/>
        <v>7.5718186962333622E-2</v>
      </c>
      <c r="H143" s="159">
        <f t="shared" si="62"/>
        <v>6.2531699498894325E-2</v>
      </c>
      <c r="I143" s="159">
        <f t="shared" si="62"/>
        <v>8.2419087624091739E-2</v>
      </c>
      <c r="J143" s="159">
        <f t="shared" si="62"/>
        <v>9.0089122457069057E-2</v>
      </c>
      <c r="K143" s="160">
        <v>8.3000000000000004E-2</v>
      </c>
      <c r="L143" s="160">
        <v>8.2000000000000003E-2</v>
      </c>
      <c r="M143" s="160">
        <v>8.2000000000000003E-2</v>
      </c>
      <c r="N143" s="160">
        <v>8.2500000000000004E-2</v>
      </c>
      <c r="O143" s="160">
        <v>8.3699999999999997E-2</v>
      </c>
    </row>
    <row r="144" spans="2:16" outlineLevel="1" x14ac:dyDescent="0.3">
      <c r="B144" s="3" t="s">
        <v>237</v>
      </c>
      <c r="E144" s="159">
        <f t="shared" si="62"/>
        <v>0.14141251807988528</v>
      </c>
      <c r="F144" s="159">
        <f t="shared" si="62"/>
        <v>0.12576743198532664</v>
      </c>
      <c r="G144" s="159">
        <f t="shared" si="62"/>
        <v>0.11845188068419249</v>
      </c>
      <c r="H144" s="159">
        <f t="shared" si="62"/>
        <v>0.14649333917851359</v>
      </c>
      <c r="I144" s="159">
        <f t="shared" si="62"/>
        <v>0.1469946809752635</v>
      </c>
      <c r="J144" s="159">
        <f t="shared" si="62"/>
        <v>0.15608598919905681</v>
      </c>
      <c r="K144" s="160">
        <v>0.14299999999999999</v>
      </c>
      <c r="L144" s="160">
        <v>0.14199999999999999</v>
      </c>
      <c r="M144" s="160">
        <v>0.14199999999999999</v>
      </c>
      <c r="N144" s="160">
        <v>0.14249999999999999</v>
      </c>
      <c r="O144" s="160">
        <v>0.14299999999999999</v>
      </c>
    </row>
    <row r="145" spans="2:15" outlineLevel="1" x14ac:dyDescent="0.3">
      <c r="B145" s="3" t="s">
        <v>10</v>
      </c>
      <c r="E145" s="159"/>
      <c r="F145" s="159"/>
      <c r="G145" s="159"/>
      <c r="H145" s="159"/>
      <c r="I145" s="159"/>
      <c r="J145" s="159"/>
      <c r="K145" s="160"/>
      <c r="L145" s="160"/>
      <c r="M145" s="160"/>
      <c r="N145" s="160"/>
      <c r="O145" s="160"/>
    </row>
    <row r="146" spans="2:15" outlineLevel="1" x14ac:dyDescent="0.3">
      <c r="B146" s="3" t="s">
        <v>109</v>
      </c>
      <c r="E146" s="159">
        <f t="shared" ref="E146:J147" si="63">E28</f>
        <v>4.7475919961256698E-2</v>
      </c>
      <c r="F146" s="159">
        <f t="shared" si="63"/>
        <v>4.1032366173068865E-2</v>
      </c>
      <c r="G146" s="159">
        <f t="shared" si="63"/>
        <v>3.8573931774630484E-2</v>
      </c>
      <c r="H146" s="159">
        <f t="shared" si="63"/>
        <v>5.3820677202734778E-2</v>
      </c>
      <c r="I146" s="159">
        <f t="shared" si="63"/>
        <v>3.8339616734283891E-2</v>
      </c>
      <c r="J146" s="159">
        <f t="shared" si="63"/>
        <v>3.6536371424552787E-2</v>
      </c>
      <c r="K146" s="160">
        <v>3.5000000000000003E-2</v>
      </c>
      <c r="L146" s="160">
        <v>3.3700000000000001E-2</v>
      </c>
      <c r="M146" s="160">
        <v>3.4000000000000002E-2</v>
      </c>
      <c r="N146" s="160">
        <v>3.5000000000000003E-2</v>
      </c>
      <c r="O146" s="160">
        <v>3.5000000000000003E-2</v>
      </c>
    </row>
    <row r="147" spans="2:15" outlineLevel="1" x14ac:dyDescent="0.3">
      <c r="B147" s="3" t="s">
        <v>230</v>
      </c>
      <c r="E147" s="159">
        <f t="shared" si="63"/>
        <v>0.40488672965015721</v>
      </c>
      <c r="F147" s="159">
        <f t="shared" si="63"/>
        <v>0.36750997213267034</v>
      </c>
      <c r="G147" s="159">
        <f t="shared" si="63"/>
        <v>0.3495654931290782</v>
      </c>
      <c r="H147" s="159">
        <f t="shared" si="63"/>
        <v>0.30635663711428052</v>
      </c>
      <c r="I147" s="159">
        <f t="shared" si="63"/>
        <v>0.26232177100590942</v>
      </c>
      <c r="J147" s="159">
        <f t="shared" si="63"/>
        <v>0.23394069584564042</v>
      </c>
      <c r="K147" s="160">
        <v>0.27889999999999998</v>
      </c>
      <c r="L147" s="160">
        <v>0.27700000000000002</v>
      </c>
      <c r="M147" s="160">
        <v>0.27829999999999999</v>
      </c>
      <c r="N147" s="160">
        <v>0.28000000000000003</v>
      </c>
      <c r="O147" s="160">
        <v>0.28000000000000003</v>
      </c>
    </row>
    <row r="148" spans="2:15" outlineLevel="1" x14ac:dyDescent="0.3">
      <c r="B148" s="3" t="s">
        <v>111</v>
      </c>
      <c r="E148" s="159"/>
      <c r="F148" s="159"/>
      <c r="G148" s="159"/>
      <c r="H148" s="159"/>
      <c r="I148" s="159"/>
      <c r="J148" s="159"/>
      <c r="K148" s="157"/>
      <c r="L148" s="157"/>
      <c r="M148" s="157"/>
      <c r="N148" s="157"/>
      <c r="O148" s="157"/>
    </row>
    <row r="149" spans="2:15" outlineLevel="1" x14ac:dyDescent="0.3">
      <c r="B149" s="3"/>
      <c r="E149" s="159"/>
      <c r="F149" s="159"/>
      <c r="G149" s="159"/>
      <c r="H149" s="159"/>
      <c r="I149" s="159"/>
      <c r="J149" s="159"/>
      <c r="K149" s="157"/>
      <c r="L149" s="157"/>
      <c r="M149" s="157"/>
      <c r="N149" s="157"/>
      <c r="O149" s="157"/>
    </row>
    <row r="150" spans="2:15" outlineLevel="1" x14ac:dyDescent="0.3">
      <c r="B150" s="3" t="s">
        <v>11</v>
      </c>
      <c r="E150" s="159"/>
      <c r="F150" s="159"/>
      <c r="G150" s="159"/>
      <c r="H150" s="159"/>
      <c r="I150" s="159"/>
      <c r="J150" s="159"/>
      <c r="K150" s="157"/>
      <c r="L150" s="157"/>
      <c r="M150" s="157"/>
      <c r="N150" s="157"/>
      <c r="O150" s="157"/>
    </row>
    <row r="151" spans="2:15" outlineLevel="1" x14ac:dyDescent="0.3">
      <c r="B151" s="3" t="s">
        <v>112</v>
      </c>
      <c r="E151" s="159"/>
      <c r="F151" s="159"/>
      <c r="G151" s="159"/>
      <c r="H151" s="159"/>
      <c r="I151" s="159"/>
      <c r="J151" s="159"/>
      <c r="K151" s="157"/>
      <c r="L151" s="157"/>
      <c r="M151" s="157"/>
      <c r="N151" s="157"/>
      <c r="O151" s="157"/>
    </row>
    <row r="152" spans="2:15" outlineLevel="1" x14ac:dyDescent="0.3">
      <c r="B152" s="3" t="s">
        <v>113</v>
      </c>
      <c r="E152" s="159">
        <f t="shared" ref="E152:J152" si="64">E34</f>
        <v>2.2984617986424469E-2</v>
      </c>
      <c r="F152" s="159">
        <f t="shared" si="64"/>
        <v>1.8199369797643115E-2</v>
      </c>
      <c r="G152" s="159">
        <f t="shared" si="64"/>
        <v>1.6401643444673156E-2</v>
      </c>
      <c r="H152" s="159">
        <f t="shared" si="64"/>
        <v>2.5313951837049362E-2</v>
      </c>
      <c r="I152" s="159">
        <f t="shared" si="64"/>
        <v>1.5615012327641311E-2</v>
      </c>
      <c r="J152" s="159">
        <f t="shared" si="64"/>
        <v>2.5488766990167121E-2</v>
      </c>
      <c r="K152" s="160">
        <v>2.5000000000000001E-2</v>
      </c>
      <c r="L152" s="160">
        <v>2.5000000000000001E-2</v>
      </c>
      <c r="M152" s="160">
        <v>2.5000000000000001E-2</v>
      </c>
      <c r="N152" s="160">
        <v>2.5000000000000001E-2</v>
      </c>
      <c r="O152" s="160">
        <v>2.5000000000000001E-2</v>
      </c>
    </row>
    <row r="153" spans="2:15" outlineLevel="1" x14ac:dyDescent="0.3">
      <c r="B153" s="3" t="s">
        <v>114</v>
      </c>
      <c r="E153" s="159">
        <f>E35</f>
        <v>0.39230284348166994</v>
      </c>
      <c r="F153" s="159">
        <f t="shared" ref="F153:J153" si="65">F35</f>
        <v>0.39138116314226912</v>
      </c>
      <c r="G153" s="159">
        <f t="shared" si="65"/>
        <v>0.32453111801802542</v>
      </c>
      <c r="H153" s="159">
        <f t="shared" si="65"/>
        <v>0.27917621878233351</v>
      </c>
      <c r="I153" s="159">
        <f t="shared" si="65"/>
        <v>0.2742163142309248</v>
      </c>
      <c r="J153" s="159">
        <f t="shared" si="65"/>
        <v>0.24719526385106191</v>
      </c>
      <c r="K153" s="160">
        <v>0.26</v>
      </c>
      <c r="L153" s="160">
        <v>0.26</v>
      </c>
      <c r="M153" s="160">
        <v>0.26</v>
      </c>
      <c r="N153" s="160">
        <v>0.26</v>
      </c>
      <c r="O153" s="160">
        <v>0.26</v>
      </c>
    </row>
    <row r="154" spans="2:15" outlineLevel="1" x14ac:dyDescent="0.3">
      <c r="B154" s="3" t="s">
        <v>12</v>
      </c>
      <c r="E154" s="159"/>
      <c r="F154" s="159"/>
      <c r="G154" s="159"/>
      <c r="H154" s="159"/>
      <c r="I154" s="159"/>
      <c r="J154" s="159"/>
      <c r="K154" s="157"/>
      <c r="L154" s="157"/>
      <c r="M154" s="157"/>
      <c r="N154" s="157"/>
      <c r="O154" s="157"/>
    </row>
    <row r="155" spans="2:15" outlineLevel="1" x14ac:dyDescent="0.3">
      <c r="K155" s="157"/>
      <c r="L155" s="157"/>
      <c r="M155" s="157"/>
      <c r="N155" s="157"/>
      <c r="O155" s="157"/>
    </row>
    <row r="156" spans="2:15" outlineLevel="1" x14ac:dyDescent="0.3">
      <c r="B156" s="11" t="s">
        <v>13</v>
      </c>
      <c r="K156" s="157"/>
      <c r="L156" s="157"/>
      <c r="M156" s="157"/>
      <c r="N156" s="157"/>
      <c r="O156" s="157"/>
    </row>
    <row r="157" spans="2:15" outlineLevel="1" x14ac:dyDescent="0.3">
      <c r="B157" s="3" t="s">
        <v>279</v>
      </c>
      <c r="E157" s="159">
        <f t="shared" ref="E157:J159" si="66">E39</f>
        <v>4.7929462590420259E-3</v>
      </c>
      <c r="F157" s="159">
        <f t="shared" si="66"/>
        <v>4.9396207857494122E-3</v>
      </c>
      <c r="G157" s="159">
        <f t="shared" si="66"/>
        <v>4.8767553175494849E-3</v>
      </c>
      <c r="H157" s="159">
        <f t="shared" si="66"/>
        <v>6.0964476273559064E-3</v>
      </c>
      <c r="I157" s="159">
        <f t="shared" si="66"/>
        <v>7.8766453161485585E-3</v>
      </c>
      <c r="J157" s="159">
        <f t="shared" si="66"/>
        <v>8.2984899049957164E-3</v>
      </c>
      <c r="K157" s="160">
        <v>8.0000000000000002E-3</v>
      </c>
      <c r="L157" s="160">
        <v>8.0000000000000002E-3</v>
      </c>
      <c r="M157" s="160">
        <v>8.0000000000000002E-3</v>
      </c>
      <c r="N157" s="160">
        <v>8.0000000000000002E-3</v>
      </c>
      <c r="O157" s="160">
        <v>8.0000000000000002E-3</v>
      </c>
    </row>
    <row r="158" spans="2:15" outlineLevel="1" x14ac:dyDescent="0.3">
      <c r="B158" s="3" t="s">
        <v>206</v>
      </c>
      <c r="E158" s="159">
        <f t="shared" si="66"/>
        <v>2.3807144449483807E-2</v>
      </c>
      <c r="F158" s="159">
        <f t="shared" si="66"/>
        <v>2.5408447625812798E-2</v>
      </c>
      <c r="G158" s="159">
        <f t="shared" si="66"/>
        <v>2.2164087508234991E-2</v>
      </c>
      <c r="H158" s="159">
        <f t="shared" si="66"/>
        <v>2.3533707979144267E-2</v>
      </c>
      <c r="I158" s="159">
        <f t="shared" si="66"/>
        <v>2.9059316174648107E-2</v>
      </c>
      <c r="J158" s="159">
        <f t="shared" si="66"/>
        <v>3.0774738834119707E-2</v>
      </c>
      <c r="K158" s="160">
        <v>2.4E-2</v>
      </c>
      <c r="L158" s="160">
        <v>2.4E-2</v>
      </c>
      <c r="M158" s="160">
        <v>2.4E-2</v>
      </c>
      <c r="N158" s="160">
        <v>2.4E-2</v>
      </c>
      <c r="O158" s="160">
        <v>2.4E-2</v>
      </c>
    </row>
    <row r="159" spans="2:15" outlineLevel="1" x14ac:dyDescent="0.3">
      <c r="B159" s="3" t="s">
        <v>207</v>
      </c>
      <c r="E159" s="159">
        <f t="shared" si="66"/>
        <v>0.17607799895537113</v>
      </c>
      <c r="F159" s="159">
        <f t="shared" si="66"/>
        <v>0.17660597910416881</v>
      </c>
      <c r="G159" s="159">
        <f t="shared" si="66"/>
        <v>0.18014446191355071</v>
      </c>
      <c r="H159" s="159">
        <f t="shared" si="66"/>
        <v>0.17602492939916253</v>
      </c>
      <c r="I159" s="159">
        <f t="shared" si="66"/>
        <v>0.19751308184586214</v>
      </c>
      <c r="J159" s="159">
        <f t="shared" si="66"/>
        <v>0.20338629126281171</v>
      </c>
      <c r="K159" s="160">
        <v>0.18</v>
      </c>
      <c r="L159" s="160">
        <v>0.18</v>
      </c>
      <c r="M159" s="160">
        <v>0.18</v>
      </c>
      <c r="N159" s="160">
        <v>0.18</v>
      </c>
      <c r="O159" s="160">
        <v>0.18</v>
      </c>
    </row>
    <row r="160" spans="2:15" outlineLevel="1" x14ac:dyDescent="0.3">
      <c r="B160" s="3" t="s">
        <v>255</v>
      </c>
      <c r="E160" s="159"/>
      <c r="F160" s="159"/>
      <c r="G160" s="159"/>
      <c r="H160" s="159"/>
      <c r="I160" s="159"/>
      <c r="J160" s="159"/>
      <c r="K160" s="160"/>
      <c r="L160" s="160"/>
      <c r="M160" s="160"/>
      <c r="N160" s="160"/>
      <c r="O160" s="160"/>
    </row>
    <row r="161" spans="2:15" outlineLevel="1" x14ac:dyDescent="0.3">
      <c r="B161" s="3" t="s">
        <v>81</v>
      </c>
      <c r="E161" s="159"/>
      <c r="F161" s="159"/>
      <c r="G161" s="159"/>
      <c r="H161" s="159"/>
      <c r="I161" s="159"/>
      <c r="J161" s="159"/>
      <c r="K161" s="166">
        <v>-500</v>
      </c>
      <c r="L161" s="166">
        <v>-500</v>
      </c>
      <c r="M161" s="166">
        <v>-500</v>
      </c>
      <c r="N161" s="166">
        <v>-500</v>
      </c>
      <c r="O161" s="166">
        <v>-500</v>
      </c>
    </row>
    <row r="162" spans="2:15" outlineLevel="1" x14ac:dyDescent="0.3">
      <c r="B162" s="3" t="s">
        <v>82</v>
      </c>
      <c r="E162" s="159">
        <f t="shared" ref="E162:J162" si="67">E44</f>
        <v>3.3554467394897262E-3</v>
      </c>
      <c r="F162" s="159">
        <f t="shared" si="67"/>
        <v>-3.4927053166493631E-2</v>
      </c>
      <c r="G162" s="159">
        <f t="shared" si="67"/>
        <v>-2.1983669430343588E-2</v>
      </c>
      <c r="H162" s="159">
        <f t="shared" si="67"/>
        <v>-1.6481203465135624E-2</v>
      </c>
      <c r="I162" s="159">
        <f t="shared" si="67"/>
        <v>-1.4829695918180988E-2</v>
      </c>
      <c r="J162" s="159">
        <f t="shared" si="67"/>
        <v>-2.9999872134207937E-2</v>
      </c>
      <c r="K162" s="160">
        <v>-0.01</v>
      </c>
      <c r="L162" s="160">
        <v>-0.01</v>
      </c>
      <c r="M162" s="160">
        <v>-0.01</v>
      </c>
      <c r="N162" s="160">
        <v>-0.01</v>
      </c>
      <c r="O162" s="160">
        <v>-0.01</v>
      </c>
    </row>
    <row r="163" spans="2:15" outlineLevel="1" x14ac:dyDescent="0.3">
      <c r="B163" s="3" t="s">
        <v>112</v>
      </c>
      <c r="E163" s="159"/>
      <c r="F163" s="159"/>
      <c r="G163" s="159"/>
      <c r="H163" s="159"/>
      <c r="I163" s="159"/>
      <c r="J163" s="159"/>
      <c r="K163" s="160"/>
      <c r="L163" s="160"/>
      <c r="M163" s="160"/>
      <c r="N163" s="160"/>
      <c r="O163" s="160"/>
    </row>
    <row r="164" spans="2:15" outlineLevel="1" x14ac:dyDescent="0.3">
      <c r="B164" s="3" t="s">
        <v>83</v>
      </c>
      <c r="E164" s="159"/>
      <c r="F164" s="159"/>
      <c r="G164" s="159"/>
      <c r="H164" s="159"/>
      <c r="I164" s="159"/>
      <c r="J164" s="159"/>
      <c r="K164" s="160"/>
      <c r="L164" s="160"/>
      <c r="M164" s="160"/>
      <c r="N164" s="160"/>
      <c r="O164" s="160"/>
    </row>
    <row r="165" spans="2:15" outlineLevel="1" x14ac:dyDescent="0.3">
      <c r="B165" s="3"/>
      <c r="K165" s="157"/>
      <c r="L165" s="157"/>
      <c r="M165" s="157"/>
      <c r="N165" s="157"/>
      <c r="O165" s="157"/>
    </row>
    <row r="166" spans="2:15" outlineLevel="1" x14ac:dyDescent="0.3">
      <c r="B166" s="3" t="s">
        <v>56</v>
      </c>
      <c r="E166" s="159">
        <f t="shared" ref="E166:J171" si="68">E48</f>
        <v>3.0018372320062725E-3</v>
      </c>
      <c r="F166" s="159">
        <f t="shared" si="68"/>
        <v>3.2056536072710053E-3</v>
      </c>
      <c r="G166" s="159">
        <f t="shared" si="68"/>
        <v>3.0206360010606396E-3</v>
      </c>
      <c r="H166" s="159">
        <f t="shared" si="68"/>
        <v>0</v>
      </c>
      <c r="I166" s="159">
        <f t="shared" si="68"/>
        <v>0</v>
      </c>
      <c r="J166" s="159">
        <f t="shared" si="68"/>
        <v>0</v>
      </c>
      <c r="K166" s="160">
        <v>0</v>
      </c>
      <c r="L166" s="160">
        <v>0</v>
      </c>
      <c r="M166" s="160">
        <v>0</v>
      </c>
      <c r="N166" s="160">
        <v>0</v>
      </c>
      <c r="O166" s="160">
        <v>0</v>
      </c>
    </row>
    <row r="167" spans="2:15" outlineLevel="1" x14ac:dyDescent="0.3">
      <c r="B167" s="3" t="s">
        <v>91</v>
      </c>
      <c r="E167" s="159">
        <f t="shared" si="68"/>
        <v>0.46423862887277523</v>
      </c>
      <c r="F167" s="159">
        <f t="shared" si="68"/>
        <v>0.53214233416312784</v>
      </c>
      <c r="G167" s="159">
        <f t="shared" si="68"/>
        <v>0.82924361244624334</v>
      </c>
      <c r="H167" s="159">
        <f t="shared" si="68"/>
        <v>0.68853728701040051</v>
      </c>
      <c r="I167" s="159">
        <f t="shared" si="68"/>
        <v>0.50133850272316072</v>
      </c>
      <c r="J167" s="159">
        <f t="shared" si="68"/>
        <v>0.4655201916495551</v>
      </c>
      <c r="K167" s="160">
        <v>0.65</v>
      </c>
      <c r="L167" s="160">
        <v>0.65</v>
      </c>
      <c r="M167" s="160">
        <v>0.65</v>
      </c>
      <c r="N167" s="160">
        <v>0.65</v>
      </c>
      <c r="O167" s="160">
        <v>0.65</v>
      </c>
    </row>
    <row r="168" spans="2:15" outlineLevel="1" x14ac:dyDescent="0.3">
      <c r="B168" s="3" t="s">
        <v>219</v>
      </c>
      <c r="E168" s="159">
        <f t="shared" si="68"/>
        <v>0.25551976255972203</v>
      </c>
      <c r="F168" s="159">
        <f t="shared" si="68"/>
        <v>0.24526658654264863</v>
      </c>
      <c r="G168" s="159">
        <f t="shared" si="68"/>
        <v>0.15279890156316012</v>
      </c>
      <c r="H168" s="159">
        <f t="shared" si="68"/>
        <v>0.14870294480125848</v>
      </c>
      <c r="I168" s="159">
        <f t="shared" si="68"/>
        <v>0.1549048920047425</v>
      </c>
      <c r="J168" s="159">
        <f t="shared" si="68"/>
        <v>0.16252026969360758</v>
      </c>
      <c r="K168" s="160">
        <v>0.16300000000000001</v>
      </c>
      <c r="L168" s="160">
        <v>0.16300000000000001</v>
      </c>
      <c r="M168" s="160">
        <v>0.16300000000000001</v>
      </c>
      <c r="N168" s="160">
        <v>0.16300000000000001</v>
      </c>
      <c r="O168" s="160">
        <v>0.16300000000000001</v>
      </c>
    </row>
    <row r="169" spans="2:15" outlineLevel="1" x14ac:dyDescent="0.3">
      <c r="B169" s="3" t="s">
        <v>55</v>
      </c>
      <c r="E169" s="159">
        <f t="shared" si="68"/>
        <v>0.25712407850131064</v>
      </c>
      <c r="F169" s="159">
        <f t="shared" si="68"/>
        <v>0.2635848678578584</v>
      </c>
      <c r="G169" s="159">
        <f t="shared" si="68"/>
        <v>0.23501094809699932</v>
      </c>
      <c r="H169" s="159">
        <f t="shared" si="68"/>
        <v>0.22671988801201032</v>
      </c>
      <c r="I169" s="159">
        <f t="shared" si="68"/>
        <v>0.2023298589822195</v>
      </c>
      <c r="J169" s="159">
        <f t="shared" si="68"/>
        <v>0.24281458181492704</v>
      </c>
      <c r="K169" s="160">
        <v>0.245</v>
      </c>
      <c r="L169" s="160">
        <v>0.245</v>
      </c>
      <c r="M169" s="160">
        <v>0.245</v>
      </c>
      <c r="N169" s="160">
        <v>0.245</v>
      </c>
      <c r="O169" s="160">
        <v>0.245</v>
      </c>
    </row>
    <row r="170" spans="2:15" outlineLevel="1" x14ac:dyDescent="0.3">
      <c r="B170" s="3" t="s">
        <v>93</v>
      </c>
      <c r="E170" s="159">
        <f t="shared" si="68"/>
        <v>2.6762858702253107E-2</v>
      </c>
      <c r="F170" s="159">
        <f t="shared" si="68"/>
        <v>5.8616104766588344E-2</v>
      </c>
      <c r="G170" s="159">
        <f t="shared" si="68"/>
        <v>5.5746452461203279E-2</v>
      </c>
      <c r="H170" s="159">
        <f t="shared" si="68"/>
        <v>1.385902091659735E-2</v>
      </c>
      <c r="I170" s="159">
        <f t="shared" si="68"/>
        <v>1.363998069321784E-2</v>
      </c>
      <c r="J170" s="159">
        <f t="shared" si="68"/>
        <v>0</v>
      </c>
      <c r="K170" s="160">
        <v>0.02</v>
      </c>
      <c r="L170" s="160">
        <v>0.02</v>
      </c>
      <c r="M170" s="160">
        <v>0.02</v>
      </c>
      <c r="N170" s="160">
        <v>0.02</v>
      </c>
      <c r="O170" s="160">
        <v>0.02</v>
      </c>
    </row>
    <row r="171" spans="2:15" outlineLevel="1" x14ac:dyDescent="0.3">
      <c r="B171" s="3" t="s">
        <v>94</v>
      </c>
      <c r="E171" s="159">
        <f t="shared" si="68"/>
        <v>3.3842736015128334E-2</v>
      </c>
      <c r="F171" s="159">
        <f t="shared" si="68"/>
        <v>4.6004772052529008E-2</v>
      </c>
      <c r="G171" s="159">
        <f t="shared" si="68"/>
        <v>2.3919063356815019E-2</v>
      </c>
      <c r="H171" s="159">
        <f t="shared" si="68"/>
        <v>2.4200665435880789E-2</v>
      </c>
      <c r="I171" s="159">
        <f t="shared" si="68"/>
        <v>2.9093233494658022E-2</v>
      </c>
      <c r="J171" s="159">
        <f t="shared" si="68"/>
        <v>2.5465751147595483E-2</v>
      </c>
      <c r="K171" s="160">
        <v>1.2E-2</v>
      </c>
      <c r="L171" s="160">
        <v>1.2E-2</v>
      </c>
      <c r="M171" s="160">
        <v>1.2E-2</v>
      </c>
      <c r="N171" s="160">
        <v>1.2E-2</v>
      </c>
      <c r="O171" s="160">
        <v>1.2E-2</v>
      </c>
    </row>
    <row r="172" spans="2:15" outlineLevel="1" x14ac:dyDescent="0.3">
      <c r="B172" s="3" t="s">
        <v>95</v>
      </c>
      <c r="E172" s="159"/>
      <c r="F172" s="159"/>
      <c r="G172" s="159"/>
      <c r="H172" s="159"/>
      <c r="I172" s="159"/>
      <c r="J172" s="159"/>
      <c r="K172" s="157"/>
      <c r="L172" s="157"/>
      <c r="M172" s="157"/>
      <c r="N172" s="157"/>
      <c r="O172" s="157"/>
    </row>
    <row r="173" spans="2:15" outlineLevel="1" x14ac:dyDescent="0.3">
      <c r="B173" s="3" t="s">
        <v>81</v>
      </c>
      <c r="E173" s="159"/>
      <c r="F173" s="159"/>
      <c r="G173" s="159"/>
      <c r="H173" s="159"/>
      <c r="I173" s="159"/>
      <c r="J173" s="159"/>
      <c r="K173" s="166">
        <v>-150</v>
      </c>
      <c r="L173" s="166">
        <v>-150</v>
      </c>
      <c r="M173" s="166">
        <v>-150</v>
      </c>
      <c r="N173" s="166">
        <v>-150</v>
      </c>
      <c r="O173" s="166">
        <v>-150</v>
      </c>
    </row>
    <row r="174" spans="2:15" outlineLevel="1" x14ac:dyDescent="0.3">
      <c r="B174" s="3"/>
      <c r="E174" s="159"/>
      <c r="F174" s="159"/>
      <c r="G174" s="159"/>
      <c r="H174" s="159"/>
      <c r="I174" s="159"/>
      <c r="J174" s="159"/>
      <c r="K174" s="157"/>
      <c r="L174" s="157"/>
      <c r="M174" s="157"/>
      <c r="N174" s="157"/>
      <c r="O174" s="157"/>
    </row>
    <row r="175" spans="2:15" outlineLevel="1" x14ac:dyDescent="0.3">
      <c r="B175" s="11" t="s">
        <v>217</v>
      </c>
      <c r="E175" s="159"/>
      <c r="F175" s="159"/>
      <c r="G175" s="159"/>
      <c r="H175" s="159"/>
      <c r="I175" s="159"/>
      <c r="J175" s="159"/>
      <c r="K175" s="157"/>
      <c r="L175" s="157"/>
      <c r="M175" s="157"/>
      <c r="N175" s="157"/>
      <c r="O175" s="157"/>
    </row>
    <row r="176" spans="2:15" outlineLevel="1" x14ac:dyDescent="0.3">
      <c r="B176" s="3" t="s">
        <v>212</v>
      </c>
      <c r="E176" s="159">
        <f t="shared" ref="E176:J180" si="69">E58</f>
        <v>0.32992748846407383</v>
      </c>
      <c r="F176" s="159">
        <f t="shared" si="69"/>
        <v>0.32947722946258601</v>
      </c>
      <c r="G176" s="159">
        <f t="shared" si="69"/>
        <v>0.33227928155831016</v>
      </c>
      <c r="H176" s="159">
        <f t="shared" si="69"/>
        <v>0.32872316884266428</v>
      </c>
      <c r="I176" s="159">
        <f t="shared" si="69"/>
        <v>0.32502538539647374</v>
      </c>
      <c r="J176" s="159">
        <f t="shared" si="69"/>
        <v>0.34163244353182753</v>
      </c>
      <c r="K176" s="160">
        <v>0.32500000000000001</v>
      </c>
      <c r="L176" s="160">
        <v>0.32500000000000001</v>
      </c>
      <c r="M176" s="160">
        <v>0.32500000000000001</v>
      </c>
      <c r="N176" s="160">
        <v>0.32500000000000001</v>
      </c>
      <c r="O176" s="160">
        <v>0.32500000000000001</v>
      </c>
    </row>
    <row r="177" spans="2:16" outlineLevel="1" x14ac:dyDescent="0.3">
      <c r="B177" s="3" t="s">
        <v>213</v>
      </c>
      <c r="E177" s="159">
        <f t="shared" si="69"/>
        <v>0.16957811470006592</v>
      </c>
      <c r="F177" s="159">
        <f t="shared" si="69"/>
        <v>0.23488065602577243</v>
      </c>
      <c r="G177" s="159">
        <f t="shared" si="69"/>
        <v>0.52504427017455102</v>
      </c>
      <c r="H177" s="159">
        <f t="shared" si="69"/>
        <v>0.38216419561849968</v>
      </c>
      <c r="I177" s="159">
        <f t="shared" si="69"/>
        <v>0.19375980799409212</v>
      </c>
      <c r="J177" s="159">
        <f t="shared" si="69"/>
        <v>0.13791923340177961</v>
      </c>
      <c r="K177" s="160">
        <v>0.2</v>
      </c>
      <c r="L177" s="160">
        <v>0.2</v>
      </c>
      <c r="M177" s="160">
        <v>0.2</v>
      </c>
      <c r="N177" s="160">
        <v>0.2</v>
      </c>
      <c r="O177" s="160">
        <v>0.2</v>
      </c>
    </row>
    <row r="178" spans="2:16" outlineLevel="1" x14ac:dyDescent="0.3">
      <c r="B178" s="3" t="s">
        <v>211</v>
      </c>
      <c r="E178" s="159">
        <f t="shared" si="69"/>
        <v>0.12608976428802066</v>
      </c>
      <c r="F178" s="159">
        <f t="shared" si="69"/>
        <v>0.12616487455197134</v>
      </c>
      <c r="G178" s="159">
        <f t="shared" si="69"/>
        <v>0.13628515046867293</v>
      </c>
      <c r="H178" s="159">
        <f t="shared" si="69"/>
        <v>0.12661637931034483</v>
      </c>
      <c r="I178" s="159">
        <f t="shared" si="69"/>
        <v>0.12084754893158556</v>
      </c>
      <c r="J178" s="159">
        <f t="shared" si="69"/>
        <v>0.11824829649326907</v>
      </c>
      <c r="K178" s="160">
        <v>0.125</v>
      </c>
      <c r="L178" s="160">
        <v>0.125</v>
      </c>
      <c r="M178" s="160">
        <v>0.125</v>
      </c>
      <c r="N178" s="160">
        <v>0.125</v>
      </c>
      <c r="O178" s="160">
        <v>0.125</v>
      </c>
    </row>
    <row r="179" spans="2:16" outlineLevel="1" x14ac:dyDescent="0.3">
      <c r="B179" s="3" t="s">
        <v>218</v>
      </c>
      <c r="E179" s="159">
        <f t="shared" si="69"/>
        <v>0.25570073838135227</v>
      </c>
      <c r="F179" s="159">
        <f t="shared" si="69"/>
        <v>0.2453710961314034</v>
      </c>
      <c r="G179" s="159">
        <f t="shared" si="69"/>
        <v>0.15241867342627799</v>
      </c>
      <c r="H179" s="159">
        <f t="shared" si="69"/>
        <v>0.14822199733474944</v>
      </c>
      <c r="I179" s="159">
        <f t="shared" si="69"/>
        <v>0.15460590752100623</v>
      </c>
      <c r="J179" s="159">
        <f t="shared" si="69"/>
        <v>0.16234957753691218</v>
      </c>
      <c r="K179" s="160">
        <v>0.161</v>
      </c>
      <c r="L179" s="160">
        <v>0.161</v>
      </c>
      <c r="M179" s="160">
        <v>0.161</v>
      </c>
      <c r="N179" s="160">
        <v>0.161</v>
      </c>
      <c r="O179" s="160">
        <v>0.161</v>
      </c>
    </row>
    <row r="180" spans="2:16" outlineLevel="1" x14ac:dyDescent="0.3">
      <c r="B180" s="3" t="s">
        <v>215</v>
      </c>
      <c r="E180" s="159">
        <f t="shared" si="69"/>
        <v>0.25790816914833919</v>
      </c>
      <c r="F180" s="159">
        <f t="shared" si="69"/>
        <v>0.26416042839189113</v>
      </c>
      <c r="G180" s="159">
        <f t="shared" si="69"/>
        <v>0.23372888630107402</v>
      </c>
      <c r="H180" s="159">
        <f t="shared" si="69"/>
        <v>0.22870808058266215</v>
      </c>
      <c r="I180" s="159">
        <f t="shared" si="69"/>
        <v>0.20101491057568127</v>
      </c>
      <c r="J180" s="159">
        <f t="shared" si="69"/>
        <v>0.24510849412456687</v>
      </c>
      <c r="K180" s="160">
        <v>0.2</v>
      </c>
      <c r="L180" s="160">
        <v>0.2</v>
      </c>
      <c r="M180" s="160">
        <v>0.2</v>
      </c>
      <c r="N180" s="160">
        <v>0.2</v>
      </c>
      <c r="O180" s="160">
        <v>0.2</v>
      </c>
    </row>
    <row r="181" spans="2:16" outlineLevel="1" x14ac:dyDescent="0.3">
      <c r="B181" s="3" t="s">
        <v>200</v>
      </c>
      <c r="E181" s="159"/>
      <c r="F181" s="159"/>
      <c r="G181" s="159"/>
      <c r="H181" s="159"/>
      <c r="I181" s="159"/>
      <c r="J181" s="159"/>
      <c r="K181" s="166">
        <v>1000</v>
      </c>
      <c r="L181" s="166">
        <v>1000</v>
      </c>
      <c r="M181" s="166">
        <v>1000</v>
      </c>
      <c r="N181" s="166">
        <v>1000</v>
      </c>
      <c r="O181" s="166">
        <v>1000</v>
      </c>
    </row>
    <row r="182" spans="2:16" outlineLevel="1" x14ac:dyDescent="0.3">
      <c r="E182" s="156"/>
      <c r="F182" s="156"/>
      <c r="G182" s="156"/>
      <c r="H182" s="156"/>
      <c r="I182" s="156"/>
      <c r="J182" s="157"/>
      <c r="K182" s="157"/>
      <c r="L182" s="157"/>
      <c r="M182" s="157"/>
      <c r="N182" s="157"/>
      <c r="O182" s="157"/>
    </row>
    <row r="183" spans="2:16" outlineLevel="1" x14ac:dyDescent="0.3">
      <c r="B183" s="279" t="s">
        <v>120</v>
      </c>
      <c r="C183" s="279"/>
      <c r="D183" s="279"/>
      <c r="E183" s="279"/>
      <c r="F183" s="279"/>
      <c r="G183" s="279"/>
      <c r="H183" s="279"/>
      <c r="I183" s="279"/>
      <c r="J183" s="279"/>
      <c r="K183" s="279"/>
      <c r="L183" s="279"/>
      <c r="M183" s="279"/>
      <c r="N183" s="279"/>
      <c r="O183" s="279"/>
    </row>
    <row r="184" spans="2:16" outlineLevel="1" x14ac:dyDescent="0.3">
      <c r="E184" s="156"/>
      <c r="F184" s="156"/>
      <c r="G184" s="156"/>
      <c r="H184" s="156"/>
      <c r="I184" s="156"/>
      <c r="J184" s="157"/>
      <c r="K184" s="157"/>
      <c r="L184" s="157"/>
      <c r="M184" s="157"/>
      <c r="N184" s="157"/>
      <c r="O184" s="157"/>
    </row>
    <row r="185" spans="2:16" outlineLevel="1" x14ac:dyDescent="0.3">
      <c r="B185" s="11" t="s">
        <v>8</v>
      </c>
      <c r="C185" s="11"/>
    </row>
    <row r="186" spans="2:16" outlineLevel="1" x14ac:dyDescent="0.3">
      <c r="B186" s="3" t="s">
        <v>122</v>
      </c>
      <c r="C186" s="3"/>
      <c r="E186" s="159">
        <f t="shared" ref="E186:J193" si="70">E12</f>
        <v>-5.2973915969660834E-2</v>
      </c>
      <c r="F186" s="159">
        <f t="shared" si="70"/>
        <v>3.2092312151970948E-2</v>
      </c>
      <c r="G186" s="159">
        <f t="shared" si="70"/>
        <v>0.34720743656765429</v>
      </c>
      <c r="H186" s="159">
        <f t="shared" si="70"/>
        <v>6.3239764351428418E-2</v>
      </c>
      <c r="I186" s="159">
        <f t="shared" si="70"/>
        <v>-5.7286708686618226E-2</v>
      </c>
      <c r="J186" s="159">
        <f t="shared" si="70"/>
        <v>-1.0798933190197424E-2</v>
      </c>
      <c r="K186" s="160">
        <v>-1.0999999999999999E-2</v>
      </c>
      <c r="L186" s="160">
        <v>-1.0999999999999999E-2</v>
      </c>
      <c r="M186" s="160">
        <v>-1.0999999999999999E-2</v>
      </c>
      <c r="N186" s="160">
        <v>-1.0999999999999999E-2</v>
      </c>
      <c r="O186" s="160">
        <v>-1.0999999999999999E-2</v>
      </c>
    </row>
    <row r="187" spans="2:16" outlineLevel="1" x14ac:dyDescent="0.3">
      <c r="B187" s="3" t="s">
        <v>123</v>
      </c>
      <c r="C187" s="3"/>
      <c r="E187" s="159">
        <f t="shared" si="70"/>
        <v>0.16461205595250084</v>
      </c>
      <c r="F187" s="159">
        <f t="shared" si="70"/>
        <v>0.16152167807997242</v>
      </c>
      <c r="G187" s="159">
        <f t="shared" si="70"/>
        <v>0.27259708376729663</v>
      </c>
      <c r="H187" s="159">
        <f t="shared" si="70"/>
        <v>0.14181951041286078</v>
      </c>
      <c r="I187" s="159">
        <f t="shared" si="70"/>
        <v>9.0504166186691215E-2</v>
      </c>
      <c r="J187" s="159">
        <f t="shared" si="70"/>
        <v>0.12874413145539898</v>
      </c>
      <c r="K187" s="160">
        <v>7.0000000000000007E-2</v>
      </c>
      <c r="L187" s="160">
        <v>7.0000000000000007E-2</v>
      </c>
      <c r="M187" s="160">
        <v>7.0000000000000007E-2</v>
      </c>
      <c r="N187" s="160">
        <v>7.0000000000000007E-2</v>
      </c>
      <c r="O187" s="160">
        <v>7.0000000000000007E-2</v>
      </c>
    </row>
    <row r="188" spans="2:16" outlineLevel="1" x14ac:dyDescent="0.3">
      <c r="B188" s="3" t="s">
        <v>124</v>
      </c>
      <c r="C188" s="3"/>
      <c r="E188" s="159">
        <f t="shared" si="70"/>
        <v>0.67792204148997348</v>
      </c>
      <c r="F188" s="159">
        <f t="shared" si="70"/>
        <v>0.68533660706600774</v>
      </c>
      <c r="G188" s="159">
        <f t="shared" si="70"/>
        <v>0.64650696723516432</v>
      </c>
      <c r="H188" s="159">
        <f t="shared" si="70"/>
        <v>0.63716520292600543</v>
      </c>
      <c r="I188" s="159">
        <f t="shared" si="70"/>
        <v>0.63499337437308145</v>
      </c>
      <c r="J188" s="159">
        <f t="shared" si="70"/>
        <v>0.62819382363514276</v>
      </c>
      <c r="K188" s="160">
        <v>0.64</v>
      </c>
      <c r="L188" s="160">
        <v>0.64</v>
      </c>
      <c r="M188" s="160">
        <v>0.64</v>
      </c>
      <c r="N188" s="160">
        <v>0.64</v>
      </c>
      <c r="O188" s="160">
        <v>0.64</v>
      </c>
    </row>
    <row r="189" spans="2:16" outlineLevel="1" x14ac:dyDescent="0.3">
      <c r="B189" s="3" t="s">
        <v>125</v>
      </c>
      <c r="C189" s="3"/>
      <c r="E189" s="159">
        <f t="shared" si="70"/>
        <v>0.36261908362316647</v>
      </c>
      <c r="F189" s="159">
        <f t="shared" si="70"/>
        <v>0.33984898080642761</v>
      </c>
      <c r="G189" s="159">
        <f t="shared" si="70"/>
        <v>0.30274022652539279</v>
      </c>
      <c r="H189" s="159">
        <f t="shared" si="70"/>
        <v>0.28254553366867619</v>
      </c>
      <c r="I189" s="159">
        <f t="shared" si="70"/>
        <v>0.29172535211267608</v>
      </c>
      <c r="J189" s="159">
        <f t="shared" si="70"/>
        <v>0.2611964354417744</v>
      </c>
      <c r="K189" s="160">
        <v>0.29199999999999998</v>
      </c>
      <c r="L189" s="160">
        <v>0.29199999999999998</v>
      </c>
      <c r="M189" s="160">
        <v>0.29199999999999998</v>
      </c>
      <c r="N189" s="160">
        <v>0.29199999999999998</v>
      </c>
      <c r="O189" s="160">
        <v>0.29199999999999998</v>
      </c>
    </row>
    <row r="190" spans="2:16" outlineLevel="1" x14ac:dyDescent="0.3">
      <c r="B190" s="3" t="s">
        <v>106</v>
      </c>
      <c r="C190" s="3"/>
      <c r="E190" s="159">
        <f t="shared" si="70"/>
        <v>6.233136285716482E-2</v>
      </c>
      <c r="F190" s="159">
        <f t="shared" si="70"/>
        <v>6.8309564140393061E-2</v>
      </c>
      <c r="G190" s="159">
        <f t="shared" si="70"/>
        <v>5.9904269074427925E-2</v>
      </c>
      <c r="H190" s="159">
        <f t="shared" si="70"/>
        <v>6.657148363798665E-2</v>
      </c>
      <c r="I190" s="159">
        <f t="shared" si="70"/>
        <v>7.8048971392045086E-2</v>
      </c>
      <c r="J190" s="159">
        <f t="shared" si="70"/>
        <v>8.0222997941360744E-2</v>
      </c>
      <c r="K190" s="160">
        <v>7.3999999999999996E-2</v>
      </c>
      <c r="L190" s="160">
        <v>7.3999999999999996E-2</v>
      </c>
      <c r="M190" s="160">
        <v>7.3999999999999996E-2</v>
      </c>
      <c r="N190" s="160">
        <v>7.3999999999999996E-2</v>
      </c>
      <c r="O190" s="160">
        <v>7.3999999999999996E-2</v>
      </c>
      <c r="P190" s="162"/>
    </row>
    <row r="191" spans="2:16" outlineLevel="1" x14ac:dyDescent="0.3">
      <c r="B191" s="3" t="s">
        <v>107</v>
      </c>
      <c r="C191" s="3"/>
      <c r="E191" s="159">
        <f t="shared" si="70"/>
        <v>7.0126146348213125E-2</v>
      </c>
      <c r="F191" s="159">
        <f t="shared" si="70"/>
        <v>7.2549769593646979E-2</v>
      </c>
      <c r="G191" s="159">
        <f t="shared" si="70"/>
        <v>6.006555190163388E-2</v>
      </c>
      <c r="H191" s="159">
        <f t="shared" si="70"/>
        <v>6.3637378020328261E-2</v>
      </c>
      <c r="I191" s="159">
        <f t="shared" si="70"/>
        <v>6.5048201729783317E-2</v>
      </c>
      <c r="J191" s="159">
        <f t="shared" si="70"/>
        <v>6.6738271510222866E-2</v>
      </c>
      <c r="K191" s="160">
        <v>7.1999999999999995E-2</v>
      </c>
      <c r="L191" s="160">
        <v>7.1999999999999995E-2</v>
      </c>
      <c r="M191" s="160">
        <v>7.1999999999999995E-2</v>
      </c>
      <c r="N191" s="160">
        <v>7.1999999999999995E-2</v>
      </c>
      <c r="O191" s="160">
        <v>7.1999999999999995E-2</v>
      </c>
    </row>
    <row r="192" spans="2:16" outlineLevel="1" x14ac:dyDescent="0.3">
      <c r="B192" s="3" t="s">
        <v>108</v>
      </c>
      <c r="C192" s="3"/>
      <c r="E192" s="161">
        <f t="shared" si="70"/>
        <v>6.9453519567673943E-3</v>
      </c>
      <c r="F192" s="161">
        <f t="shared" si="70"/>
        <v>2.9251589166347921E-3</v>
      </c>
      <c r="G192" s="161">
        <f t="shared" si="70"/>
        <v>7.0527066812094575E-4</v>
      </c>
      <c r="H192" s="161">
        <f t="shared" si="70"/>
        <v>-8.4701061045626988E-4</v>
      </c>
      <c r="I192" s="161">
        <f t="shared" si="70"/>
        <v>-1.4740989081231982E-3</v>
      </c>
      <c r="J192" s="161">
        <f t="shared" si="70"/>
        <v>6.8791796130781137E-4</v>
      </c>
      <c r="K192" s="160">
        <v>1E-3</v>
      </c>
      <c r="L192" s="160">
        <v>1E-3</v>
      </c>
      <c r="M192" s="160">
        <v>1E-3</v>
      </c>
      <c r="N192" s="160">
        <v>1E-3</v>
      </c>
      <c r="O192" s="160">
        <v>1E-3</v>
      </c>
    </row>
    <row r="193" spans="2:15" outlineLevel="1" x14ac:dyDescent="0.3">
      <c r="B193" s="3" t="s">
        <v>280</v>
      </c>
      <c r="C193" s="3"/>
      <c r="E193" s="159">
        <f t="shared" si="70"/>
        <v>0.15943836804235059</v>
      </c>
      <c r="F193" s="159">
        <f t="shared" si="70"/>
        <v>0.14428164731484103</v>
      </c>
      <c r="G193" s="159">
        <f t="shared" si="70"/>
        <v>0.13302260844085087</v>
      </c>
      <c r="H193" s="159">
        <f t="shared" si="70"/>
        <v>0.16204461684424407</v>
      </c>
      <c r="I193" s="159">
        <f t="shared" si="70"/>
        <v>0.14719174228036858</v>
      </c>
      <c r="J193" s="159">
        <f t="shared" si="70"/>
        <v>0.24091185164189982</v>
      </c>
      <c r="K193" s="160">
        <v>0.24</v>
      </c>
      <c r="L193" s="160">
        <v>0.24</v>
      </c>
      <c r="M193" s="160">
        <v>0.24</v>
      </c>
      <c r="N193" s="160">
        <v>0.24</v>
      </c>
      <c r="O193" s="160">
        <v>0.24</v>
      </c>
    </row>
    <row r="194" spans="2:15" outlineLevel="1" x14ac:dyDescent="0.3">
      <c r="B194" s="3"/>
      <c r="C194" s="3"/>
    </row>
    <row r="195" spans="2:15" outlineLevel="1" x14ac:dyDescent="0.3">
      <c r="B195" s="11" t="s">
        <v>9</v>
      </c>
      <c r="C195" s="11"/>
    </row>
    <row r="196" spans="2:15" outlineLevel="1" x14ac:dyDescent="0.3">
      <c r="B196" s="3" t="s">
        <v>98</v>
      </c>
      <c r="C196" s="11"/>
      <c r="E196" s="164">
        <f t="shared" ref="E196:J200" si="71">E22</f>
        <v>32.163052418765901</v>
      </c>
      <c r="F196" s="164">
        <f t="shared" si="71"/>
        <v>21.433437152796749</v>
      </c>
      <c r="G196" s="164">
        <f t="shared" si="71"/>
        <v>26.219311841713207</v>
      </c>
      <c r="H196" s="164">
        <f t="shared" si="71"/>
        <v>26.087825363656652</v>
      </c>
      <c r="I196" s="164">
        <f t="shared" si="71"/>
        <v>28.100290906244702</v>
      </c>
      <c r="J196" s="164">
        <f t="shared" si="71"/>
        <v>31.185571624023424</v>
      </c>
      <c r="K196" s="165">
        <v>31</v>
      </c>
      <c r="L196" s="165">
        <v>31</v>
      </c>
      <c r="M196" s="165">
        <v>31</v>
      </c>
      <c r="N196" s="165">
        <v>31</v>
      </c>
      <c r="O196" s="165">
        <v>31</v>
      </c>
    </row>
    <row r="197" spans="2:15" outlineLevel="1" x14ac:dyDescent="0.3">
      <c r="B197" s="3" t="s">
        <v>99</v>
      </c>
      <c r="C197" s="11"/>
      <c r="E197" s="164">
        <f t="shared" si="71"/>
        <v>9.263638723714628</v>
      </c>
      <c r="F197" s="164">
        <f t="shared" si="71"/>
        <v>8.7418833562358831</v>
      </c>
      <c r="G197" s="164">
        <f t="shared" si="71"/>
        <v>11.27659274770989</v>
      </c>
      <c r="H197" s="164">
        <f t="shared" si="71"/>
        <v>8.0756980666171607</v>
      </c>
      <c r="I197" s="164">
        <f t="shared" si="71"/>
        <v>10.791292490321617</v>
      </c>
      <c r="J197" s="164">
        <f t="shared" si="71"/>
        <v>12.642570548414087</v>
      </c>
      <c r="K197" s="165">
        <v>14</v>
      </c>
      <c r="L197" s="165">
        <v>14</v>
      </c>
      <c r="M197" s="165">
        <v>14</v>
      </c>
      <c r="N197" s="165">
        <v>14</v>
      </c>
      <c r="O197" s="165">
        <v>14</v>
      </c>
    </row>
    <row r="198" spans="2:15" outlineLevel="1" x14ac:dyDescent="0.3">
      <c r="B198" s="3" t="s">
        <v>100</v>
      </c>
      <c r="C198" s="11"/>
      <c r="E198" s="164">
        <f t="shared" si="71"/>
        <v>104.31407696777144</v>
      </c>
      <c r="F198" s="164">
        <f t="shared" si="71"/>
        <v>91.048189715674184</v>
      </c>
      <c r="G198" s="164">
        <f t="shared" si="71"/>
        <v>93.85107122231561</v>
      </c>
      <c r="H198" s="164">
        <f t="shared" si="71"/>
        <v>104.68527730310539</v>
      </c>
      <c r="I198" s="164">
        <f t="shared" si="71"/>
        <v>106.72146803214764</v>
      </c>
      <c r="J198" s="164">
        <f t="shared" si="71"/>
        <v>119.65847721913745</v>
      </c>
      <c r="K198" s="165">
        <v>105</v>
      </c>
      <c r="L198" s="165">
        <v>105</v>
      </c>
      <c r="M198" s="165">
        <v>105</v>
      </c>
      <c r="N198" s="165">
        <v>105</v>
      </c>
      <c r="O198" s="165">
        <v>105</v>
      </c>
    </row>
    <row r="199" spans="2:15" outlineLevel="1" x14ac:dyDescent="0.3">
      <c r="B199" s="3" t="s">
        <v>110</v>
      </c>
      <c r="E199" s="159">
        <f t="shared" si="71"/>
        <v>0.19876313544012852</v>
      </c>
      <c r="F199" s="159">
        <f t="shared" si="71"/>
        <v>0.19280185053640056</v>
      </c>
      <c r="G199" s="159">
        <f t="shared" si="71"/>
        <v>7.5718186962333622E-2</v>
      </c>
      <c r="H199" s="159">
        <f t="shared" si="71"/>
        <v>6.2531699498894325E-2</v>
      </c>
      <c r="I199" s="159">
        <f t="shared" si="71"/>
        <v>8.2419087624091739E-2</v>
      </c>
      <c r="J199" s="159">
        <f t="shared" si="71"/>
        <v>9.0089122457069057E-2</v>
      </c>
      <c r="K199" s="160">
        <v>6.0999999999999999E-2</v>
      </c>
      <c r="L199" s="160">
        <v>6.0999999999999999E-2</v>
      </c>
      <c r="M199" s="160">
        <v>6.0999999999999999E-2</v>
      </c>
      <c r="N199" s="160">
        <v>6.0999999999999999E-2</v>
      </c>
      <c r="O199" s="160">
        <v>6.0999999999999999E-2</v>
      </c>
    </row>
    <row r="200" spans="2:15" outlineLevel="1" x14ac:dyDescent="0.3">
      <c r="B200" s="3" t="s">
        <v>237</v>
      </c>
      <c r="E200" s="159">
        <f t="shared" si="71"/>
        <v>0.14141251807988528</v>
      </c>
      <c r="F200" s="159">
        <f t="shared" si="71"/>
        <v>0.12576743198532664</v>
      </c>
      <c r="G200" s="159">
        <f t="shared" si="71"/>
        <v>0.11845188068419249</v>
      </c>
      <c r="H200" s="159">
        <f t="shared" si="71"/>
        <v>0.14649333917851359</v>
      </c>
      <c r="I200" s="159">
        <f t="shared" si="71"/>
        <v>0.1469946809752635</v>
      </c>
      <c r="J200" s="159">
        <f t="shared" si="71"/>
        <v>0.15608598919905681</v>
      </c>
      <c r="K200" s="160">
        <v>0.1547</v>
      </c>
      <c r="L200" s="160">
        <v>0.1532</v>
      </c>
      <c r="M200" s="160">
        <v>0.153</v>
      </c>
      <c r="N200" s="160">
        <v>0.154</v>
      </c>
      <c r="O200" s="160">
        <v>0.154</v>
      </c>
    </row>
    <row r="201" spans="2:15" outlineLevel="1" x14ac:dyDescent="0.3">
      <c r="B201" s="3" t="s">
        <v>10</v>
      </c>
      <c r="E201" s="159"/>
      <c r="F201" s="159"/>
      <c r="G201" s="159"/>
      <c r="H201" s="159"/>
      <c r="I201" s="159"/>
      <c r="J201" s="159"/>
      <c r="K201" s="160"/>
      <c r="L201" s="160"/>
      <c r="M201" s="160"/>
      <c r="N201" s="160"/>
      <c r="O201" s="160"/>
    </row>
    <row r="202" spans="2:15" outlineLevel="1" x14ac:dyDescent="0.3">
      <c r="B202" s="3" t="s">
        <v>109</v>
      </c>
      <c r="E202" s="159">
        <f t="shared" ref="E202:J203" si="72">E28</f>
        <v>4.7475919961256698E-2</v>
      </c>
      <c r="F202" s="159">
        <f t="shared" si="72"/>
        <v>4.1032366173068865E-2</v>
      </c>
      <c r="G202" s="159">
        <f t="shared" si="72"/>
        <v>3.8573931774630484E-2</v>
      </c>
      <c r="H202" s="159">
        <f t="shared" si="72"/>
        <v>5.3820677202734778E-2</v>
      </c>
      <c r="I202" s="159">
        <f t="shared" si="72"/>
        <v>3.8339616734283891E-2</v>
      </c>
      <c r="J202" s="159">
        <f t="shared" si="72"/>
        <v>3.6536371424552787E-2</v>
      </c>
      <c r="K202" s="160">
        <v>4.2999999999999997E-2</v>
      </c>
      <c r="L202" s="160">
        <v>4.2999999999999997E-2</v>
      </c>
      <c r="M202" s="160">
        <v>4.2999999999999997E-2</v>
      </c>
      <c r="N202" s="160">
        <v>4.2999999999999997E-2</v>
      </c>
      <c r="O202" s="160">
        <v>4.2999999999999997E-2</v>
      </c>
    </row>
    <row r="203" spans="2:15" outlineLevel="1" x14ac:dyDescent="0.3">
      <c r="B203" s="3" t="s">
        <v>230</v>
      </c>
      <c r="E203" s="159">
        <f t="shared" si="72"/>
        <v>0.40488672965015721</v>
      </c>
      <c r="F203" s="159">
        <f t="shared" si="72"/>
        <v>0.36750997213267034</v>
      </c>
      <c r="G203" s="159">
        <f t="shared" si="72"/>
        <v>0.3495654931290782</v>
      </c>
      <c r="H203" s="159">
        <f t="shared" si="72"/>
        <v>0.30635663711428052</v>
      </c>
      <c r="I203" s="159">
        <f t="shared" si="72"/>
        <v>0.26232177100590942</v>
      </c>
      <c r="J203" s="159">
        <f t="shared" si="72"/>
        <v>0.23394069584564042</v>
      </c>
      <c r="K203" s="160">
        <v>0.23499999999999999</v>
      </c>
      <c r="L203" s="160">
        <v>0.23499999999999999</v>
      </c>
      <c r="M203" s="160">
        <v>0.23430000000000001</v>
      </c>
      <c r="N203" s="160">
        <v>0.2341</v>
      </c>
      <c r="O203" s="160">
        <v>0.23300000000000001</v>
      </c>
    </row>
    <row r="204" spans="2:15" outlineLevel="1" x14ac:dyDescent="0.3">
      <c r="B204" s="3" t="s">
        <v>111</v>
      </c>
      <c r="E204" s="159"/>
      <c r="F204" s="159"/>
      <c r="G204" s="159"/>
      <c r="H204" s="159"/>
      <c r="I204" s="159"/>
      <c r="J204" s="159"/>
    </row>
    <row r="205" spans="2:15" outlineLevel="1" x14ac:dyDescent="0.3">
      <c r="B205" s="3"/>
      <c r="E205" s="159"/>
      <c r="F205" s="159"/>
      <c r="G205" s="159"/>
      <c r="H205" s="159"/>
      <c r="I205" s="159"/>
      <c r="J205" s="159"/>
    </row>
    <row r="206" spans="2:15" outlineLevel="1" x14ac:dyDescent="0.3">
      <c r="B206" s="3" t="s">
        <v>11</v>
      </c>
      <c r="E206" s="159"/>
      <c r="F206" s="159"/>
      <c r="G206" s="159"/>
      <c r="H206" s="159"/>
      <c r="I206" s="159"/>
      <c r="J206" s="159"/>
    </row>
    <row r="207" spans="2:15" outlineLevel="1" x14ac:dyDescent="0.3">
      <c r="B207" s="3" t="s">
        <v>112</v>
      </c>
      <c r="E207" s="159"/>
      <c r="F207" s="159"/>
      <c r="G207" s="159"/>
      <c r="H207" s="159"/>
      <c r="I207" s="159"/>
      <c r="J207" s="159"/>
    </row>
    <row r="208" spans="2:15" outlineLevel="1" x14ac:dyDescent="0.3">
      <c r="B208" s="3" t="s">
        <v>113</v>
      </c>
      <c r="E208" s="159">
        <f t="shared" ref="E208:J208" si="73">E34</f>
        <v>2.2984617986424469E-2</v>
      </c>
      <c r="F208" s="159">
        <f t="shared" si="73"/>
        <v>1.8199369797643115E-2</v>
      </c>
      <c r="G208" s="159">
        <f t="shared" si="73"/>
        <v>1.6401643444673156E-2</v>
      </c>
      <c r="H208" s="159">
        <f t="shared" si="73"/>
        <v>2.5313951837049362E-2</v>
      </c>
      <c r="I208" s="159">
        <f t="shared" si="73"/>
        <v>1.5615012327641311E-2</v>
      </c>
      <c r="J208" s="159">
        <f t="shared" si="73"/>
        <v>2.5488766990167121E-2</v>
      </c>
      <c r="K208" s="160">
        <v>1.6E-2</v>
      </c>
      <c r="L208" s="160">
        <v>1.6E-2</v>
      </c>
      <c r="M208" s="160">
        <v>1.6E-2</v>
      </c>
      <c r="N208" s="160">
        <v>1.6E-2</v>
      </c>
      <c r="O208" s="160">
        <v>1.6E-2</v>
      </c>
    </row>
    <row r="209" spans="2:15" outlineLevel="1" x14ac:dyDescent="0.3">
      <c r="B209" s="3" t="s">
        <v>114</v>
      </c>
      <c r="E209" s="159">
        <f>E35</f>
        <v>0.39230284348166994</v>
      </c>
      <c r="F209" s="159">
        <f t="shared" ref="F209:J209" si="74">F35</f>
        <v>0.39138116314226912</v>
      </c>
      <c r="G209" s="159">
        <f t="shared" si="74"/>
        <v>0.32453111801802542</v>
      </c>
      <c r="H209" s="159">
        <f t="shared" si="74"/>
        <v>0.27917621878233351</v>
      </c>
      <c r="I209" s="159">
        <f t="shared" si="74"/>
        <v>0.2742163142309248</v>
      </c>
      <c r="J209" s="159">
        <f t="shared" si="74"/>
        <v>0.24719526385106191</v>
      </c>
      <c r="K209" s="160">
        <v>0.2157</v>
      </c>
      <c r="L209" s="160">
        <v>0.22</v>
      </c>
      <c r="M209" s="160">
        <v>0.22</v>
      </c>
      <c r="N209" s="160">
        <v>0.2195</v>
      </c>
      <c r="O209" s="160">
        <v>0.22</v>
      </c>
    </row>
    <row r="210" spans="2:15" outlineLevel="1" x14ac:dyDescent="0.3">
      <c r="B210" s="3" t="s">
        <v>12</v>
      </c>
      <c r="E210" s="159"/>
      <c r="F210" s="159"/>
      <c r="G210" s="159"/>
      <c r="H210" s="159"/>
      <c r="I210" s="159"/>
      <c r="J210" s="159"/>
    </row>
    <row r="211" spans="2:15" outlineLevel="1" x14ac:dyDescent="0.3"/>
    <row r="212" spans="2:15" outlineLevel="1" x14ac:dyDescent="0.3">
      <c r="B212" s="11" t="s">
        <v>13</v>
      </c>
    </row>
    <row r="213" spans="2:15" outlineLevel="1" x14ac:dyDescent="0.3">
      <c r="B213" s="3" t="s">
        <v>278</v>
      </c>
      <c r="E213" s="159">
        <f t="shared" ref="E213:J215" si="75">E39</f>
        <v>4.7929462590420259E-3</v>
      </c>
      <c r="F213" s="159">
        <f t="shared" si="75"/>
        <v>4.9396207857494122E-3</v>
      </c>
      <c r="G213" s="159">
        <f t="shared" si="75"/>
        <v>4.8767553175494849E-3</v>
      </c>
      <c r="H213" s="159">
        <f t="shared" si="75"/>
        <v>6.0964476273559064E-3</v>
      </c>
      <c r="I213" s="159">
        <f t="shared" si="75"/>
        <v>7.8766453161485585E-3</v>
      </c>
      <c r="J213" s="159">
        <f t="shared" si="75"/>
        <v>8.2984899049957164E-3</v>
      </c>
      <c r="K213" s="160">
        <v>1.2E-2</v>
      </c>
      <c r="L213" s="160">
        <v>1.2E-2</v>
      </c>
      <c r="M213" s="160">
        <v>1.2E-2</v>
      </c>
      <c r="N213" s="160">
        <v>1.2E-2</v>
      </c>
      <c r="O213" s="160">
        <v>1.2E-2</v>
      </c>
    </row>
    <row r="214" spans="2:15" outlineLevel="1" x14ac:dyDescent="0.3">
      <c r="B214" s="3" t="s">
        <v>206</v>
      </c>
      <c r="E214" s="159">
        <f t="shared" si="75"/>
        <v>2.3807144449483807E-2</v>
      </c>
      <c r="F214" s="159">
        <f t="shared" si="75"/>
        <v>2.5408447625812798E-2</v>
      </c>
      <c r="G214" s="159">
        <f t="shared" si="75"/>
        <v>2.2164087508234991E-2</v>
      </c>
      <c r="H214" s="159">
        <f t="shared" si="75"/>
        <v>2.3533707979144267E-2</v>
      </c>
      <c r="I214" s="159">
        <f t="shared" si="75"/>
        <v>2.9059316174648107E-2</v>
      </c>
      <c r="J214" s="159">
        <f t="shared" si="75"/>
        <v>3.0774738834119707E-2</v>
      </c>
      <c r="K214" s="160">
        <v>3.2000000000000001E-2</v>
      </c>
      <c r="L214" s="160">
        <v>3.2000000000000001E-2</v>
      </c>
      <c r="M214" s="160">
        <v>3.2000000000000001E-2</v>
      </c>
      <c r="N214" s="160">
        <v>3.2000000000000001E-2</v>
      </c>
      <c r="O214" s="160">
        <v>3.2000000000000001E-2</v>
      </c>
    </row>
    <row r="215" spans="2:15" outlineLevel="1" x14ac:dyDescent="0.3">
      <c r="B215" s="3" t="s">
        <v>115</v>
      </c>
      <c r="E215" s="159">
        <f t="shared" si="75"/>
        <v>0.17607799895537113</v>
      </c>
      <c r="F215" s="159">
        <f t="shared" si="75"/>
        <v>0.17660597910416881</v>
      </c>
      <c r="G215" s="159">
        <f t="shared" si="75"/>
        <v>0.18014446191355071</v>
      </c>
      <c r="H215" s="159">
        <f t="shared" si="75"/>
        <v>0.17602492939916253</v>
      </c>
      <c r="I215" s="159">
        <f t="shared" si="75"/>
        <v>0.19751308184586214</v>
      </c>
      <c r="J215" s="159">
        <f t="shared" si="75"/>
        <v>0.20338629126281171</v>
      </c>
      <c r="K215" s="160">
        <v>0.21</v>
      </c>
      <c r="L215" s="160">
        <v>0.21</v>
      </c>
      <c r="M215" s="160">
        <v>0.21</v>
      </c>
      <c r="N215" s="160">
        <v>0.21</v>
      </c>
      <c r="O215" s="160">
        <v>0.21</v>
      </c>
    </row>
    <row r="216" spans="2:15" outlineLevel="1" x14ac:dyDescent="0.3">
      <c r="B216" s="3" t="s">
        <v>255</v>
      </c>
      <c r="E216" s="159"/>
      <c r="F216" s="159"/>
      <c r="G216" s="159"/>
      <c r="H216" s="159"/>
      <c r="I216" s="159"/>
      <c r="J216" s="159"/>
      <c r="K216" s="160"/>
      <c r="L216" s="160"/>
      <c r="M216" s="160"/>
      <c r="N216" s="160"/>
      <c r="O216" s="160"/>
    </row>
    <row r="217" spans="2:15" outlineLevel="1" x14ac:dyDescent="0.3">
      <c r="B217" s="3" t="s">
        <v>81</v>
      </c>
      <c r="E217" s="159"/>
      <c r="F217" s="159"/>
      <c r="G217" s="159"/>
      <c r="H217" s="159"/>
      <c r="I217" s="159"/>
      <c r="J217" s="159"/>
      <c r="K217" s="166">
        <v>-2000</v>
      </c>
      <c r="L217" s="166">
        <v>-2000</v>
      </c>
      <c r="M217" s="166">
        <v>-2000</v>
      </c>
      <c r="N217" s="166">
        <v>-2000</v>
      </c>
      <c r="O217" s="166">
        <v>-2000</v>
      </c>
    </row>
    <row r="218" spans="2:15" outlineLevel="1" x14ac:dyDescent="0.3">
      <c r="B218" s="3" t="s">
        <v>82</v>
      </c>
      <c r="E218" s="159">
        <f t="shared" ref="E218:J218" si="76">E44</f>
        <v>3.3554467394897262E-3</v>
      </c>
      <c r="F218" s="159">
        <f t="shared" si="76"/>
        <v>-3.4927053166493631E-2</v>
      </c>
      <c r="G218" s="159">
        <f t="shared" si="76"/>
        <v>-2.1983669430343588E-2</v>
      </c>
      <c r="H218" s="159">
        <f t="shared" si="76"/>
        <v>-1.6481203465135624E-2</v>
      </c>
      <c r="I218" s="159">
        <f t="shared" si="76"/>
        <v>-1.4829695918180988E-2</v>
      </c>
      <c r="J218" s="159">
        <f t="shared" si="76"/>
        <v>-2.9999872134207937E-2</v>
      </c>
      <c r="K218" s="160">
        <v>-3.5000000000000003E-2</v>
      </c>
      <c r="L218" s="160">
        <v>-3.5000000000000003E-2</v>
      </c>
      <c r="M218" s="160">
        <v>-3.5000000000000003E-2</v>
      </c>
      <c r="N218" s="160">
        <v>-3.5000000000000003E-2</v>
      </c>
      <c r="O218" s="160">
        <v>-3.5000000000000003E-2</v>
      </c>
    </row>
    <row r="219" spans="2:15" outlineLevel="1" x14ac:dyDescent="0.3">
      <c r="B219" s="3" t="s">
        <v>112</v>
      </c>
      <c r="E219" s="159"/>
      <c r="F219" s="159"/>
      <c r="G219" s="159"/>
      <c r="H219" s="159"/>
      <c r="I219" s="159"/>
      <c r="J219" s="159"/>
      <c r="K219" s="160"/>
      <c r="L219" s="160"/>
      <c r="M219" s="160"/>
      <c r="N219" s="160"/>
      <c r="O219" s="160"/>
    </row>
    <row r="220" spans="2:15" outlineLevel="1" x14ac:dyDescent="0.3">
      <c r="B220" s="3" t="s">
        <v>83</v>
      </c>
      <c r="E220" s="159"/>
      <c r="F220" s="159"/>
      <c r="G220" s="159"/>
      <c r="H220" s="159"/>
      <c r="I220" s="159"/>
      <c r="J220" s="159"/>
      <c r="K220" s="160"/>
      <c r="L220" s="160"/>
      <c r="M220" s="160"/>
      <c r="N220" s="160"/>
      <c r="O220" s="160"/>
    </row>
    <row r="221" spans="2:15" outlineLevel="1" x14ac:dyDescent="0.3">
      <c r="B221" s="3"/>
    </row>
    <row r="222" spans="2:15" outlineLevel="1" x14ac:dyDescent="0.3">
      <c r="B222" s="3" t="s">
        <v>56</v>
      </c>
      <c r="E222" s="159">
        <f t="shared" ref="E222:J227" si="77">E48</f>
        <v>3.0018372320062725E-3</v>
      </c>
      <c r="F222" s="159">
        <f t="shared" si="77"/>
        <v>3.2056536072710053E-3</v>
      </c>
      <c r="G222" s="159">
        <f t="shared" si="77"/>
        <v>3.0206360010606396E-3</v>
      </c>
      <c r="H222" s="159">
        <f t="shared" si="77"/>
        <v>0</v>
      </c>
      <c r="I222" s="159">
        <f t="shared" si="77"/>
        <v>0</v>
      </c>
      <c r="J222" s="159">
        <f t="shared" si="77"/>
        <v>0</v>
      </c>
      <c r="K222" s="160">
        <v>0</v>
      </c>
      <c r="L222" s="160">
        <v>0</v>
      </c>
      <c r="M222" s="160">
        <v>0</v>
      </c>
      <c r="N222" s="160">
        <v>0</v>
      </c>
      <c r="O222" s="160">
        <v>0</v>
      </c>
    </row>
    <row r="223" spans="2:15" outlineLevel="1" x14ac:dyDescent="0.3">
      <c r="B223" s="3" t="s">
        <v>91</v>
      </c>
      <c r="E223" s="159">
        <f t="shared" si="77"/>
        <v>0.46423862887277523</v>
      </c>
      <c r="F223" s="159">
        <f t="shared" si="77"/>
        <v>0.53214233416312784</v>
      </c>
      <c r="G223" s="159">
        <f t="shared" si="77"/>
        <v>0.82924361244624334</v>
      </c>
      <c r="H223" s="159">
        <f t="shared" si="77"/>
        <v>0.68853728701040051</v>
      </c>
      <c r="I223" s="159">
        <f t="shared" si="77"/>
        <v>0.50133850272316072</v>
      </c>
      <c r="J223" s="159">
        <f t="shared" si="77"/>
        <v>0.4655201916495551</v>
      </c>
      <c r="K223" s="160">
        <v>0.46</v>
      </c>
      <c r="L223" s="160">
        <v>0.46</v>
      </c>
      <c r="M223" s="160">
        <v>0.46</v>
      </c>
      <c r="N223" s="160">
        <v>0.46</v>
      </c>
      <c r="O223" s="160">
        <v>0.46</v>
      </c>
    </row>
    <row r="224" spans="2:15" outlineLevel="1" x14ac:dyDescent="0.3">
      <c r="B224" s="3" t="s">
        <v>219</v>
      </c>
      <c r="E224" s="159">
        <f t="shared" si="77"/>
        <v>0.25551976255972203</v>
      </c>
      <c r="F224" s="159">
        <f t="shared" si="77"/>
        <v>0.24526658654264863</v>
      </c>
      <c r="G224" s="159">
        <f t="shared" si="77"/>
        <v>0.15279890156316012</v>
      </c>
      <c r="H224" s="159">
        <f t="shared" si="77"/>
        <v>0.14870294480125848</v>
      </c>
      <c r="I224" s="159">
        <f t="shared" si="77"/>
        <v>0.1549048920047425</v>
      </c>
      <c r="J224" s="159">
        <f t="shared" si="77"/>
        <v>0.16252026969360758</v>
      </c>
      <c r="K224" s="160">
        <v>0.15</v>
      </c>
      <c r="L224" s="160">
        <v>0.15</v>
      </c>
      <c r="M224" s="160">
        <v>0.15</v>
      </c>
      <c r="N224" s="160">
        <v>0.15</v>
      </c>
      <c r="O224" s="160">
        <v>0.15</v>
      </c>
    </row>
    <row r="225" spans="2:15" outlineLevel="1" x14ac:dyDescent="0.3">
      <c r="B225" s="3" t="s">
        <v>55</v>
      </c>
      <c r="E225" s="159">
        <f t="shared" si="77"/>
        <v>0.25712407850131064</v>
      </c>
      <c r="F225" s="159">
        <f t="shared" si="77"/>
        <v>0.2635848678578584</v>
      </c>
      <c r="G225" s="159">
        <f t="shared" si="77"/>
        <v>0.23501094809699932</v>
      </c>
      <c r="H225" s="159">
        <f t="shared" si="77"/>
        <v>0.22671988801201032</v>
      </c>
      <c r="I225" s="159">
        <f t="shared" si="77"/>
        <v>0.2023298589822195</v>
      </c>
      <c r="J225" s="159">
        <f t="shared" si="77"/>
        <v>0.24281458181492704</v>
      </c>
      <c r="K225" s="160">
        <v>0.2</v>
      </c>
      <c r="L225" s="160">
        <v>0.2</v>
      </c>
      <c r="M225" s="160">
        <v>0.2</v>
      </c>
      <c r="N225" s="160">
        <v>0.2</v>
      </c>
      <c r="O225" s="160">
        <v>0.2</v>
      </c>
    </row>
    <row r="226" spans="2:15" outlineLevel="1" x14ac:dyDescent="0.3">
      <c r="B226" s="3" t="s">
        <v>93</v>
      </c>
      <c r="E226" s="159">
        <f t="shared" si="77"/>
        <v>2.6762858702253107E-2</v>
      </c>
      <c r="F226" s="159">
        <f t="shared" si="77"/>
        <v>5.8616104766588344E-2</v>
      </c>
      <c r="G226" s="159">
        <f t="shared" si="77"/>
        <v>5.5746452461203279E-2</v>
      </c>
      <c r="H226" s="159">
        <f t="shared" si="77"/>
        <v>1.385902091659735E-2</v>
      </c>
      <c r="I226" s="159">
        <f t="shared" si="77"/>
        <v>1.363998069321784E-2</v>
      </c>
      <c r="J226" s="159">
        <f t="shared" si="77"/>
        <v>0</v>
      </c>
      <c r="K226" s="160">
        <v>1.4999999999999999E-2</v>
      </c>
      <c r="L226" s="160">
        <v>1.4999999999999999E-2</v>
      </c>
      <c r="M226" s="160">
        <v>1.4999999999999999E-2</v>
      </c>
      <c r="N226" s="160">
        <v>1.4999999999999999E-2</v>
      </c>
      <c r="O226" s="160">
        <v>1.4999999999999999E-2</v>
      </c>
    </row>
    <row r="227" spans="2:15" outlineLevel="1" x14ac:dyDescent="0.3">
      <c r="B227" s="3" t="s">
        <v>94</v>
      </c>
      <c r="E227" s="159">
        <f t="shared" si="77"/>
        <v>3.3842736015128334E-2</v>
      </c>
      <c r="F227" s="159">
        <f t="shared" si="77"/>
        <v>4.6004772052529008E-2</v>
      </c>
      <c r="G227" s="159">
        <f t="shared" si="77"/>
        <v>2.3919063356815019E-2</v>
      </c>
      <c r="H227" s="159">
        <f t="shared" si="77"/>
        <v>2.4200665435880789E-2</v>
      </c>
      <c r="I227" s="159">
        <f t="shared" si="77"/>
        <v>2.9093233494658022E-2</v>
      </c>
      <c r="J227" s="159">
        <f t="shared" si="77"/>
        <v>2.5465751147595483E-2</v>
      </c>
      <c r="K227" s="160">
        <v>2.4E-2</v>
      </c>
      <c r="L227" s="160">
        <v>2.4E-2</v>
      </c>
      <c r="M227" s="160">
        <v>2.4E-2</v>
      </c>
      <c r="N227" s="160">
        <v>2.4E-2</v>
      </c>
      <c r="O227" s="160">
        <v>2.4E-2</v>
      </c>
    </row>
    <row r="228" spans="2:15" outlineLevel="1" x14ac:dyDescent="0.3">
      <c r="B228" s="3" t="s">
        <v>95</v>
      </c>
      <c r="E228" s="159"/>
      <c r="F228" s="159"/>
      <c r="G228" s="159"/>
      <c r="H228" s="159"/>
      <c r="I228" s="159"/>
      <c r="J228" s="159"/>
    </row>
    <row r="229" spans="2:15" outlineLevel="1" x14ac:dyDescent="0.3">
      <c r="B229" s="3" t="s">
        <v>81</v>
      </c>
      <c r="E229" s="159"/>
      <c r="F229" s="159"/>
      <c r="G229" s="159"/>
      <c r="H229" s="159"/>
      <c r="I229" s="159"/>
      <c r="J229" s="159"/>
      <c r="K229" s="166">
        <v>-500</v>
      </c>
      <c r="L229" s="166">
        <v>-500</v>
      </c>
      <c r="M229" s="166">
        <v>-500</v>
      </c>
      <c r="N229" s="166">
        <v>-500</v>
      </c>
      <c r="O229" s="166">
        <v>-500</v>
      </c>
    </row>
    <row r="230" spans="2:15" outlineLevel="1" x14ac:dyDescent="0.3">
      <c r="B230" s="3"/>
      <c r="E230" s="159"/>
      <c r="F230" s="159"/>
      <c r="G230" s="159"/>
      <c r="H230" s="159"/>
      <c r="I230" s="159"/>
      <c r="J230" s="159"/>
    </row>
    <row r="231" spans="2:15" outlineLevel="1" x14ac:dyDescent="0.3">
      <c r="B231" s="11" t="s">
        <v>217</v>
      </c>
      <c r="E231" s="159"/>
      <c r="F231" s="159"/>
      <c r="G231" s="159"/>
      <c r="H231" s="159"/>
      <c r="I231" s="159"/>
      <c r="J231" s="159"/>
    </row>
    <row r="232" spans="2:15" outlineLevel="1" x14ac:dyDescent="0.3">
      <c r="B232" s="3" t="s">
        <v>212</v>
      </c>
      <c r="E232" s="159">
        <f t="shared" ref="E232:J236" si="78">E58</f>
        <v>0.32992748846407383</v>
      </c>
      <c r="F232" s="159">
        <f t="shared" si="78"/>
        <v>0.32947722946258601</v>
      </c>
      <c r="G232" s="159">
        <f t="shared" si="78"/>
        <v>0.33227928155831016</v>
      </c>
      <c r="H232" s="159">
        <f t="shared" si="78"/>
        <v>0.32872316884266428</v>
      </c>
      <c r="I232" s="159">
        <f t="shared" si="78"/>
        <v>0.32502538539647374</v>
      </c>
      <c r="J232" s="159">
        <f t="shared" si="78"/>
        <v>0.34163244353182753</v>
      </c>
      <c r="K232" s="160">
        <v>0.34</v>
      </c>
      <c r="L232" s="160">
        <v>0.34</v>
      </c>
      <c r="M232" s="160">
        <v>0.34</v>
      </c>
      <c r="N232" s="160">
        <v>0.34</v>
      </c>
      <c r="O232" s="160">
        <v>0.34</v>
      </c>
    </row>
    <row r="233" spans="2:15" outlineLevel="1" x14ac:dyDescent="0.3">
      <c r="B233" s="3" t="s">
        <v>213</v>
      </c>
      <c r="E233" s="159">
        <f t="shared" si="78"/>
        <v>0.16957811470006592</v>
      </c>
      <c r="F233" s="159">
        <f t="shared" si="78"/>
        <v>0.23488065602577243</v>
      </c>
      <c r="G233" s="159">
        <f t="shared" si="78"/>
        <v>0.52504427017455102</v>
      </c>
      <c r="H233" s="159">
        <f t="shared" si="78"/>
        <v>0.38216419561849968</v>
      </c>
      <c r="I233" s="159">
        <f t="shared" si="78"/>
        <v>0.19375980799409212</v>
      </c>
      <c r="J233" s="159">
        <f t="shared" si="78"/>
        <v>0.13791923340177961</v>
      </c>
      <c r="K233" s="160">
        <v>0.35</v>
      </c>
      <c r="L233" s="160">
        <v>0.35</v>
      </c>
      <c r="M233" s="160">
        <v>0.35</v>
      </c>
      <c r="N233" s="160">
        <v>0.35</v>
      </c>
      <c r="O233" s="160">
        <v>0.35</v>
      </c>
    </row>
    <row r="234" spans="2:15" outlineLevel="1" x14ac:dyDescent="0.3">
      <c r="B234" s="3" t="s">
        <v>211</v>
      </c>
      <c r="E234" s="159">
        <f t="shared" si="78"/>
        <v>0.12608976428802066</v>
      </c>
      <c r="F234" s="159">
        <f t="shared" si="78"/>
        <v>0.12616487455197134</v>
      </c>
      <c r="G234" s="159">
        <f t="shared" si="78"/>
        <v>0.13628515046867293</v>
      </c>
      <c r="H234" s="159">
        <f t="shared" si="78"/>
        <v>0.12661637931034483</v>
      </c>
      <c r="I234" s="159">
        <f t="shared" si="78"/>
        <v>0.12084754893158556</v>
      </c>
      <c r="J234" s="159">
        <f t="shared" si="78"/>
        <v>0.11824829649326907</v>
      </c>
      <c r="K234" s="160">
        <v>0.105</v>
      </c>
      <c r="L234" s="160">
        <v>0.105</v>
      </c>
      <c r="M234" s="160">
        <v>0.105</v>
      </c>
      <c r="N234" s="160">
        <v>0.105</v>
      </c>
      <c r="O234" s="160">
        <v>0.105</v>
      </c>
    </row>
    <row r="235" spans="2:15" outlineLevel="1" x14ac:dyDescent="0.3">
      <c r="B235" s="3" t="s">
        <v>218</v>
      </c>
      <c r="E235" s="159">
        <f t="shared" si="78"/>
        <v>0.25570073838135227</v>
      </c>
      <c r="F235" s="159">
        <f t="shared" si="78"/>
        <v>0.2453710961314034</v>
      </c>
      <c r="G235" s="159">
        <f t="shared" si="78"/>
        <v>0.15241867342627799</v>
      </c>
      <c r="H235" s="159">
        <f t="shared" si="78"/>
        <v>0.14822199733474944</v>
      </c>
      <c r="I235" s="159">
        <f t="shared" si="78"/>
        <v>0.15460590752100623</v>
      </c>
      <c r="J235" s="159">
        <f t="shared" si="78"/>
        <v>0.16234957753691218</v>
      </c>
      <c r="K235" s="160">
        <v>0.14000000000000001</v>
      </c>
      <c r="L235" s="160">
        <v>0.14000000000000001</v>
      </c>
      <c r="M235" s="160">
        <v>0.14000000000000001</v>
      </c>
      <c r="N235" s="160">
        <v>0.14000000000000001</v>
      </c>
      <c r="O235" s="160">
        <v>0.14000000000000001</v>
      </c>
    </row>
    <row r="236" spans="2:15" outlineLevel="1" x14ac:dyDescent="0.3">
      <c r="B236" s="3" t="s">
        <v>215</v>
      </c>
      <c r="E236" s="159">
        <f t="shared" si="78"/>
        <v>0.25790816914833919</v>
      </c>
      <c r="F236" s="159">
        <f t="shared" si="78"/>
        <v>0.26416042839189113</v>
      </c>
      <c r="G236" s="159">
        <f t="shared" si="78"/>
        <v>0.23372888630107402</v>
      </c>
      <c r="H236" s="159">
        <f t="shared" si="78"/>
        <v>0.22870808058266215</v>
      </c>
      <c r="I236" s="159">
        <f t="shared" si="78"/>
        <v>0.20101491057568127</v>
      </c>
      <c r="J236" s="159">
        <f t="shared" si="78"/>
        <v>0.24510849412456687</v>
      </c>
      <c r="K236" s="160">
        <v>0.19500000000000001</v>
      </c>
      <c r="L236" s="160">
        <v>0.19500000000000001</v>
      </c>
      <c r="M236" s="160">
        <v>0.19500000000000001</v>
      </c>
      <c r="N236" s="160">
        <v>0.19500000000000001</v>
      </c>
      <c r="O236" s="160">
        <v>0.19500000000000001</v>
      </c>
    </row>
    <row r="237" spans="2:15" outlineLevel="1" x14ac:dyDescent="0.3">
      <c r="B237" s="3" t="s">
        <v>200</v>
      </c>
      <c r="E237" s="159"/>
      <c r="F237" s="159"/>
      <c r="G237" s="159"/>
      <c r="H237" s="159"/>
      <c r="I237" s="159"/>
      <c r="J237" s="159"/>
      <c r="K237" s="166">
        <v>-200</v>
      </c>
      <c r="L237" s="166">
        <v>-200</v>
      </c>
      <c r="M237" s="166">
        <v>-200</v>
      </c>
      <c r="N237" s="166">
        <v>-200</v>
      </c>
      <c r="O237" s="166">
        <v>-200</v>
      </c>
    </row>
    <row r="238" spans="2:15" outlineLevel="1" x14ac:dyDescent="0.3">
      <c r="B238" s="3"/>
      <c r="E238" s="159"/>
      <c r="F238" s="159"/>
      <c r="G238" s="159"/>
      <c r="H238" s="159"/>
      <c r="I238" s="159"/>
      <c r="J238" s="159"/>
    </row>
    <row r="240" spans="2:15" x14ac:dyDescent="0.3">
      <c r="B240" s="278" t="s">
        <v>8</v>
      </c>
      <c r="C240" s="74"/>
      <c r="D240" s="74"/>
      <c r="E240" s="74"/>
      <c r="F240" s="74"/>
      <c r="G240" s="74"/>
      <c r="H240" s="74"/>
      <c r="I240" s="74"/>
      <c r="J240" s="74"/>
      <c r="K240" s="74"/>
      <c r="L240" s="74"/>
      <c r="M240" s="74"/>
      <c r="N240" s="74"/>
      <c r="O240" s="74"/>
    </row>
    <row r="241" spans="2:15" outlineLevel="1" x14ac:dyDescent="0.3"/>
    <row r="242" spans="2:15" ht="15" outlineLevel="1" thickBot="1" x14ac:dyDescent="0.35">
      <c r="B242" s="279" t="s">
        <v>127</v>
      </c>
      <c r="D242" s="78">
        <v>2018</v>
      </c>
      <c r="E242" s="78">
        <v>2019</v>
      </c>
      <c r="F242" s="78">
        <f>E242+1</f>
        <v>2020</v>
      </c>
      <c r="G242" s="78">
        <f t="shared" ref="G242:O242" si="79">F242+1</f>
        <v>2021</v>
      </c>
      <c r="H242" s="78">
        <f t="shared" si="79"/>
        <v>2022</v>
      </c>
      <c r="I242" s="78">
        <f t="shared" si="79"/>
        <v>2023</v>
      </c>
      <c r="J242" s="78">
        <f t="shared" si="79"/>
        <v>2024</v>
      </c>
      <c r="K242" s="131">
        <f t="shared" si="79"/>
        <v>2025</v>
      </c>
      <c r="L242" s="131">
        <f t="shared" si="79"/>
        <v>2026</v>
      </c>
      <c r="M242" s="131">
        <f t="shared" si="79"/>
        <v>2027</v>
      </c>
      <c r="N242" s="131">
        <f t="shared" si="79"/>
        <v>2028</v>
      </c>
      <c r="O242" s="131">
        <f t="shared" si="79"/>
        <v>2029</v>
      </c>
    </row>
    <row r="243" spans="2:15" outlineLevel="1" x14ac:dyDescent="0.3">
      <c r="H243" s="156"/>
    </row>
    <row r="244" spans="2:15" outlineLevel="1" x14ac:dyDescent="0.3">
      <c r="B244" s="3" t="s">
        <v>14</v>
      </c>
      <c r="C244" s="3"/>
      <c r="D244" s="166"/>
      <c r="E244" s="166"/>
      <c r="F244" s="166"/>
      <c r="G244" s="166"/>
      <c r="H244" s="166"/>
      <c r="I244" s="166"/>
      <c r="J244" s="166"/>
      <c r="K244" s="10"/>
      <c r="L244" s="10"/>
      <c r="M244" s="10"/>
      <c r="N244" s="10"/>
      <c r="O244" s="10"/>
    </row>
    <row r="245" spans="2:15" outlineLevel="1" x14ac:dyDescent="0.3">
      <c r="B245" s="3" t="s">
        <v>61</v>
      </c>
      <c r="C245" s="3"/>
      <c r="D245" s="166">
        <v>225847</v>
      </c>
      <c r="E245" s="166">
        <v>213883</v>
      </c>
      <c r="F245" s="166">
        <v>220747</v>
      </c>
      <c r="G245" s="166">
        <v>297392</v>
      </c>
      <c r="H245" s="166">
        <v>316199</v>
      </c>
      <c r="I245" s="166">
        <v>298085</v>
      </c>
      <c r="J245" s="166">
        <v>294866</v>
      </c>
      <c r="K245" s="10">
        <f t="shared" ref="K245:O246" si="80">J245*(1+K12)</f>
        <v>296340.32999999996</v>
      </c>
      <c r="L245" s="10">
        <f t="shared" si="80"/>
        <v>297822.0316499999</v>
      </c>
      <c r="M245" s="10">
        <f t="shared" si="80"/>
        <v>299311.14180824987</v>
      </c>
      <c r="N245" s="10">
        <f t="shared" si="80"/>
        <v>300807.69751729106</v>
      </c>
      <c r="O245" s="10">
        <f t="shared" si="80"/>
        <v>302311.73600487749</v>
      </c>
    </row>
    <row r="246" spans="2:15" outlineLevel="1" x14ac:dyDescent="0.3">
      <c r="B246" s="3" t="s">
        <v>62</v>
      </c>
      <c r="C246" s="3"/>
      <c r="D246" s="166">
        <v>39748</v>
      </c>
      <c r="E246" s="166">
        <v>46291</v>
      </c>
      <c r="F246" s="166">
        <v>53768</v>
      </c>
      <c r="G246" s="166">
        <v>68425</v>
      </c>
      <c r="H246" s="166">
        <v>78129</v>
      </c>
      <c r="I246" s="166">
        <v>85200</v>
      </c>
      <c r="J246" s="166">
        <v>96169</v>
      </c>
      <c r="K246" s="10">
        <f t="shared" si="80"/>
        <v>103381.675</v>
      </c>
      <c r="L246" s="10">
        <f t="shared" si="80"/>
        <v>111135.300625</v>
      </c>
      <c r="M246" s="10">
        <f t="shared" si="80"/>
        <v>117803.41866250001</v>
      </c>
      <c r="N246" s="10">
        <f t="shared" si="80"/>
        <v>124871.62378225003</v>
      </c>
      <c r="O246" s="10">
        <f t="shared" si="80"/>
        <v>132363.92120918503</v>
      </c>
    </row>
    <row r="247" spans="2:15" outlineLevel="1" x14ac:dyDescent="0.3">
      <c r="B247" s="11" t="s">
        <v>63</v>
      </c>
      <c r="C247" s="3"/>
      <c r="D247" s="12">
        <f>SUM(D245:D246)</f>
        <v>265595</v>
      </c>
      <c r="E247" s="12">
        <f>SUM(E245:E246)</f>
        <v>260174</v>
      </c>
      <c r="F247" s="12">
        <f t="shared" ref="F247:O247" si="81">SUM(F245:F246)</f>
        <v>274515</v>
      </c>
      <c r="G247" s="12">
        <f t="shared" si="81"/>
        <v>365817</v>
      </c>
      <c r="H247" s="12">
        <f t="shared" si="81"/>
        <v>394328</v>
      </c>
      <c r="I247" s="12">
        <f t="shared" si="81"/>
        <v>383285</v>
      </c>
      <c r="J247" s="12">
        <f t="shared" si="81"/>
        <v>391035</v>
      </c>
      <c r="K247" s="12">
        <f t="shared" si="81"/>
        <v>399722.00499999995</v>
      </c>
      <c r="L247" s="12">
        <f t="shared" si="81"/>
        <v>408957.33227499994</v>
      </c>
      <c r="M247" s="12">
        <f t="shared" si="81"/>
        <v>417114.56047074986</v>
      </c>
      <c r="N247" s="12">
        <f t="shared" si="81"/>
        <v>425679.3212995411</v>
      </c>
      <c r="O247" s="12">
        <f t="shared" si="81"/>
        <v>434675.65721406252</v>
      </c>
    </row>
    <row r="248" spans="2:15" outlineLevel="1" x14ac:dyDescent="0.3">
      <c r="B248" s="3"/>
      <c r="C248" s="3"/>
      <c r="D248" s="166"/>
      <c r="E248" s="272"/>
      <c r="F248" s="272"/>
      <c r="G248" s="272"/>
      <c r="H248" s="272"/>
      <c r="I248" s="272"/>
      <c r="J248" s="272"/>
      <c r="K248" s="126"/>
      <c r="L248" s="126"/>
      <c r="M248" s="126"/>
      <c r="N248" s="126"/>
      <c r="O248" s="126"/>
    </row>
    <row r="249" spans="2:15" outlineLevel="1" x14ac:dyDescent="0.3">
      <c r="B249" s="3" t="s">
        <v>15</v>
      </c>
      <c r="C249" s="3"/>
      <c r="E249" s="168"/>
      <c r="F249" s="168"/>
      <c r="G249" s="168"/>
      <c r="H249" s="168"/>
      <c r="I249" s="168"/>
      <c r="J249" s="168"/>
      <c r="K249" s="167"/>
      <c r="L249" s="167"/>
      <c r="M249" s="167"/>
      <c r="N249" s="167"/>
      <c r="O249" s="167"/>
    </row>
    <row r="250" spans="2:15" outlineLevel="1" x14ac:dyDescent="0.3">
      <c r="B250" s="3" t="s">
        <v>61</v>
      </c>
      <c r="C250" s="3"/>
      <c r="E250" s="166">
        <v>144996</v>
      </c>
      <c r="F250" s="166">
        <v>151286</v>
      </c>
      <c r="G250" s="166">
        <v>192266</v>
      </c>
      <c r="H250" s="166">
        <v>201471</v>
      </c>
      <c r="I250" s="166">
        <v>189282</v>
      </c>
      <c r="J250" s="166">
        <v>185233</v>
      </c>
      <c r="K250" s="10">
        <f t="shared" ref="K250:O251" si="82">K245*K14</f>
        <v>186101.72723999998</v>
      </c>
      <c r="L250" s="10">
        <f t="shared" si="82"/>
        <v>187032.23587619993</v>
      </c>
      <c r="M250" s="10">
        <f t="shared" si="82"/>
        <v>187967.39705558092</v>
      </c>
      <c r="N250" s="10">
        <f t="shared" si="82"/>
        <v>188907.23404085878</v>
      </c>
      <c r="O250" s="10">
        <f t="shared" si="82"/>
        <v>189851.77021106306</v>
      </c>
    </row>
    <row r="251" spans="2:15" outlineLevel="1" x14ac:dyDescent="0.3">
      <c r="B251" s="3" t="s">
        <v>62</v>
      </c>
      <c r="C251" s="3"/>
      <c r="E251" s="166">
        <v>16786</v>
      </c>
      <c r="F251" s="166">
        <v>18273</v>
      </c>
      <c r="G251" s="166">
        <v>20715</v>
      </c>
      <c r="H251" s="166">
        <v>22075</v>
      </c>
      <c r="I251" s="166">
        <v>24855</v>
      </c>
      <c r="J251" s="166">
        <v>25119</v>
      </c>
      <c r="K251" s="10">
        <f t="shared" si="82"/>
        <v>27396.143875000002</v>
      </c>
      <c r="L251" s="10">
        <f t="shared" si="82"/>
        <v>29450.854665625004</v>
      </c>
      <c r="M251" s="10">
        <f t="shared" si="82"/>
        <v>31217.905945562507</v>
      </c>
      <c r="N251" s="10">
        <f t="shared" si="82"/>
        <v>33090.980302296259</v>
      </c>
      <c r="O251" s="10">
        <f t="shared" si="82"/>
        <v>35076.439120434035</v>
      </c>
    </row>
    <row r="252" spans="2:15" outlineLevel="1" x14ac:dyDescent="0.3">
      <c r="B252" s="11" t="s">
        <v>64</v>
      </c>
      <c r="C252" s="3"/>
      <c r="E252" s="12">
        <f>SUM(E250:E251)</f>
        <v>161782</v>
      </c>
      <c r="F252" s="12">
        <f t="shared" ref="F252:O252" si="83">SUM(F250:F251)</f>
        <v>169559</v>
      </c>
      <c r="G252" s="12">
        <f t="shared" si="83"/>
        <v>212981</v>
      </c>
      <c r="H252" s="12">
        <f t="shared" si="83"/>
        <v>223546</v>
      </c>
      <c r="I252" s="12">
        <f t="shared" si="83"/>
        <v>214137</v>
      </c>
      <c r="J252" s="12">
        <f t="shared" si="83"/>
        <v>210352</v>
      </c>
      <c r="K252" s="12">
        <f t="shared" si="83"/>
        <v>213497.87111499999</v>
      </c>
      <c r="L252" s="12">
        <f t="shared" si="83"/>
        <v>216483.09054182493</v>
      </c>
      <c r="M252" s="12">
        <f t="shared" si="83"/>
        <v>219185.30300114342</v>
      </c>
      <c r="N252" s="12">
        <f t="shared" si="83"/>
        <v>221998.21434315504</v>
      </c>
      <c r="O252" s="12">
        <f t="shared" si="83"/>
        <v>224928.20933149708</v>
      </c>
    </row>
    <row r="253" spans="2:15" outlineLevel="1" x14ac:dyDescent="0.3">
      <c r="B253" s="3"/>
      <c r="C253" s="3"/>
      <c r="E253" s="168"/>
      <c r="F253" s="168"/>
      <c r="G253" s="168"/>
      <c r="H253" s="168"/>
      <c r="I253" s="168"/>
      <c r="J253" s="168"/>
      <c r="K253" s="168"/>
      <c r="L253" s="168"/>
      <c r="M253" s="168"/>
      <c r="N253" s="168"/>
      <c r="O253" s="168"/>
    </row>
    <row r="254" spans="2:15" outlineLevel="1" x14ac:dyDescent="0.3">
      <c r="B254" s="11" t="s">
        <v>16</v>
      </c>
      <c r="C254" s="11"/>
      <c r="E254" s="12">
        <f>E247-E252</f>
        <v>98392</v>
      </c>
      <c r="F254" s="12">
        <f t="shared" ref="F254:O254" si="84">F247-F252</f>
        <v>104956</v>
      </c>
      <c r="G254" s="12">
        <f t="shared" si="84"/>
        <v>152836</v>
      </c>
      <c r="H254" s="12">
        <f t="shared" si="84"/>
        <v>170782</v>
      </c>
      <c r="I254" s="12">
        <f t="shared" si="84"/>
        <v>169148</v>
      </c>
      <c r="J254" s="12">
        <f t="shared" si="84"/>
        <v>180683</v>
      </c>
      <c r="K254" s="12">
        <f t="shared" si="84"/>
        <v>186224.13388499996</v>
      </c>
      <c r="L254" s="12">
        <f t="shared" si="84"/>
        <v>192474.241733175</v>
      </c>
      <c r="M254" s="12">
        <f t="shared" si="84"/>
        <v>197929.25746960644</v>
      </c>
      <c r="N254" s="12">
        <f t="shared" si="84"/>
        <v>203681.10695638607</v>
      </c>
      <c r="O254" s="12">
        <f t="shared" si="84"/>
        <v>209747.44788256544</v>
      </c>
    </row>
    <row r="255" spans="2:15" outlineLevel="1" x14ac:dyDescent="0.3">
      <c r="B255" s="3"/>
      <c r="C255" s="3"/>
      <c r="E255" s="273"/>
      <c r="F255" s="273"/>
      <c r="G255" s="273"/>
      <c r="H255" s="273"/>
      <c r="I255" s="273"/>
      <c r="J255" s="273"/>
      <c r="K255" s="273"/>
      <c r="L255" s="273"/>
      <c r="M255" s="273"/>
      <c r="N255" s="273"/>
      <c r="O255" s="273"/>
    </row>
    <row r="256" spans="2:15" outlineLevel="1" x14ac:dyDescent="0.3">
      <c r="B256" s="11" t="s">
        <v>17</v>
      </c>
      <c r="C256" s="11"/>
      <c r="F256" s="169"/>
      <c r="G256" s="169"/>
      <c r="H256" s="169"/>
      <c r="I256" s="169"/>
      <c r="J256" s="169"/>
      <c r="K256" s="169"/>
    </row>
    <row r="257" spans="2:17" outlineLevel="1" x14ac:dyDescent="0.3">
      <c r="B257" s="3" t="s">
        <v>66</v>
      </c>
      <c r="C257" s="3"/>
      <c r="E257" s="166">
        <v>16217</v>
      </c>
      <c r="F257" s="166">
        <v>18752</v>
      </c>
      <c r="G257" s="166">
        <v>21914</v>
      </c>
      <c r="H257" s="166">
        <v>26251</v>
      </c>
      <c r="I257" s="166">
        <v>29915</v>
      </c>
      <c r="J257" s="166">
        <v>31370</v>
      </c>
      <c r="K257" s="10">
        <f>K247*K16</f>
        <v>29979.150374999994</v>
      </c>
      <c r="L257" s="10">
        <f>L247*L16</f>
        <v>30671.799920624995</v>
      </c>
      <c r="M257" s="10">
        <f>M247*M16</f>
        <v>31283.592035306239</v>
      </c>
      <c r="N257" s="10">
        <f>N247*N16</f>
        <v>31925.949097465582</v>
      </c>
      <c r="O257" s="10">
        <f>O247*O16</f>
        <v>32600.674291054689</v>
      </c>
    </row>
    <row r="258" spans="2:17" outlineLevel="1" x14ac:dyDescent="0.3">
      <c r="B258" s="3" t="s">
        <v>65</v>
      </c>
      <c r="C258" s="3"/>
      <c r="E258" s="166">
        <v>18245</v>
      </c>
      <c r="F258" s="166">
        <v>19916</v>
      </c>
      <c r="G258" s="166">
        <v>21973</v>
      </c>
      <c r="H258" s="166">
        <v>25094</v>
      </c>
      <c r="I258" s="166">
        <v>24932</v>
      </c>
      <c r="J258" s="166">
        <v>26097</v>
      </c>
      <c r="K258" s="10">
        <f>K247*K17</f>
        <v>26781.374334999997</v>
      </c>
      <c r="L258" s="10">
        <f>L247*L17</f>
        <v>27400.141262424997</v>
      </c>
      <c r="M258" s="10">
        <f>M247*M17</f>
        <v>27946.675551540244</v>
      </c>
      <c r="N258" s="10">
        <f>N247*N17</f>
        <v>28520.514527069256</v>
      </c>
      <c r="O258" s="10">
        <f>O247*O17</f>
        <v>29123.269033342192</v>
      </c>
    </row>
    <row r="259" spans="2:17" outlineLevel="1" x14ac:dyDescent="0.3">
      <c r="B259" s="11" t="s">
        <v>18</v>
      </c>
      <c r="C259" s="3"/>
      <c r="E259" s="12">
        <f t="shared" ref="E259:O259" si="85">SUM(E257:E258)</f>
        <v>34462</v>
      </c>
      <c r="F259" s="12">
        <f t="shared" si="85"/>
        <v>38668</v>
      </c>
      <c r="G259" s="12">
        <f t="shared" si="85"/>
        <v>43887</v>
      </c>
      <c r="H259" s="12">
        <f t="shared" si="85"/>
        <v>51345</v>
      </c>
      <c r="I259" s="12">
        <f t="shared" si="85"/>
        <v>54847</v>
      </c>
      <c r="J259" s="12">
        <f t="shared" si="85"/>
        <v>57467</v>
      </c>
      <c r="K259" s="12">
        <f t="shared" si="85"/>
        <v>56760.524709999991</v>
      </c>
      <c r="L259" s="12">
        <f t="shared" si="85"/>
        <v>58071.941183049988</v>
      </c>
      <c r="M259" s="12">
        <f t="shared" si="85"/>
        <v>59230.267586846487</v>
      </c>
      <c r="N259" s="12">
        <f t="shared" si="85"/>
        <v>60446.463624534837</v>
      </c>
      <c r="O259" s="12">
        <f t="shared" si="85"/>
        <v>61723.943324396882</v>
      </c>
    </row>
    <row r="260" spans="2:17" outlineLevel="1" x14ac:dyDescent="0.3">
      <c r="B260" s="3"/>
      <c r="C260" s="3"/>
      <c r="F260" s="166"/>
      <c r="G260" s="166"/>
      <c r="H260" s="166"/>
      <c r="I260" s="166"/>
      <c r="J260" s="166"/>
      <c r="K260" s="166"/>
      <c r="L260" s="10"/>
      <c r="M260" s="10"/>
      <c r="N260" s="10"/>
      <c r="O260" s="10"/>
    </row>
    <row r="261" spans="2:17" outlineLevel="1" x14ac:dyDescent="0.3">
      <c r="B261" s="11" t="s">
        <v>19</v>
      </c>
      <c r="C261" s="11"/>
      <c r="E261" s="12">
        <f t="shared" ref="E261:O261" si="86">E254-E259</f>
        <v>63930</v>
      </c>
      <c r="F261" s="12">
        <f t="shared" si="86"/>
        <v>66288</v>
      </c>
      <c r="G261" s="12">
        <f t="shared" si="86"/>
        <v>108949</v>
      </c>
      <c r="H261" s="12">
        <f t="shared" si="86"/>
        <v>119437</v>
      </c>
      <c r="I261" s="12">
        <f t="shared" si="86"/>
        <v>114301</v>
      </c>
      <c r="J261" s="12">
        <f t="shared" si="86"/>
        <v>123216</v>
      </c>
      <c r="K261" s="12">
        <f t="shared" si="86"/>
        <v>129463.60917499996</v>
      </c>
      <c r="L261" s="12">
        <f t="shared" si="86"/>
        <v>134402.30055012502</v>
      </c>
      <c r="M261" s="12">
        <f t="shared" si="86"/>
        <v>138698.98988275995</v>
      </c>
      <c r="N261" s="12">
        <f t="shared" si="86"/>
        <v>143234.64333185123</v>
      </c>
      <c r="O261" s="12">
        <f t="shared" si="86"/>
        <v>148023.50455816856</v>
      </c>
    </row>
    <row r="262" spans="2:17" outlineLevel="1" x14ac:dyDescent="0.3">
      <c r="B262" s="3"/>
      <c r="C262" s="3"/>
      <c r="F262" s="169"/>
      <c r="G262" s="169"/>
      <c r="H262" s="169"/>
      <c r="I262" s="169"/>
      <c r="J262" s="169"/>
      <c r="K262" s="169"/>
    </row>
    <row r="263" spans="2:17" outlineLevel="1" x14ac:dyDescent="0.3">
      <c r="B263" s="3" t="s">
        <v>67</v>
      </c>
      <c r="C263" s="3"/>
      <c r="E263" s="170">
        <v>1807</v>
      </c>
      <c r="F263" s="166">
        <v>803</v>
      </c>
      <c r="G263" s="166">
        <v>258</v>
      </c>
      <c r="H263" s="166">
        <v>-334</v>
      </c>
      <c r="I263" s="166">
        <v>-565</v>
      </c>
      <c r="J263" s="166">
        <v>269</v>
      </c>
      <c r="K263" s="10">
        <f>K18*K247</f>
        <v>399.72200499999997</v>
      </c>
      <c r="L263" s="10">
        <f>L18*L247</f>
        <v>408.95733227499994</v>
      </c>
      <c r="M263" s="10">
        <f>M18*M247</f>
        <v>417.11456047074989</v>
      </c>
      <c r="N263" s="10">
        <f>N18*N247</f>
        <v>425.67932129954113</v>
      </c>
      <c r="O263" s="10">
        <f>O18*O247</f>
        <v>434.67565721406254</v>
      </c>
      <c r="Q263" s="146"/>
    </row>
    <row r="264" spans="2:17" outlineLevel="1" x14ac:dyDescent="0.3">
      <c r="B264" s="11" t="s">
        <v>20</v>
      </c>
      <c r="C264" s="11"/>
      <c r="E264" s="12">
        <f>E261+E263</f>
        <v>65737</v>
      </c>
      <c r="F264" s="12">
        <f t="shared" ref="F264:J264" si="87">F261+F263</f>
        <v>67091</v>
      </c>
      <c r="G264" s="12">
        <f t="shared" si="87"/>
        <v>109207</v>
      </c>
      <c r="H264" s="12">
        <f t="shared" si="87"/>
        <v>119103</v>
      </c>
      <c r="I264" s="12">
        <f t="shared" si="87"/>
        <v>113736</v>
      </c>
      <c r="J264" s="12">
        <f t="shared" si="87"/>
        <v>123485</v>
      </c>
      <c r="K264" s="12">
        <f>K261-K263</f>
        <v>129063.88716999996</v>
      </c>
      <c r="L264" s="12">
        <f>L261-L263</f>
        <v>133993.34321785002</v>
      </c>
      <c r="M264" s="12">
        <f>M261-M263</f>
        <v>138281.87532228921</v>
      </c>
      <c r="N264" s="12">
        <f>N261-N263</f>
        <v>142808.96401055169</v>
      </c>
      <c r="O264" s="12">
        <f>O261-O263</f>
        <v>147588.82890095448</v>
      </c>
    </row>
    <row r="265" spans="2:17" outlineLevel="1" x14ac:dyDescent="0.3">
      <c r="B265" s="3"/>
      <c r="C265" s="3"/>
      <c r="E265" s="166"/>
      <c r="F265" s="166"/>
      <c r="G265" s="166"/>
      <c r="H265" s="166"/>
      <c r="I265" s="166"/>
      <c r="J265" s="166"/>
      <c r="K265" s="166"/>
      <c r="L265" s="10"/>
      <c r="M265" s="10"/>
      <c r="N265" s="10"/>
      <c r="O265" s="10"/>
    </row>
    <row r="266" spans="2:17" ht="15" outlineLevel="1" thickBot="1" x14ac:dyDescent="0.35">
      <c r="B266" s="3" t="s">
        <v>21</v>
      </c>
      <c r="C266" s="3"/>
      <c r="E266" s="170">
        <v>10481</v>
      </c>
      <c r="F266" s="166">
        <v>9680</v>
      </c>
      <c r="G266" s="166">
        <v>14527</v>
      </c>
      <c r="H266" s="166">
        <v>19300</v>
      </c>
      <c r="I266" s="166">
        <v>16741</v>
      </c>
      <c r="J266" s="166">
        <v>29749</v>
      </c>
      <c r="K266" s="10">
        <f>K19*K264</f>
        <v>20650.221947199992</v>
      </c>
      <c r="L266" s="10">
        <f>L19*L264</f>
        <v>21438.934914856003</v>
      </c>
      <c r="M266" s="10">
        <f>M19*M264</f>
        <v>22125.100051566274</v>
      </c>
      <c r="N266" s="10">
        <f>N19*N264</f>
        <v>22849.434241688272</v>
      </c>
      <c r="O266" s="10">
        <f>O19*O264</f>
        <v>23614.212624152718</v>
      </c>
    </row>
    <row r="267" spans="2:17" ht="15" outlineLevel="1" thickBot="1" x14ac:dyDescent="0.35">
      <c r="B267" s="11" t="s">
        <v>22</v>
      </c>
      <c r="C267" s="11"/>
      <c r="E267" s="171">
        <f t="shared" ref="E267:O267" si="88">E264-E266</f>
        <v>55256</v>
      </c>
      <c r="F267" s="171">
        <f t="shared" si="88"/>
        <v>57411</v>
      </c>
      <c r="G267" s="171">
        <f t="shared" si="88"/>
        <v>94680</v>
      </c>
      <c r="H267" s="171">
        <f t="shared" si="88"/>
        <v>99803</v>
      </c>
      <c r="I267" s="171">
        <f t="shared" si="88"/>
        <v>96995</v>
      </c>
      <c r="J267" s="171">
        <f t="shared" si="88"/>
        <v>93736</v>
      </c>
      <c r="K267" s="171">
        <f t="shared" si="88"/>
        <v>108413.66522279996</v>
      </c>
      <c r="L267" s="171">
        <f t="shared" si="88"/>
        <v>112554.40830299402</v>
      </c>
      <c r="M267" s="171">
        <f t="shared" si="88"/>
        <v>116156.77527072294</v>
      </c>
      <c r="N267" s="171">
        <f t="shared" si="88"/>
        <v>119959.52976886342</v>
      </c>
      <c r="O267" s="171">
        <f t="shared" si="88"/>
        <v>123974.61627680177</v>
      </c>
    </row>
    <row r="268" spans="2:17" outlineLevel="1" x14ac:dyDescent="0.3"/>
    <row r="270" spans="2:17" x14ac:dyDescent="0.3">
      <c r="B270" s="278" t="s">
        <v>9</v>
      </c>
      <c r="C270" s="74"/>
      <c r="D270" s="74"/>
      <c r="E270" s="74"/>
      <c r="F270" s="74"/>
      <c r="G270" s="74"/>
      <c r="H270" s="74"/>
      <c r="I270" s="74"/>
      <c r="J270" s="74"/>
      <c r="K270" s="74"/>
      <c r="L270" s="74"/>
      <c r="M270" s="74"/>
      <c r="N270" s="74"/>
      <c r="O270" s="74"/>
    </row>
    <row r="271" spans="2:17" outlineLevel="1" x14ac:dyDescent="0.3"/>
    <row r="272" spans="2:17" ht="15" outlineLevel="1" thickBot="1" x14ac:dyDescent="0.35">
      <c r="B272" s="279" t="s">
        <v>127</v>
      </c>
      <c r="D272" s="50"/>
      <c r="E272" s="78">
        <v>2019</v>
      </c>
      <c r="F272" s="78">
        <v>2020</v>
      </c>
      <c r="G272" s="78">
        <v>2021</v>
      </c>
      <c r="H272" s="78">
        <v>2022</v>
      </c>
      <c r="I272" s="78">
        <v>2023</v>
      </c>
      <c r="J272" s="78">
        <v>2024</v>
      </c>
      <c r="K272" s="131">
        <f>J272+1</f>
        <v>2025</v>
      </c>
      <c r="L272" s="131">
        <f>K272+1</f>
        <v>2026</v>
      </c>
      <c r="M272" s="131">
        <f>L272+1</f>
        <v>2027</v>
      </c>
      <c r="N272" s="131">
        <f>M272+1</f>
        <v>2028</v>
      </c>
      <c r="O272" s="131">
        <f>N272+1</f>
        <v>2029</v>
      </c>
    </row>
    <row r="273" spans="2:15" outlineLevel="1" x14ac:dyDescent="0.3">
      <c r="B273" s="50"/>
      <c r="C273" s="50"/>
      <c r="D273" s="50"/>
      <c r="E273" s="156"/>
      <c r="F273" s="156"/>
      <c r="G273" s="156"/>
      <c r="H273" s="156"/>
      <c r="I273" s="156"/>
      <c r="J273" s="157"/>
      <c r="K273" s="157"/>
      <c r="L273" s="157"/>
      <c r="M273" s="157"/>
      <c r="N273" s="157"/>
      <c r="O273" s="157"/>
    </row>
    <row r="274" spans="2:15" outlineLevel="1" x14ac:dyDescent="0.3">
      <c r="B274" s="8" t="s">
        <v>23</v>
      </c>
      <c r="C274" s="8"/>
      <c r="D274" s="50"/>
      <c r="F274" s="50"/>
      <c r="G274" s="50"/>
      <c r="H274" s="50"/>
    </row>
    <row r="275" spans="2:15" outlineLevel="1" x14ac:dyDescent="0.3">
      <c r="B275" s="8" t="s">
        <v>24</v>
      </c>
      <c r="C275" s="8"/>
      <c r="D275" s="50"/>
      <c r="F275" s="50"/>
      <c r="G275" s="50"/>
      <c r="H275" s="50"/>
    </row>
    <row r="276" spans="2:15" outlineLevel="1" x14ac:dyDescent="0.3">
      <c r="B276" s="3" t="s">
        <v>25</v>
      </c>
      <c r="C276" s="3"/>
      <c r="D276" s="50"/>
      <c r="E276" s="166">
        <v>48844</v>
      </c>
      <c r="F276" s="166">
        <v>38016</v>
      </c>
      <c r="G276" s="166">
        <v>34940</v>
      </c>
      <c r="H276" s="166">
        <v>23646</v>
      </c>
      <c r="I276" s="166">
        <v>29965</v>
      </c>
      <c r="J276" s="166">
        <v>29943</v>
      </c>
      <c r="K276" s="10">
        <f ca="1">K360</f>
        <v>39396.496180379909</v>
      </c>
      <c r="L276" s="10">
        <f t="shared" ref="L276:O276" ca="1" si="89">L360</f>
        <v>57992.220720619138</v>
      </c>
      <c r="M276" s="10">
        <f t="shared" ca="1" si="89"/>
        <v>77297.235791936764</v>
      </c>
      <c r="N276" s="10">
        <f t="shared" ca="1" si="89"/>
        <v>98079.928587620394</v>
      </c>
      <c r="O276" s="10">
        <f t="shared" ca="1" si="89"/>
        <v>122355.61874322454</v>
      </c>
    </row>
    <row r="277" spans="2:15" outlineLevel="1" x14ac:dyDescent="0.3">
      <c r="B277" s="3" t="s">
        <v>68</v>
      </c>
      <c r="C277" s="3"/>
      <c r="D277" s="50"/>
      <c r="E277" s="166">
        <v>51713</v>
      </c>
      <c r="F277" s="166">
        <v>52927</v>
      </c>
      <c r="G277" s="166">
        <v>27699</v>
      </c>
      <c r="H277" s="166">
        <v>24658</v>
      </c>
      <c r="I277" s="166">
        <v>31590</v>
      </c>
      <c r="J277" s="166">
        <v>35228</v>
      </c>
      <c r="K277" s="10">
        <f>K459</f>
        <v>31338.205191999994</v>
      </c>
      <c r="L277" s="10">
        <f t="shared" ref="L277:O277" si="90">L459</f>
        <v>33984.354312052492</v>
      </c>
      <c r="M277" s="10">
        <f t="shared" si="90"/>
        <v>33285.741925565839</v>
      </c>
      <c r="N277" s="10">
        <f t="shared" si="90"/>
        <v>36097.606446201084</v>
      </c>
      <c r="O277" s="10">
        <f t="shared" si="90"/>
        <v>38121.055137673284</v>
      </c>
    </row>
    <row r="278" spans="2:15" outlineLevel="1" x14ac:dyDescent="0.3">
      <c r="B278" s="3" t="s">
        <v>69</v>
      </c>
      <c r="C278" s="3"/>
      <c r="D278" s="50"/>
      <c r="E278" s="166">
        <v>22926</v>
      </c>
      <c r="F278" s="166">
        <v>16120</v>
      </c>
      <c r="G278" s="166">
        <v>26278</v>
      </c>
      <c r="H278" s="166">
        <v>28184</v>
      </c>
      <c r="I278" s="166">
        <v>29508</v>
      </c>
      <c r="J278" s="166">
        <v>33410</v>
      </c>
      <c r="K278" s="10">
        <f>K375</f>
        <v>33948.992205479444</v>
      </c>
      <c r="L278" s="10">
        <f t="shared" ref="L278:O278" si="91">L375</f>
        <v>34733.362467191779</v>
      </c>
      <c r="M278" s="10">
        <f t="shared" si="91"/>
        <v>35426.168149570534</v>
      </c>
      <c r="N278" s="10">
        <f t="shared" si="91"/>
        <v>36153.586192563766</v>
      </c>
      <c r="O278" s="10">
        <f t="shared" si="91"/>
        <v>36917.658557906681</v>
      </c>
    </row>
    <row r="279" spans="2:15" outlineLevel="1" x14ac:dyDescent="0.3">
      <c r="B279" s="3" t="s">
        <v>27</v>
      </c>
      <c r="C279" s="3"/>
      <c r="D279" s="50"/>
      <c r="E279" s="166">
        <v>4106</v>
      </c>
      <c r="F279" s="166">
        <v>4061</v>
      </c>
      <c r="G279" s="166">
        <v>6580</v>
      </c>
      <c r="H279" s="166">
        <v>4946</v>
      </c>
      <c r="I279" s="166">
        <v>6331</v>
      </c>
      <c r="J279" s="166">
        <v>7286</v>
      </c>
      <c r="K279" s="10">
        <f>K376</f>
        <v>7604.0337657397258</v>
      </c>
      <c r="L279" s="10">
        <f t="shared" ref="L279:O279" si="92">L376</f>
        <v>7710.3566494348597</v>
      </c>
      <c r="M279" s="10">
        <f t="shared" si="92"/>
        <v>7806.5998329174372</v>
      </c>
      <c r="N279" s="10">
        <f t="shared" si="92"/>
        <v>7906.7857163315484</v>
      </c>
      <c r="O279" s="10">
        <f t="shared" si="92"/>
        <v>8011.1417022177047</v>
      </c>
    </row>
    <row r="280" spans="2:15" outlineLevel="1" x14ac:dyDescent="0.3">
      <c r="B280" s="3" t="s">
        <v>70</v>
      </c>
      <c r="C280" s="3"/>
      <c r="D280" s="50"/>
      <c r="E280" s="166">
        <v>22878</v>
      </c>
      <c r="F280" s="166">
        <v>21325</v>
      </c>
      <c r="G280" s="166">
        <v>25228</v>
      </c>
      <c r="H280" s="166">
        <v>32748</v>
      </c>
      <c r="I280" s="166">
        <v>31477</v>
      </c>
      <c r="J280" s="166">
        <v>32833</v>
      </c>
      <c r="K280" s="10">
        <f>K470</f>
        <v>32024.680667249995</v>
      </c>
      <c r="L280" s="10">
        <f t="shared" ref="L280:O280" si="93">L470</f>
        <v>32472.46358127374</v>
      </c>
      <c r="M280" s="10">
        <f t="shared" si="93"/>
        <v>32439.424844169225</v>
      </c>
      <c r="N280" s="10">
        <f t="shared" si="93"/>
        <v>32855.735722786943</v>
      </c>
      <c r="O280" s="10">
        <f t="shared" si="93"/>
        <v>33289.37498106157</v>
      </c>
    </row>
    <row r="281" spans="2:15" outlineLevel="1" x14ac:dyDescent="0.3">
      <c r="B281" s="3" t="s">
        <v>28</v>
      </c>
      <c r="C281" s="3"/>
      <c r="D281" s="50"/>
      <c r="E281" s="166">
        <v>12352</v>
      </c>
      <c r="F281" s="166">
        <v>11264</v>
      </c>
      <c r="G281" s="166">
        <v>14111</v>
      </c>
      <c r="H281" s="166">
        <v>21223</v>
      </c>
      <c r="I281" s="166">
        <v>14695</v>
      </c>
      <c r="J281" s="166">
        <v>14287</v>
      </c>
      <c r="K281" s="10">
        <f>K617</f>
        <v>16188.741202499998</v>
      </c>
      <c r="L281" s="10">
        <f t="shared" ref="L281:O281" si="94">L617</f>
        <v>16521.876223909996</v>
      </c>
      <c r="M281" s="10">
        <f t="shared" si="94"/>
        <v>16976.562611159519</v>
      </c>
      <c r="N281" s="10">
        <f t="shared" si="94"/>
        <v>19155.569458479349</v>
      </c>
      <c r="O281" s="10">
        <f t="shared" si="94"/>
        <v>19560.404574632812</v>
      </c>
    </row>
    <row r="282" spans="2:15" outlineLevel="1" x14ac:dyDescent="0.3">
      <c r="B282" s="11" t="s">
        <v>29</v>
      </c>
      <c r="C282" s="11"/>
      <c r="D282" s="50"/>
      <c r="E282" s="172">
        <f>SUM(E276:E281)</f>
        <v>162819</v>
      </c>
      <c r="F282" s="172">
        <f>SUM(F276:F281)</f>
        <v>143713</v>
      </c>
      <c r="G282" s="172">
        <f>SUM(G276:G281)</f>
        <v>134836</v>
      </c>
      <c r="H282" s="172">
        <f>SUM(H276:H281)</f>
        <v>135405</v>
      </c>
      <c r="I282" s="172">
        <f>SUM(I276:I281)</f>
        <v>143566</v>
      </c>
      <c r="J282" s="172">
        <f t="shared" ref="J282:O282" si="95">SUM(J276:J281)</f>
        <v>152987</v>
      </c>
      <c r="K282" s="172">
        <f t="shared" ca="1" si="95"/>
        <v>160501.1492133491</v>
      </c>
      <c r="L282" s="172">
        <f t="shared" ca="1" si="95"/>
        <v>183414.63395448198</v>
      </c>
      <c r="M282" s="172">
        <f t="shared" ca="1" si="95"/>
        <v>203231.73315531932</v>
      </c>
      <c r="N282" s="172">
        <f t="shared" ca="1" si="95"/>
        <v>230249.21212398307</v>
      </c>
      <c r="O282" s="172">
        <f t="shared" ca="1" si="95"/>
        <v>258255.25369671657</v>
      </c>
    </row>
    <row r="283" spans="2:15" outlineLevel="1" x14ac:dyDescent="0.3">
      <c r="B283" s="11"/>
      <c r="C283" s="11"/>
      <c r="D283" s="50"/>
      <c r="E283" s="14"/>
      <c r="F283" s="14"/>
      <c r="G283" s="14"/>
      <c r="H283" s="14"/>
      <c r="I283" s="14"/>
      <c r="J283" s="14"/>
      <c r="K283" s="14"/>
      <c r="L283" s="14"/>
      <c r="M283" s="14"/>
      <c r="N283" s="14"/>
      <c r="O283" s="14"/>
    </row>
    <row r="284" spans="2:15" outlineLevel="1" x14ac:dyDescent="0.3">
      <c r="B284" s="8" t="s">
        <v>30</v>
      </c>
      <c r="C284" s="8"/>
      <c r="D284" s="50"/>
      <c r="E284" s="166"/>
      <c r="F284" s="166"/>
      <c r="G284" s="173"/>
      <c r="H284" s="173"/>
      <c r="I284" s="166"/>
      <c r="J284" s="166"/>
      <c r="K284" s="10"/>
      <c r="L284" s="10"/>
      <c r="M284" s="10"/>
      <c r="N284" s="10"/>
      <c r="O284" s="10"/>
    </row>
    <row r="285" spans="2:15" outlineLevel="1" x14ac:dyDescent="0.3">
      <c r="B285" s="50" t="s">
        <v>68</v>
      </c>
      <c r="C285" s="8"/>
      <c r="D285" s="50"/>
      <c r="E285" s="166">
        <v>105341</v>
      </c>
      <c r="F285" s="166">
        <v>100887</v>
      </c>
      <c r="G285" s="173">
        <v>127877</v>
      </c>
      <c r="H285" s="173">
        <v>120805</v>
      </c>
      <c r="I285" s="166">
        <v>100544</v>
      </c>
      <c r="J285" s="166">
        <v>91479</v>
      </c>
      <c r="K285" s="10">
        <f>K460</f>
        <v>105926.33132499999</v>
      </c>
      <c r="L285" s="10">
        <f t="shared" ref="L285:O285" si="96">L460</f>
        <v>108373.69305287499</v>
      </c>
      <c r="M285" s="10">
        <f t="shared" si="96"/>
        <v>116792.07693180998</v>
      </c>
      <c r="N285" s="10">
        <f t="shared" si="96"/>
        <v>120467.24792777012</v>
      </c>
      <c r="O285" s="10">
        <f t="shared" si="96"/>
        <v>125621.26493486406</v>
      </c>
    </row>
    <row r="286" spans="2:15" outlineLevel="1" x14ac:dyDescent="0.3">
      <c r="B286" s="50" t="s">
        <v>31</v>
      </c>
      <c r="C286" s="50"/>
      <c r="D286" s="50"/>
      <c r="E286" s="166">
        <v>37378</v>
      </c>
      <c r="F286" s="166">
        <v>36766</v>
      </c>
      <c r="G286" s="173">
        <v>39440</v>
      </c>
      <c r="H286" s="173">
        <v>42117</v>
      </c>
      <c r="I286" s="166">
        <v>43715</v>
      </c>
      <c r="J286" s="166">
        <v>45680</v>
      </c>
      <c r="K286" s="10">
        <f ca="1">K452</f>
        <v>48027.091389329107</v>
      </c>
      <c r="L286" s="10">
        <f ca="1">L452</f>
        <v>49444.589540412053</v>
      </c>
      <c r="M286" s="10">
        <f ca="1">M452</f>
        <v>49825.10970241241</v>
      </c>
      <c r="N286" s="10">
        <f ca="1">N452</f>
        <v>49596.485414098745</v>
      </c>
      <c r="O286" s="10">
        <f ca="1">O452</f>
        <v>48509.289233237483</v>
      </c>
    </row>
    <row r="287" spans="2:15" outlineLevel="1" x14ac:dyDescent="0.3">
      <c r="B287" s="50" t="s">
        <v>32</v>
      </c>
      <c r="C287" s="50"/>
      <c r="D287" s="50"/>
      <c r="E287" s="166">
        <v>32978</v>
      </c>
      <c r="F287" s="166">
        <v>42522</v>
      </c>
      <c r="G287" s="173">
        <v>48849</v>
      </c>
      <c r="H287" s="173">
        <v>54428</v>
      </c>
      <c r="I287" s="166">
        <v>64758</v>
      </c>
      <c r="J287" s="166">
        <v>74834</v>
      </c>
      <c r="K287" s="10">
        <f>K627</f>
        <v>64874.881411499991</v>
      </c>
      <c r="L287" s="10">
        <f>L627</f>
        <v>66373.775028232485</v>
      </c>
      <c r="M287" s="10">
        <f>M627</f>
        <v>67697.693164402706</v>
      </c>
      <c r="N287" s="10">
        <f>N627</f>
        <v>69087.753846915526</v>
      </c>
      <c r="O287" s="10">
        <f>O627</f>
        <v>70547.859165842339</v>
      </c>
    </row>
    <row r="288" spans="2:15" outlineLevel="1" x14ac:dyDescent="0.3">
      <c r="B288" s="3" t="s">
        <v>71</v>
      </c>
      <c r="C288" s="50"/>
      <c r="D288" s="50"/>
      <c r="E288" s="12">
        <f>SUM(E285:E287)</f>
        <v>175697</v>
      </c>
      <c r="F288" s="12">
        <f t="shared" ref="F288:J288" si="97">SUM(F285:F287)</f>
        <v>180175</v>
      </c>
      <c r="G288" s="12">
        <f t="shared" si="97"/>
        <v>216166</v>
      </c>
      <c r="H288" s="12">
        <f t="shared" si="97"/>
        <v>217350</v>
      </c>
      <c r="I288" s="12">
        <f t="shared" si="97"/>
        <v>209017</v>
      </c>
      <c r="J288" s="12">
        <f t="shared" si="97"/>
        <v>211993</v>
      </c>
      <c r="K288" s="12">
        <f t="shared" ref="K288" ca="1" si="98">SUM(K285:K287)</f>
        <v>218828.30412582908</v>
      </c>
      <c r="L288" s="12">
        <f t="shared" ref="L288" ca="1" si="99">SUM(L285:L287)</f>
        <v>224192.05762151955</v>
      </c>
      <c r="M288" s="12">
        <f t="shared" ref="M288" ca="1" si="100">SUM(M285:M287)</f>
        <v>234314.8797986251</v>
      </c>
      <c r="N288" s="12">
        <f t="shared" ref="N288" ca="1" si="101">SUM(N285:N287)</f>
        <v>239151.48718878438</v>
      </c>
      <c r="O288" s="12">
        <f t="shared" ref="O288" ca="1" si="102">SUM(O285:O287)</f>
        <v>244678.41333394387</v>
      </c>
    </row>
    <row r="289" spans="2:15" ht="15" outlineLevel="1" thickBot="1" x14ac:dyDescent="0.35">
      <c r="B289" s="11" t="s">
        <v>33</v>
      </c>
      <c r="C289" s="50"/>
      <c r="D289" s="50"/>
      <c r="E289" s="174">
        <f t="shared" ref="E289:I289" si="103">E288+E282</f>
        <v>338516</v>
      </c>
      <c r="F289" s="174">
        <f t="shared" si="103"/>
        <v>323888</v>
      </c>
      <c r="G289" s="174">
        <f t="shared" si="103"/>
        <v>351002</v>
      </c>
      <c r="H289" s="174">
        <f t="shared" si="103"/>
        <v>352755</v>
      </c>
      <c r="I289" s="174">
        <f t="shared" si="103"/>
        <v>352583</v>
      </c>
      <c r="J289" s="174">
        <f>J288+J282</f>
        <v>364980</v>
      </c>
      <c r="K289" s="174">
        <f t="shared" ref="K289:O289" ca="1" si="104">K288+K282</f>
        <v>379329.45333917817</v>
      </c>
      <c r="L289" s="174">
        <f t="shared" ca="1" si="104"/>
        <v>407606.69157600153</v>
      </c>
      <c r="M289" s="174">
        <f t="shared" ca="1" si="104"/>
        <v>437546.61295394442</v>
      </c>
      <c r="N289" s="174">
        <f t="shared" ca="1" si="104"/>
        <v>469400.69931276748</v>
      </c>
      <c r="O289" s="174">
        <f t="shared" ca="1" si="104"/>
        <v>502933.66703066044</v>
      </c>
    </row>
    <row r="290" spans="2:15" ht="15" outlineLevel="1" thickTop="1" x14ac:dyDescent="0.3">
      <c r="B290" s="50"/>
      <c r="C290" s="50"/>
      <c r="D290" s="50"/>
      <c r="E290" s="166"/>
      <c r="F290" s="166"/>
      <c r="G290" s="173"/>
      <c r="H290" s="173"/>
      <c r="I290" s="166"/>
      <c r="J290" s="166"/>
      <c r="K290" s="10"/>
      <c r="L290" s="10"/>
      <c r="M290" s="10"/>
      <c r="N290" s="10"/>
      <c r="O290" s="10"/>
    </row>
    <row r="291" spans="2:15" outlineLevel="1" x14ac:dyDescent="0.3">
      <c r="B291" s="8" t="s">
        <v>34</v>
      </c>
      <c r="C291" s="8"/>
      <c r="D291" s="50"/>
      <c r="E291" s="166"/>
      <c r="F291" s="166"/>
      <c r="G291" s="173"/>
      <c r="H291" s="173"/>
      <c r="I291" s="166"/>
      <c r="J291" s="166"/>
      <c r="K291" s="10"/>
      <c r="L291" s="10"/>
      <c r="M291" s="10"/>
      <c r="N291" s="10"/>
      <c r="O291" s="10"/>
    </row>
    <row r="292" spans="2:15" outlineLevel="1" x14ac:dyDescent="0.3">
      <c r="B292" s="11" t="s">
        <v>35</v>
      </c>
      <c r="C292" s="11"/>
      <c r="D292" s="50"/>
      <c r="E292" s="166"/>
      <c r="F292" s="166"/>
      <c r="G292" s="166"/>
      <c r="H292" s="166"/>
      <c r="I292" s="166"/>
      <c r="J292" s="166"/>
      <c r="K292" s="166"/>
      <c r="L292" s="166"/>
      <c r="M292" s="166"/>
      <c r="N292" s="166"/>
      <c r="O292" s="166"/>
    </row>
    <row r="293" spans="2:15" outlineLevel="1" x14ac:dyDescent="0.3">
      <c r="B293" s="3" t="s">
        <v>36</v>
      </c>
      <c r="C293" s="3"/>
      <c r="D293" s="50"/>
      <c r="E293" s="166">
        <v>46236</v>
      </c>
      <c r="F293" s="166">
        <v>42296</v>
      </c>
      <c r="G293" s="166">
        <v>54763</v>
      </c>
      <c r="H293" s="173">
        <v>64115</v>
      </c>
      <c r="I293" s="166">
        <v>62611</v>
      </c>
      <c r="J293" s="166">
        <v>68960</v>
      </c>
      <c r="K293" s="10">
        <f>K377</f>
        <v>70191.080914520542</v>
      </c>
      <c r="L293" s="10">
        <f t="shared" ref="L293:O293" si="105">L377</f>
        <v>71172.52291786026</v>
      </c>
      <c r="M293" s="10">
        <f t="shared" si="105"/>
        <v>72060.921534622496</v>
      </c>
      <c r="N293" s="10">
        <f t="shared" si="105"/>
        <v>72985.714304598921</v>
      </c>
      <c r="O293" s="10">
        <f t="shared" si="105"/>
        <v>73949.000328163427</v>
      </c>
    </row>
    <row r="294" spans="2:15" outlineLevel="1" x14ac:dyDescent="0.3">
      <c r="B294" s="3" t="s">
        <v>37</v>
      </c>
      <c r="C294" s="3"/>
      <c r="D294" s="50"/>
      <c r="E294" s="166">
        <v>37720</v>
      </c>
      <c r="F294" s="166">
        <v>42684</v>
      </c>
      <c r="G294" s="166">
        <v>47493</v>
      </c>
      <c r="H294" s="173">
        <v>60845</v>
      </c>
      <c r="I294" s="166">
        <v>58829</v>
      </c>
      <c r="J294" s="166">
        <v>78304</v>
      </c>
      <c r="K294" s="10">
        <f>K641</f>
        <v>67758.614381581952</v>
      </c>
      <c r="L294" s="10">
        <f t="shared" ref="L294:O294" si="106">L641</f>
        <v>68755.244684802645</v>
      </c>
      <c r="M294" s="10">
        <f t="shared" si="106"/>
        <v>70340.111053008004</v>
      </c>
      <c r="N294" s="10">
        <f t="shared" si="106"/>
        <v>71836.593837192704</v>
      </c>
      <c r="O294" s="10">
        <f t="shared" si="106"/>
        <v>73245.137808964602</v>
      </c>
    </row>
    <row r="295" spans="2:15" outlineLevel="1" x14ac:dyDescent="0.3">
      <c r="B295" s="3" t="s">
        <v>72</v>
      </c>
      <c r="C295" s="3"/>
      <c r="D295" s="50"/>
      <c r="E295" s="166">
        <v>5522</v>
      </c>
      <c r="F295" s="166">
        <v>6643</v>
      </c>
      <c r="G295" s="166">
        <v>7612</v>
      </c>
      <c r="H295" s="173">
        <v>7912</v>
      </c>
      <c r="I295" s="173">
        <v>8061</v>
      </c>
      <c r="J295" s="166">
        <v>8249</v>
      </c>
      <c r="K295" s="10">
        <f>K480</f>
        <v>8394.1621049999994</v>
      </c>
      <c r="L295" s="10">
        <f t="shared" ref="L295:O295" si="107">L480</f>
        <v>8588.1039777749993</v>
      </c>
      <c r="M295" s="10">
        <f t="shared" si="107"/>
        <v>8759.4057698857468</v>
      </c>
      <c r="N295" s="10">
        <f t="shared" si="107"/>
        <v>8939.2657472903629</v>
      </c>
      <c r="O295" s="10">
        <f t="shared" si="107"/>
        <v>9128.1888014953129</v>
      </c>
    </row>
    <row r="296" spans="2:15" outlineLevel="1" x14ac:dyDescent="0.3">
      <c r="B296" s="3" t="s">
        <v>73</v>
      </c>
      <c r="C296" s="3"/>
      <c r="D296" s="50"/>
      <c r="E296" s="166">
        <v>5980</v>
      </c>
      <c r="F296" s="166">
        <v>4996</v>
      </c>
      <c r="G296" s="166">
        <v>6000</v>
      </c>
      <c r="H296" s="173">
        <v>9982</v>
      </c>
      <c r="I296" s="173">
        <v>5985</v>
      </c>
      <c r="J296" s="166">
        <v>9967</v>
      </c>
      <c r="K296" s="10">
        <f>K489</f>
        <v>9993.0501249999998</v>
      </c>
      <c r="L296" s="10">
        <f t="shared" ref="L296:O296" si="108">L489</f>
        <v>10223.933306874998</v>
      </c>
      <c r="M296" s="10">
        <f t="shared" si="108"/>
        <v>10427.864011768746</v>
      </c>
      <c r="N296" s="10">
        <f t="shared" si="108"/>
        <v>10641.983032488528</v>
      </c>
      <c r="O296" s="10">
        <f t="shared" si="108"/>
        <v>10866.891430351563</v>
      </c>
    </row>
    <row r="297" spans="2:15" outlineLevel="1" x14ac:dyDescent="0.3">
      <c r="B297" s="3" t="s">
        <v>74</v>
      </c>
      <c r="C297" s="3"/>
      <c r="D297" s="50"/>
      <c r="E297" s="166">
        <v>10260</v>
      </c>
      <c r="F297" s="166">
        <v>8773</v>
      </c>
      <c r="G297" s="166">
        <v>9613</v>
      </c>
      <c r="H297" s="173">
        <v>11128</v>
      </c>
      <c r="I297" s="173">
        <v>9822</v>
      </c>
      <c r="J297" s="166">
        <v>10912</v>
      </c>
      <c r="K297" s="10">
        <f>K501</f>
        <v>9830.7016810111581</v>
      </c>
      <c r="L297" s="10">
        <f t="shared" ref="L297:O297" si="109">L501</f>
        <v>10057.833903484201</v>
      </c>
      <c r="M297" s="10">
        <f t="shared" si="109"/>
        <v>10258.451522562616</v>
      </c>
      <c r="N297" s="10">
        <f t="shared" si="109"/>
        <v>10469.091936710085</v>
      </c>
      <c r="O297" s="10">
        <f t="shared" si="109"/>
        <v>10690.34644232037</v>
      </c>
    </row>
    <row r="298" spans="2:15" outlineLevel="1" x14ac:dyDescent="0.3">
      <c r="B298" s="11" t="s">
        <v>38</v>
      </c>
      <c r="C298" s="11"/>
      <c r="D298" s="50"/>
      <c r="E298" s="12">
        <f t="shared" ref="E298:O298" si="110">SUM(E293:E297)</f>
        <v>105718</v>
      </c>
      <c r="F298" s="12">
        <f t="shared" si="110"/>
        <v>105392</v>
      </c>
      <c r="G298" s="12">
        <f t="shared" si="110"/>
        <v>125481</v>
      </c>
      <c r="H298" s="12">
        <f t="shared" si="110"/>
        <v>153982</v>
      </c>
      <c r="I298" s="12">
        <f t="shared" si="110"/>
        <v>145308</v>
      </c>
      <c r="J298" s="12">
        <f t="shared" si="110"/>
        <v>176392</v>
      </c>
      <c r="K298" s="12">
        <f t="shared" si="110"/>
        <v>166167.60920711365</v>
      </c>
      <c r="L298" s="12">
        <f t="shared" si="110"/>
        <v>168797.63879079709</v>
      </c>
      <c r="M298" s="12">
        <f t="shared" si="110"/>
        <v>171846.75389184762</v>
      </c>
      <c r="N298" s="12">
        <f t="shared" si="110"/>
        <v>174872.64885828059</v>
      </c>
      <c r="O298" s="12">
        <f t="shared" si="110"/>
        <v>177879.56481129525</v>
      </c>
    </row>
    <row r="299" spans="2:15" outlineLevel="1" x14ac:dyDescent="0.3">
      <c r="B299" s="3"/>
      <c r="C299" s="3"/>
      <c r="D299" s="50"/>
      <c r="E299" s="166"/>
      <c r="F299" s="166"/>
      <c r="G299" s="173"/>
      <c r="H299" s="173"/>
      <c r="I299" s="173"/>
      <c r="J299" s="173"/>
      <c r="K299" s="10"/>
      <c r="L299" s="10"/>
      <c r="M299" s="10"/>
      <c r="N299" s="10"/>
      <c r="O299" s="10"/>
    </row>
    <row r="300" spans="2:15" outlineLevel="1" x14ac:dyDescent="0.3">
      <c r="B300" s="11" t="s">
        <v>39</v>
      </c>
      <c r="C300" s="11"/>
      <c r="D300" s="50"/>
      <c r="E300" s="166"/>
      <c r="F300" s="166"/>
      <c r="G300" s="173"/>
      <c r="H300" s="173"/>
      <c r="I300" s="173"/>
      <c r="J300" s="173"/>
      <c r="K300" s="10"/>
      <c r="L300" s="10"/>
      <c r="M300" s="10"/>
      <c r="N300" s="10"/>
      <c r="O300" s="10"/>
    </row>
    <row r="301" spans="2:15" outlineLevel="1" x14ac:dyDescent="0.3">
      <c r="B301" s="3" t="s">
        <v>74</v>
      </c>
      <c r="C301" s="3"/>
      <c r="D301" s="50"/>
      <c r="E301" s="166">
        <v>91807</v>
      </c>
      <c r="F301" s="166">
        <v>98667</v>
      </c>
      <c r="G301" s="166">
        <v>109106</v>
      </c>
      <c r="H301" s="166">
        <v>98959</v>
      </c>
      <c r="I301" s="166">
        <v>95281</v>
      </c>
      <c r="J301" s="166">
        <v>85750</v>
      </c>
      <c r="K301" s="169">
        <f>K502</f>
        <v>86102.579518988816</v>
      </c>
      <c r="L301" s="169">
        <f t="shared" ref="L301:O301" si="111">L502</f>
        <v>88091.925842515775</v>
      </c>
      <c r="M301" s="169">
        <f t="shared" si="111"/>
        <v>89849.042990417336</v>
      </c>
      <c r="N301" s="169">
        <f t="shared" si="111"/>
        <v>91693.945175179761</v>
      </c>
      <c r="O301" s="169">
        <f t="shared" si="111"/>
        <v>93631.811289054618</v>
      </c>
    </row>
    <row r="302" spans="2:15" outlineLevel="1" x14ac:dyDescent="0.3">
      <c r="B302" s="3" t="s">
        <v>40</v>
      </c>
      <c r="C302" s="3"/>
      <c r="E302" s="166">
        <v>50503</v>
      </c>
      <c r="F302" s="166">
        <v>54490</v>
      </c>
      <c r="G302" s="166">
        <v>53325</v>
      </c>
      <c r="H302" s="166">
        <v>49142</v>
      </c>
      <c r="I302" s="166">
        <v>49848</v>
      </c>
      <c r="J302" s="166">
        <v>45888</v>
      </c>
      <c r="K302" s="169">
        <f>K651</f>
        <v>49477.589778899994</v>
      </c>
      <c r="L302" s="169">
        <f t="shared" ref="L302:O302" si="112">L651</f>
        <v>50620.738588999491</v>
      </c>
      <c r="M302" s="169">
        <f t="shared" si="112"/>
        <v>51630.44029506942</v>
      </c>
      <c r="N302" s="169">
        <f t="shared" si="112"/>
        <v>52690.586390457196</v>
      </c>
      <c r="O302" s="169">
        <f t="shared" si="112"/>
        <v>53804.152849956663</v>
      </c>
    </row>
    <row r="303" spans="2:15" outlineLevel="1" x14ac:dyDescent="0.3">
      <c r="B303" s="3" t="s">
        <v>75</v>
      </c>
      <c r="C303" s="3"/>
      <c r="D303" s="50"/>
      <c r="E303" s="12">
        <f>SUM(E301:E302)</f>
        <v>142310</v>
      </c>
      <c r="F303" s="12">
        <f>SUM(F301:F302)</f>
        <v>153157</v>
      </c>
      <c r="G303" s="12">
        <f t="shared" ref="G303:O303" si="113">SUM(G301:G302)</f>
        <v>162431</v>
      </c>
      <c r="H303" s="12">
        <f t="shared" si="113"/>
        <v>148101</v>
      </c>
      <c r="I303" s="12">
        <f t="shared" si="113"/>
        <v>145129</v>
      </c>
      <c r="J303" s="12">
        <f t="shared" si="113"/>
        <v>131638</v>
      </c>
      <c r="K303" s="12">
        <f t="shared" si="113"/>
        <v>135580.16929788882</v>
      </c>
      <c r="L303" s="12">
        <f t="shared" si="113"/>
        <v>138712.66443151527</v>
      </c>
      <c r="M303" s="12">
        <f t="shared" si="113"/>
        <v>141479.48328548676</v>
      </c>
      <c r="N303" s="12">
        <f t="shared" si="113"/>
        <v>144384.53156563695</v>
      </c>
      <c r="O303" s="12">
        <f t="shared" si="113"/>
        <v>147435.96413901128</v>
      </c>
    </row>
    <row r="304" spans="2:15" ht="15" outlineLevel="1" thickBot="1" x14ac:dyDescent="0.35">
      <c r="B304" s="11" t="s">
        <v>41</v>
      </c>
      <c r="C304" s="11"/>
      <c r="E304" s="174">
        <f>E303+E298</f>
        <v>248028</v>
      </c>
      <c r="F304" s="174">
        <f>F303+F298</f>
        <v>258549</v>
      </c>
      <c r="G304" s="174">
        <f t="shared" ref="G304:O304" si="114">G303+G298</f>
        <v>287912</v>
      </c>
      <c r="H304" s="174">
        <f t="shared" si="114"/>
        <v>302083</v>
      </c>
      <c r="I304" s="174">
        <f t="shared" si="114"/>
        <v>290437</v>
      </c>
      <c r="J304" s="174">
        <f t="shared" si="114"/>
        <v>308030</v>
      </c>
      <c r="K304" s="174">
        <f t="shared" si="114"/>
        <v>301747.7785050025</v>
      </c>
      <c r="L304" s="174">
        <f t="shared" si="114"/>
        <v>307510.30322231236</v>
      </c>
      <c r="M304" s="174">
        <f t="shared" si="114"/>
        <v>313326.23717733438</v>
      </c>
      <c r="N304" s="174">
        <f t="shared" si="114"/>
        <v>319257.18042391754</v>
      </c>
      <c r="O304" s="174">
        <f t="shared" si="114"/>
        <v>325315.52895030653</v>
      </c>
    </row>
    <row r="305" spans="2:20" ht="15" outlineLevel="1" thickTop="1" x14ac:dyDescent="0.3">
      <c r="B305" s="3"/>
      <c r="C305" s="3"/>
      <c r="E305" s="166"/>
      <c r="F305" s="166"/>
      <c r="G305" s="173"/>
      <c r="H305" s="173"/>
      <c r="I305" s="173"/>
      <c r="J305" s="173"/>
      <c r="K305" s="10"/>
      <c r="L305" s="10"/>
      <c r="M305" s="10"/>
      <c r="N305" s="10"/>
      <c r="O305" s="10"/>
    </row>
    <row r="306" spans="2:20" outlineLevel="1" x14ac:dyDescent="0.3">
      <c r="B306" s="11" t="s">
        <v>42</v>
      </c>
      <c r="C306" s="11"/>
      <c r="E306" s="166"/>
      <c r="F306" s="166"/>
      <c r="G306" s="173"/>
      <c r="H306" s="173"/>
      <c r="I306" s="173"/>
      <c r="J306" s="173"/>
    </row>
    <row r="307" spans="2:20" outlineLevel="1" x14ac:dyDescent="0.3">
      <c r="B307" s="50" t="s">
        <v>43</v>
      </c>
      <c r="C307" s="50"/>
      <c r="D307" s="8"/>
      <c r="E307" s="166">
        <v>45174</v>
      </c>
      <c r="F307" s="166">
        <v>50779</v>
      </c>
      <c r="G307" s="173">
        <v>57365</v>
      </c>
      <c r="H307" s="173">
        <v>64849</v>
      </c>
      <c r="I307" s="173">
        <v>73812</v>
      </c>
      <c r="J307" s="166">
        <v>83276</v>
      </c>
      <c r="K307" s="169">
        <f>K590</f>
        <v>92181.12674399151</v>
      </c>
      <c r="L307" s="169">
        <f>L590</f>
        <v>101292.00087961362</v>
      </c>
      <c r="M307" s="169">
        <f>M590</f>
        <v>110561.24577676278</v>
      </c>
      <c r="N307" s="169">
        <f>N590</f>
        <v>120020.81935847757</v>
      </c>
      <c r="O307" s="169">
        <f>O590</f>
        <v>129680.31221578564</v>
      </c>
    </row>
    <row r="308" spans="2:20" outlineLevel="1" x14ac:dyDescent="0.3">
      <c r="B308" s="50" t="s">
        <v>77</v>
      </c>
      <c r="C308" s="50"/>
      <c r="D308" s="50"/>
      <c r="E308" s="166">
        <v>45898</v>
      </c>
      <c r="F308" s="166">
        <v>14966</v>
      </c>
      <c r="G308" s="173">
        <v>5562</v>
      </c>
      <c r="H308" s="173">
        <v>-3068</v>
      </c>
      <c r="I308" s="173">
        <v>-214</v>
      </c>
      <c r="J308" s="166">
        <v>-19154</v>
      </c>
      <c r="K308" s="169">
        <f>K599</f>
        <v>-8148.9702848977322</v>
      </c>
      <c r="L308" s="169">
        <f t="shared" ref="L308:O308" si="115">L599</f>
        <v>4505.7576053203084</v>
      </c>
      <c r="M308" s="169">
        <f t="shared" si="115"/>
        <v>18605.338022873271</v>
      </c>
      <c r="N308" s="169">
        <f t="shared" si="115"/>
        <v>34203.699500889648</v>
      </c>
      <c r="O308" s="169">
        <f t="shared" si="115"/>
        <v>51394.03293417432</v>
      </c>
      <c r="Q308" s="146"/>
    </row>
    <row r="309" spans="2:20" outlineLevel="1" x14ac:dyDescent="0.3">
      <c r="B309" s="50" t="s">
        <v>76</v>
      </c>
      <c r="C309" s="50"/>
      <c r="D309" s="50"/>
      <c r="E309" s="173">
        <v>-584</v>
      </c>
      <c r="F309" s="173">
        <v>-406</v>
      </c>
      <c r="G309" s="173">
        <v>163</v>
      </c>
      <c r="H309" s="173">
        <v>-11109</v>
      </c>
      <c r="I309" s="173">
        <v>-11452</v>
      </c>
      <c r="J309" s="166">
        <v>-7172</v>
      </c>
      <c r="K309" s="169">
        <f>K605</f>
        <v>-6410</v>
      </c>
      <c r="L309" s="169">
        <f>L605</f>
        <v>-5648</v>
      </c>
      <c r="M309" s="169">
        <f>M605</f>
        <v>-4886</v>
      </c>
      <c r="N309" s="169">
        <f>N605</f>
        <v>-4124</v>
      </c>
      <c r="O309" s="169">
        <f>O605</f>
        <v>-3362</v>
      </c>
    </row>
    <row r="310" spans="2:20" ht="15" outlineLevel="1" thickBot="1" x14ac:dyDescent="0.35">
      <c r="B310" s="11" t="s">
        <v>44</v>
      </c>
      <c r="C310" s="11"/>
      <c r="D310" s="50"/>
      <c r="E310" s="175">
        <f t="shared" ref="E310:O310" si="116">SUM(E307:E309)</f>
        <v>90488</v>
      </c>
      <c r="F310" s="175">
        <f t="shared" si="116"/>
        <v>65339</v>
      </c>
      <c r="G310" s="175">
        <f t="shared" si="116"/>
        <v>63090</v>
      </c>
      <c r="H310" s="175">
        <f t="shared" si="116"/>
        <v>50672</v>
      </c>
      <c r="I310" s="175">
        <f t="shared" si="116"/>
        <v>62146</v>
      </c>
      <c r="J310" s="175">
        <f t="shared" si="116"/>
        <v>56950</v>
      </c>
      <c r="K310" s="175">
        <f t="shared" si="116"/>
        <v>77622.156459093778</v>
      </c>
      <c r="L310" s="175">
        <f t="shared" si="116"/>
        <v>100149.75848493393</v>
      </c>
      <c r="M310" s="175">
        <f t="shared" si="116"/>
        <v>124280.58379963605</v>
      </c>
      <c r="N310" s="175">
        <f t="shared" si="116"/>
        <v>150100.51885936724</v>
      </c>
      <c r="O310" s="175">
        <f t="shared" si="116"/>
        <v>177712.34514995996</v>
      </c>
    </row>
    <row r="311" spans="2:20" ht="15" outlineLevel="1" thickBot="1" x14ac:dyDescent="0.35">
      <c r="B311" s="11" t="s">
        <v>45</v>
      </c>
      <c r="C311" s="11"/>
      <c r="D311" s="50"/>
      <c r="E311" s="171">
        <f t="shared" ref="E311:O311" si="117">E304+E310</f>
        <v>338516</v>
      </c>
      <c r="F311" s="171">
        <f t="shared" si="117"/>
        <v>323888</v>
      </c>
      <c r="G311" s="171">
        <f t="shared" si="117"/>
        <v>351002</v>
      </c>
      <c r="H311" s="171">
        <f t="shared" si="117"/>
        <v>352755</v>
      </c>
      <c r="I311" s="171">
        <f t="shared" si="117"/>
        <v>352583</v>
      </c>
      <c r="J311" s="171">
        <f t="shared" si="117"/>
        <v>364980</v>
      </c>
      <c r="K311" s="171">
        <f t="shared" si="117"/>
        <v>379369.93496409629</v>
      </c>
      <c r="L311" s="171">
        <f t="shared" si="117"/>
        <v>407660.06170724629</v>
      </c>
      <c r="M311" s="171">
        <f t="shared" si="117"/>
        <v>437606.82097697043</v>
      </c>
      <c r="N311" s="171">
        <f t="shared" si="117"/>
        <v>469357.69928328478</v>
      </c>
      <c r="O311" s="171">
        <f t="shared" si="117"/>
        <v>503027.87410026649</v>
      </c>
    </row>
    <row r="312" spans="2:20" outlineLevel="1" x14ac:dyDescent="0.3">
      <c r="B312" s="50"/>
      <c r="C312" s="50"/>
      <c r="D312" s="50"/>
      <c r="F312" s="176"/>
      <c r="G312" s="177"/>
      <c r="H312" s="177"/>
    </row>
    <row r="313" spans="2:20" outlineLevel="1" x14ac:dyDescent="0.3">
      <c r="B313" s="8" t="s">
        <v>46</v>
      </c>
      <c r="C313" s="8"/>
      <c r="D313" s="50"/>
      <c r="E313" s="178">
        <f t="shared" ref="E313:J313" si="118">E289-E311</f>
        <v>0</v>
      </c>
      <c r="F313" s="179">
        <f t="shared" si="118"/>
        <v>0</v>
      </c>
      <c r="G313" s="179">
        <f t="shared" si="118"/>
        <v>0</v>
      </c>
      <c r="H313" s="179">
        <f t="shared" si="118"/>
        <v>0</v>
      </c>
      <c r="I313" s="179">
        <f t="shared" si="118"/>
        <v>0</v>
      </c>
      <c r="J313" s="179">
        <f t="shared" si="118"/>
        <v>0</v>
      </c>
      <c r="K313" s="179">
        <f ca="1">IF(ABS(K314)&lt;0.02%*K311,0,K289-K311)</f>
        <v>0</v>
      </c>
      <c r="L313" s="179">
        <f t="shared" ref="L313:O313" ca="1" si="119">IF(ABS(L314)&lt;0.02%*L311,0,L289-L311)</f>
        <v>0</v>
      </c>
      <c r="M313" s="179">
        <f t="shared" ca="1" si="119"/>
        <v>0</v>
      </c>
      <c r="N313" s="179">
        <f t="shared" ca="1" si="119"/>
        <v>0</v>
      </c>
      <c r="O313" s="180">
        <f t="shared" ca="1" si="119"/>
        <v>0</v>
      </c>
    </row>
    <row r="314" spans="2:20" x14ac:dyDescent="0.3">
      <c r="K314" s="181">
        <f ca="1">K289-K311</f>
        <v>-40.481624918116722</v>
      </c>
      <c r="L314" s="181">
        <f t="shared" ref="L314:O314" ca="1" si="120">L289-L311</f>
        <v>-53.370131244766526</v>
      </c>
      <c r="M314" s="181">
        <f t="shared" ca="1" si="120"/>
        <v>-60.208023026003502</v>
      </c>
      <c r="N314" s="181">
        <f t="shared" ca="1" si="120"/>
        <v>43.000029482704122</v>
      </c>
      <c r="O314" s="181">
        <f t="shared" ca="1" si="120"/>
        <v>-94.207069606054574</v>
      </c>
      <c r="P314" s="182"/>
      <c r="Q314" s="182"/>
      <c r="R314" s="182"/>
      <c r="S314" s="182"/>
      <c r="T314" s="182"/>
    </row>
    <row r="315" spans="2:20" x14ac:dyDescent="0.3">
      <c r="B315" s="278" t="s">
        <v>13</v>
      </c>
      <c r="C315" s="74"/>
      <c r="D315" s="74"/>
      <c r="E315" s="74"/>
      <c r="F315" s="74"/>
      <c r="G315" s="74"/>
      <c r="H315" s="74"/>
      <c r="I315" s="74"/>
      <c r="J315" s="74"/>
      <c r="K315" s="74"/>
      <c r="L315" s="74"/>
      <c r="M315" s="74"/>
      <c r="N315" s="74"/>
      <c r="O315" s="74"/>
    </row>
    <row r="316" spans="2:20" outlineLevel="1" x14ac:dyDescent="0.3"/>
    <row r="317" spans="2:20" ht="15" outlineLevel="1" thickBot="1" x14ac:dyDescent="0.35">
      <c r="B317" s="279" t="s">
        <v>127</v>
      </c>
      <c r="E317" s="78">
        <v>2019</v>
      </c>
      <c r="F317" s="78">
        <v>2020</v>
      </c>
      <c r="G317" s="78">
        <v>2021</v>
      </c>
      <c r="H317" s="78">
        <v>2022</v>
      </c>
      <c r="I317" s="78">
        <v>2023</v>
      </c>
      <c r="J317" s="78">
        <v>2024</v>
      </c>
      <c r="K317" s="131">
        <f>J317+1</f>
        <v>2025</v>
      </c>
      <c r="L317" s="131">
        <f>K317+1</f>
        <v>2026</v>
      </c>
      <c r="M317" s="131">
        <f>L317+1</f>
        <v>2027</v>
      </c>
      <c r="N317" s="131">
        <f>M317+1</f>
        <v>2028</v>
      </c>
      <c r="O317" s="131">
        <f>N317+1</f>
        <v>2029</v>
      </c>
    </row>
    <row r="318" spans="2:20" outlineLevel="1" x14ac:dyDescent="0.3"/>
    <row r="319" spans="2:20" outlineLevel="1" x14ac:dyDescent="0.3">
      <c r="B319" s="8" t="s">
        <v>47</v>
      </c>
      <c r="C319" s="8"/>
    </row>
    <row r="320" spans="2:20" outlineLevel="1" x14ac:dyDescent="0.3">
      <c r="B320" s="50" t="s">
        <v>48</v>
      </c>
      <c r="C320" s="50"/>
      <c r="E320" s="166">
        <v>55256</v>
      </c>
      <c r="F320" s="166">
        <v>57411</v>
      </c>
      <c r="G320" s="166">
        <v>94680</v>
      </c>
      <c r="H320" s="166">
        <v>99803</v>
      </c>
      <c r="I320" s="166">
        <v>96995</v>
      </c>
      <c r="J320" s="166">
        <v>93736</v>
      </c>
      <c r="K320" s="10">
        <f>K267</f>
        <v>108413.66522279996</v>
      </c>
      <c r="L320" s="10">
        <f>L267</f>
        <v>112554.40830299402</v>
      </c>
      <c r="M320" s="10">
        <f>M267</f>
        <v>116156.77527072294</v>
      </c>
      <c r="N320" s="10">
        <f>N267</f>
        <v>119959.52976886342</v>
      </c>
      <c r="O320" s="10">
        <f>O267</f>
        <v>123974.61627680177</v>
      </c>
    </row>
    <row r="321" spans="2:15" outlineLevel="1" x14ac:dyDescent="0.3">
      <c r="B321" s="50" t="s">
        <v>78</v>
      </c>
      <c r="C321" s="50"/>
    </row>
    <row r="322" spans="2:15" outlineLevel="1" x14ac:dyDescent="0.3">
      <c r="B322" s="3" t="s">
        <v>49</v>
      </c>
      <c r="C322" s="3"/>
      <c r="E322" s="166">
        <v>12547</v>
      </c>
      <c r="F322" s="166">
        <v>11056</v>
      </c>
      <c r="G322" s="166">
        <v>11284</v>
      </c>
      <c r="H322" s="166">
        <v>11104</v>
      </c>
      <c r="I322" s="166">
        <v>11519</v>
      </c>
      <c r="J322" s="166">
        <v>11445</v>
      </c>
      <c r="K322" s="10">
        <f ca="1">K406</f>
        <v>12021.461994004225</v>
      </c>
      <c r="L322" s="10">
        <f t="shared" ref="L322:O322" ca="1" si="121">L406</f>
        <v>12931.186282778173</v>
      </c>
      <c r="M322" s="10">
        <f t="shared" ca="1" si="121"/>
        <v>13816.440257521961</v>
      </c>
      <c r="N322" s="10">
        <f t="shared" ca="1" si="121"/>
        <v>14704.170587728835</v>
      </c>
      <c r="O322" s="10">
        <f t="shared" ca="1" si="121"/>
        <v>15601.845757117113</v>
      </c>
    </row>
    <row r="323" spans="2:15" outlineLevel="1" x14ac:dyDescent="0.3">
      <c r="B323" s="3" t="s">
        <v>79</v>
      </c>
      <c r="C323" s="3"/>
      <c r="E323" s="166">
        <v>6068</v>
      </c>
      <c r="F323" s="166">
        <v>6829</v>
      </c>
      <c r="G323" s="166">
        <v>7906</v>
      </c>
      <c r="H323" s="166">
        <v>9038</v>
      </c>
      <c r="I323" s="166">
        <v>10833</v>
      </c>
      <c r="J323" s="166">
        <v>11688</v>
      </c>
      <c r="K323" s="10">
        <f>K579</f>
        <v>11068.302318449998</v>
      </c>
      <c r="L323" s="10">
        <f>L579</f>
        <v>11324.028530694748</v>
      </c>
      <c r="M323" s="10">
        <f>M579</f>
        <v>11549.902179435065</v>
      </c>
      <c r="N323" s="10">
        <f>N579</f>
        <v>11787.060406784294</v>
      </c>
      <c r="O323" s="10">
        <f>O579</f>
        <v>12036.168948257393</v>
      </c>
    </row>
    <row r="324" spans="2:15" outlineLevel="1" x14ac:dyDescent="0.3">
      <c r="B324" s="3" t="s">
        <v>80</v>
      </c>
      <c r="C324" s="3"/>
      <c r="E324" s="166">
        <v>-340</v>
      </c>
      <c r="F324" s="166">
        <v>-215</v>
      </c>
      <c r="G324" s="166">
        <v>-4774</v>
      </c>
      <c r="H324" s="166">
        <v>0</v>
      </c>
      <c r="I324" s="166">
        <v>0</v>
      </c>
      <c r="J324" s="166">
        <v>0</v>
      </c>
      <c r="K324" s="10">
        <f t="shared" ref="K324:O325" si="122">K42</f>
        <v>0</v>
      </c>
      <c r="L324" s="10">
        <f t="shared" si="122"/>
        <v>0</v>
      </c>
      <c r="M324" s="10">
        <f t="shared" si="122"/>
        <v>0</v>
      </c>
      <c r="N324" s="10">
        <f t="shared" si="122"/>
        <v>0</v>
      </c>
      <c r="O324" s="10">
        <f t="shared" si="122"/>
        <v>0</v>
      </c>
    </row>
    <row r="325" spans="2:15" outlineLevel="1" x14ac:dyDescent="0.3">
      <c r="B325" s="3" t="s">
        <v>81</v>
      </c>
      <c r="C325" s="3"/>
      <c r="E325" s="166">
        <v>-652</v>
      </c>
      <c r="F325" s="166">
        <v>-97</v>
      </c>
      <c r="G325" s="166">
        <v>-147</v>
      </c>
      <c r="H325" s="166">
        <v>1006</v>
      </c>
      <c r="I325" s="166">
        <v>-2227</v>
      </c>
      <c r="J325" s="166">
        <v>-2266</v>
      </c>
      <c r="K325" s="10">
        <f t="shared" si="122"/>
        <v>-1000</v>
      </c>
      <c r="L325" s="10">
        <f t="shared" si="122"/>
        <v>-1000</v>
      </c>
      <c r="M325" s="10">
        <f t="shared" si="122"/>
        <v>-1000</v>
      </c>
      <c r="N325" s="10">
        <f t="shared" si="122"/>
        <v>-1000</v>
      </c>
      <c r="O325" s="10">
        <f t="shared" si="122"/>
        <v>-1000</v>
      </c>
    </row>
    <row r="326" spans="2:15" outlineLevel="1" x14ac:dyDescent="0.3">
      <c r="B326" s="11" t="s">
        <v>50</v>
      </c>
      <c r="C326" s="3"/>
      <c r="J326" s="166"/>
      <c r="K326" s="10"/>
      <c r="L326" s="10"/>
      <c r="M326" s="10"/>
      <c r="N326" s="10"/>
      <c r="O326" s="10"/>
    </row>
    <row r="327" spans="2:15" outlineLevel="1" x14ac:dyDescent="0.3">
      <c r="B327" s="3" t="s">
        <v>26</v>
      </c>
      <c r="C327" s="3"/>
      <c r="E327" s="166">
        <v>245</v>
      </c>
      <c r="F327" s="166">
        <v>6917</v>
      </c>
      <c r="G327" s="166">
        <v>-10125</v>
      </c>
      <c r="H327" s="166">
        <v>-1823</v>
      </c>
      <c r="I327" s="166">
        <v>-1688</v>
      </c>
      <c r="J327" s="166">
        <v>-3788</v>
      </c>
      <c r="K327" s="10">
        <f>K386</f>
        <v>-594.65887214611087</v>
      </c>
      <c r="L327" s="10">
        <f>L386</f>
        <v>-886.25915060122338</v>
      </c>
      <c r="M327" s="10">
        <f>M386</f>
        <v>-707.32420089727407</v>
      </c>
      <c r="N327" s="10">
        <f>N386</f>
        <v>-784.77606768458929</v>
      </c>
      <c r="O327" s="10">
        <f>O386</f>
        <v>-821.99417604250436</v>
      </c>
    </row>
    <row r="328" spans="2:15" outlineLevel="1" x14ac:dyDescent="0.3">
      <c r="B328" s="3" t="s">
        <v>27</v>
      </c>
      <c r="C328" s="3"/>
      <c r="E328" s="166">
        <v>-289</v>
      </c>
      <c r="F328" s="166">
        <v>-127</v>
      </c>
      <c r="G328" s="166">
        <v>-2642</v>
      </c>
      <c r="H328" s="166">
        <v>1484</v>
      </c>
      <c r="I328" s="166">
        <v>-1618</v>
      </c>
      <c r="J328" s="166">
        <v>-1046</v>
      </c>
      <c r="K328" s="10">
        <f>K390</f>
        <v>-476.03376573972582</v>
      </c>
      <c r="L328" s="10">
        <f>L390</f>
        <v>-266.98955036180053</v>
      </c>
      <c r="M328" s="10">
        <f>M390</f>
        <v>-232.79873903813302</v>
      </c>
      <c r="N328" s="10">
        <f>N390</f>
        <v>-251.92662415485196</v>
      </c>
      <c r="O328" s="10">
        <f>O390</f>
        <v>-254.01030687381061</v>
      </c>
    </row>
    <row r="329" spans="2:15" outlineLevel="1" x14ac:dyDescent="0.3">
      <c r="B329" s="3" t="s">
        <v>70</v>
      </c>
      <c r="C329" s="3"/>
      <c r="E329" s="166">
        <v>2931</v>
      </c>
      <c r="F329" s="166">
        <v>1553</v>
      </c>
      <c r="G329" s="166">
        <v>-3903</v>
      </c>
      <c r="H329" s="166">
        <v>-7520</v>
      </c>
      <c r="I329" s="166">
        <v>1271</v>
      </c>
      <c r="J329" s="166">
        <v>-1356</v>
      </c>
      <c r="K329" s="10">
        <f>K469</f>
        <v>-808.31933275000483</v>
      </c>
      <c r="L329" s="10">
        <f t="shared" ref="L329:O329" si="123">L469</f>
        <v>447.78291402374452</v>
      </c>
      <c r="M329" s="10">
        <f t="shared" si="123"/>
        <v>-33.038737104514439</v>
      </c>
      <c r="N329" s="10">
        <f t="shared" si="123"/>
        <v>416.31087861771812</v>
      </c>
      <c r="O329" s="10">
        <f t="shared" si="123"/>
        <v>433.63925827462663</v>
      </c>
    </row>
    <row r="330" spans="2:15" outlineLevel="1" x14ac:dyDescent="0.3">
      <c r="B330" s="3" t="s">
        <v>82</v>
      </c>
      <c r="C330" s="3"/>
      <c r="E330" s="166">
        <v>873</v>
      </c>
      <c r="F330" s="166">
        <v>-9588</v>
      </c>
      <c r="G330" s="166">
        <v>-8042</v>
      </c>
      <c r="H330" s="166">
        <v>-6499</v>
      </c>
      <c r="I330" s="166">
        <v>-5684</v>
      </c>
      <c r="J330" s="166">
        <v>-11731</v>
      </c>
      <c r="K330" s="10">
        <f>K630</f>
        <v>-7994.4400999999989</v>
      </c>
      <c r="L330" s="10">
        <f t="shared" ref="L330:O330" si="124">L630</f>
        <v>-8179.1466454999991</v>
      </c>
      <c r="M330" s="10">
        <f t="shared" si="124"/>
        <v>-8342.2912094149979</v>
      </c>
      <c r="N330" s="10">
        <f t="shared" si="124"/>
        <v>-8513.586425990823</v>
      </c>
      <c r="O330" s="10">
        <f t="shared" si="124"/>
        <v>-8693.5131442812508</v>
      </c>
    </row>
    <row r="331" spans="2:15" outlineLevel="1" x14ac:dyDescent="0.3">
      <c r="B331" s="3" t="s">
        <v>36</v>
      </c>
      <c r="C331" s="3"/>
      <c r="E331" s="166">
        <v>-1923</v>
      </c>
      <c r="F331" s="166">
        <v>-4062</v>
      </c>
      <c r="G331" s="166">
        <v>12326</v>
      </c>
      <c r="H331" s="166">
        <v>9448</v>
      </c>
      <c r="I331" s="166">
        <v>-1889</v>
      </c>
      <c r="J331" s="166">
        <v>6020</v>
      </c>
      <c r="K331" s="10">
        <f>K394</f>
        <v>1025.0809145205421</v>
      </c>
      <c r="L331" s="10">
        <f>L394</f>
        <v>674.77533667305147</v>
      </c>
      <c r="M331" s="10">
        <f>M394</f>
        <v>607.84306120667952</v>
      </c>
      <c r="N331" s="10">
        <f>N394</f>
        <v>660.38536256901853</v>
      </c>
      <c r="O331" s="10">
        <f>O394</f>
        <v>679.40948035462907</v>
      </c>
    </row>
    <row r="332" spans="2:15" outlineLevel="1" x14ac:dyDescent="0.3">
      <c r="B332" s="3" t="s">
        <v>72</v>
      </c>
      <c r="C332" s="3"/>
      <c r="E332" s="166">
        <v>-625</v>
      </c>
      <c r="F332" s="166">
        <v>2081</v>
      </c>
      <c r="G332" s="166">
        <v>1676</v>
      </c>
      <c r="H332" s="166">
        <v>0</v>
      </c>
      <c r="I332" s="166">
        <v>0</v>
      </c>
      <c r="J332" s="166">
        <v>0</v>
      </c>
      <c r="K332" s="10">
        <f>K45</f>
        <v>0</v>
      </c>
      <c r="L332" s="10">
        <f>L45</f>
        <v>0</v>
      </c>
      <c r="M332" s="10">
        <f>M45</f>
        <v>0</v>
      </c>
      <c r="N332" s="10">
        <f>N45</f>
        <v>0</v>
      </c>
      <c r="O332" s="10">
        <f>O45</f>
        <v>0</v>
      </c>
    </row>
    <row r="333" spans="2:15" outlineLevel="1" x14ac:dyDescent="0.3">
      <c r="B333" s="3" t="s">
        <v>83</v>
      </c>
      <c r="C333" s="3"/>
      <c r="E333" s="166">
        <v>-4700</v>
      </c>
      <c r="F333" s="166">
        <v>8916</v>
      </c>
      <c r="G333" s="166">
        <v>5799</v>
      </c>
      <c r="H333" s="166">
        <v>6110</v>
      </c>
      <c r="I333" s="166">
        <v>3031</v>
      </c>
      <c r="J333" s="166">
        <v>15552</v>
      </c>
      <c r="K333" s="10">
        <f>K654</f>
        <v>8394.1621049999994</v>
      </c>
      <c r="L333" s="10">
        <f t="shared" ref="L333:O333" si="125">L654</f>
        <v>8588.1039777749993</v>
      </c>
      <c r="M333" s="10">
        <f t="shared" si="125"/>
        <v>8759.4057698857468</v>
      </c>
      <c r="N333" s="10">
        <f t="shared" si="125"/>
        <v>8939.2657472903629</v>
      </c>
      <c r="O333" s="10">
        <f t="shared" si="125"/>
        <v>9128.1888014953129</v>
      </c>
    </row>
    <row r="334" spans="2:15" outlineLevel="1" x14ac:dyDescent="0.3">
      <c r="B334" s="11" t="s">
        <v>51</v>
      </c>
      <c r="C334" s="11"/>
      <c r="E334" s="12">
        <f t="shared" ref="E334:O334" si="126">SUM(E320:E333)</f>
        <v>69391</v>
      </c>
      <c r="F334" s="12">
        <f t="shared" si="126"/>
        <v>80674</v>
      </c>
      <c r="G334" s="12">
        <f t="shared" si="126"/>
        <v>104038</v>
      </c>
      <c r="H334" s="12">
        <f t="shared" si="126"/>
        <v>122151</v>
      </c>
      <c r="I334" s="12">
        <f t="shared" si="126"/>
        <v>110543</v>
      </c>
      <c r="J334" s="12">
        <f t="shared" si="126"/>
        <v>118254</v>
      </c>
      <c r="K334" s="12">
        <f t="shared" ca="1" si="126"/>
        <v>130049.22048413889</v>
      </c>
      <c r="L334" s="12">
        <f t="shared" ca="1" si="126"/>
        <v>136187.8899984757</v>
      </c>
      <c r="M334" s="12">
        <f t="shared" ca="1" si="126"/>
        <v>140574.91365231745</v>
      </c>
      <c r="N334" s="12">
        <f t="shared" ca="1" si="126"/>
        <v>145916.43363402339</v>
      </c>
      <c r="O334" s="12">
        <f t="shared" ca="1" si="126"/>
        <v>151084.35089510327</v>
      </c>
    </row>
    <row r="335" spans="2:15" outlineLevel="1" x14ac:dyDescent="0.3">
      <c r="B335" s="3"/>
      <c r="C335" s="3"/>
      <c r="E335" s="166"/>
      <c r="F335" s="166"/>
      <c r="G335" s="166"/>
      <c r="H335" s="166"/>
      <c r="I335" s="166"/>
      <c r="J335" s="166"/>
      <c r="K335" s="10"/>
      <c r="L335" s="10"/>
      <c r="M335" s="10"/>
      <c r="N335" s="10"/>
      <c r="O335" s="10"/>
    </row>
    <row r="336" spans="2:15" outlineLevel="1" x14ac:dyDescent="0.3">
      <c r="B336" s="8" t="s">
        <v>52</v>
      </c>
      <c r="C336" s="8"/>
      <c r="E336" s="166"/>
      <c r="F336" s="166"/>
      <c r="G336" s="166"/>
      <c r="H336" s="166"/>
      <c r="I336" s="166"/>
      <c r="J336" s="166"/>
      <c r="K336" s="10"/>
      <c r="L336" s="10"/>
      <c r="M336" s="10"/>
      <c r="N336" s="10"/>
      <c r="O336" s="10"/>
    </row>
    <row r="337" spans="2:15" outlineLevel="1" x14ac:dyDescent="0.3">
      <c r="B337" s="3" t="s">
        <v>84</v>
      </c>
      <c r="C337" s="3"/>
      <c r="E337" s="166">
        <v>-39630</v>
      </c>
      <c r="F337" s="166">
        <v>-114938</v>
      </c>
      <c r="G337" s="166">
        <v>-109558</v>
      </c>
      <c r="H337" s="166">
        <v>-76923</v>
      </c>
      <c r="I337" s="166">
        <v>-29513</v>
      </c>
      <c r="J337" s="166">
        <v>-48656</v>
      </c>
      <c r="K337" s="10">
        <f ca="1">AVERAGE(H337:K337)</f>
        <v>-51697.333333333328</v>
      </c>
      <c r="L337" s="10">
        <f t="shared" ref="L337:L344" ca="1" si="127">AVERAGE(I337:L337)</f>
        <v>-43288.777777777781</v>
      </c>
      <c r="M337" s="10">
        <f t="shared" ref="M337:M344" ca="1" si="128">AVERAGE(J337:M337)</f>
        <v>-47880.703703703708</v>
      </c>
      <c r="N337" s="10">
        <f t="shared" ref="N337:N344" ca="1" si="129">AVERAGE(K337:N337)</f>
        <v>-47622.27160493828</v>
      </c>
      <c r="O337" s="10">
        <f t="shared" ref="O337:O344" ca="1" si="130">AVERAGE(L337:O337)</f>
        <v>-46263.917695473261</v>
      </c>
    </row>
    <row r="338" spans="2:15" outlineLevel="1" x14ac:dyDescent="0.3">
      <c r="B338" s="3" t="s">
        <v>85</v>
      </c>
      <c r="C338" s="3"/>
      <c r="E338" s="166">
        <v>40102</v>
      </c>
      <c r="F338" s="166">
        <v>69918</v>
      </c>
      <c r="G338" s="166">
        <v>59023</v>
      </c>
      <c r="H338" s="166">
        <v>29917</v>
      </c>
      <c r="I338" s="166">
        <v>39686</v>
      </c>
      <c r="J338" s="166">
        <v>51211</v>
      </c>
      <c r="K338" s="10">
        <f t="shared" ref="K338:K344" ca="1" si="131">AVERAGE(H338:K338)</f>
        <v>40271.333333333328</v>
      </c>
      <c r="L338" s="10">
        <f t="shared" ca="1" si="127"/>
        <v>43722.777777777774</v>
      </c>
      <c r="M338" s="10">
        <f t="shared" ca="1" si="128"/>
        <v>45068.370370370365</v>
      </c>
      <c r="N338" s="10">
        <f t="shared" ca="1" si="129"/>
        <v>43020.82716049382</v>
      </c>
      <c r="O338" s="10">
        <f t="shared" ca="1" si="130"/>
        <v>43937.325102880655</v>
      </c>
    </row>
    <row r="339" spans="2:15" outlineLevel="1" x14ac:dyDescent="0.3">
      <c r="B339" s="3" t="s">
        <v>86</v>
      </c>
      <c r="C339" s="3"/>
      <c r="E339" s="166">
        <v>56988</v>
      </c>
      <c r="F339" s="166">
        <v>50473</v>
      </c>
      <c r="G339" s="166">
        <v>47460</v>
      </c>
      <c r="H339" s="166">
        <v>37446</v>
      </c>
      <c r="I339" s="166">
        <v>5828</v>
      </c>
      <c r="J339" s="166">
        <v>11135</v>
      </c>
      <c r="K339" s="10">
        <f t="shared" ca="1" si="131"/>
        <v>18136.333333333332</v>
      </c>
      <c r="L339" s="10">
        <f t="shared" ca="1" si="127"/>
        <v>11699.777777777776</v>
      </c>
      <c r="M339" s="10">
        <f t="shared" ca="1" si="128"/>
        <v>13657.037037037036</v>
      </c>
      <c r="N339" s="10">
        <f t="shared" ca="1" si="129"/>
        <v>14497.716049382714</v>
      </c>
      <c r="O339" s="10">
        <f t="shared" ca="1" si="130"/>
        <v>13284.843621399175</v>
      </c>
    </row>
    <row r="340" spans="2:15" outlineLevel="1" x14ac:dyDescent="0.3">
      <c r="B340" s="3" t="s">
        <v>87</v>
      </c>
      <c r="C340" s="3"/>
      <c r="E340" s="166">
        <v>-10495</v>
      </c>
      <c r="F340" s="166">
        <v>-7309</v>
      </c>
      <c r="G340" s="166">
        <v>-11085</v>
      </c>
      <c r="H340" s="166">
        <v>-10708</v>
      </c>
      <c r="I340" s="166">
        <v>-10959</v>
      </c>
      <c r="J340" s="166">
        <v>-9447</v>
      </c>
      <c r="K340" s="10">
        <f t="shared" ca="1" si="131"/>
        <v>-10371.333333333334</v>
      </c>
      <c r="L340" s="10">
        <f t="shared" ca="1" si="127"/>
        <v>-10259.111111111113</v>
      </c>
      <c r="M340" s="10">
        <f t="shared" ca="1" si="128"/>
        <v>-10025.814814814818</v>
      </c>
      <c r="N340" s="10">
        <f t="shared" ca="1" si="129"/>
        <v>-10218.753086419754</v>
      </c>
      <c r="O340" s="10">
        <f t="shared" ca="1" si="130"/>
        <v>-10167.893004115229</v>
      </c>
    </row>
    <row r="341" spans="2:15" outlineLevel="1" x14ac:dyDescent="0.3">
      <c r="B341" s="3" t="s">
        <v>88</v>
      </c>
      <c r="C341" s="3"/>
      <c r="E341" s="166">
        <v>-624</v>
      </c>
      <c r="F341" s="166">
        <v>-1524</v>
      </c>
      <c r="G341" s="166">
        <v>-33</v>
      </c>
      <c r="H341" s="166">
        <v>0</v>
      </c>
      <c r="I341" s="166">
        <v>0</v>
      </c>
      <c r="J341" s="166">
        <v>0</v>
      </c>
      <c r="K341" s="10">
        <f t="shared" ca="1" si="131"/>
        <v>0</v>
      </c>
      <c r="L341" s="10">
        <f t="shared" ca="1" si="127"/>
        <v>0</v>
      </c>
      <c r="M341" s="10">
        <f t="shared" ca="1" si="128"/>
        <v>0</v>
      </c>
      <c r="N341" s="10">
        <f t="shared" ca="1" si="129"/>
        <v>0</v>
      </c>
      <c r="O341" s="10">
        <f t="shared" ca="1" si="130"/>
        <v>0</v>
      </c>
    </row>
    <row r="342" spans="2:15" outlineLevel="1" x14ac:dyDescent="0.3">
      <c r="B342" s="3" t="s">
        <v>89</v>
      </c>
      <c r="C342" s="3"/>
      <c r="E342" s="166">
        <v>-1001</v>
      </c>
      <c r="F342" s="166">
        <v>-210</v>
      </c>
      <c r="G342" s="166">
        <v>-131</v>
      </c>
      <c r="H342" s="166">
        <v>0</v>
      </c>
      <c r="I342" s="166">
        <v>0</v>
      </c>
      <c r="J342" s="166">
        <v>0</v>
      </c>
      <c r="K342" s="10">
        <f t="shared" ca="1" si="131"/>
        <v>0</v>
      </c>
      <c r="L342" s="10">
        <f t="shared" ca="1" si="127"/>
        <v>0</v>
      </c>
      <c r="M342" s="10">
        <f t="shared" ca="1" si="128"/>
        <v>0</v>
      </c>
      <c r="N342" s="10">
        <f t="shared" ca="1" si="129"/>
        <v>0</v>
      </c>
      <c r="O342" s="10">
        <f t="shared" ca="1" si="130"/>
        <v>0</v>
      </c>
    </row>
    <row r="343" spans="2:15" outlineLevel="1" x14ac:dyDescent="0.3">
      <c r="B343" s="3" t="s">
        <v>90</v>
      </c>
      <c r="C343" s="3"/>
      <c r="E343" s="166">
        <v>1634</v>
      </c>
      <c r="F343" s="166">
        <v>92</v>
      </c>
      <c r="G343" s="166">
        <v>387</v>
      </c>
      <c r="H343" s="166">
        <v>0</v>
      </c>
      <c r="I343" s="166">
        <v>0</v>
      </c>
      <c r="J343" s="166">
        <v>0</v>
      </c>
      <c r="K343" s="10">
        <f t="shared" ca="1" si="131"/>
        <v>0</v>
      </c>
      <c r="L343" s="10">
        <f t="shared" ca="1" si="127"/>
        <v>0</v>
      </c>
      <c r="M343" s="10">
        <f t="shared" ca="1" si="128"/>
        <v>0</v>
      </c>
      <c r="N343" s="10">
        <f t="shared" ca="1" si="129"/>
        <v>0</v>
      </c>
      <c r="O343" s="10">
        <f t="shared" ca="1" si="130"/>
        <v>0</v>
      </c>
    </row>
    <row r="344" spans="2:15" outlineLevel="1" x14ac:dyDescent="0.3">
      <c r="B344" s="3" t="s">
        <v>81</v>
      </c>
      <c r="C344" s="3"/>
      <c r="E344" s="166">
        <v>-1078</v>
      </c>
      <c r="F344" s="166">
        <v>-791</v>
      </c>
      <c r="G344" s="166">
        <v>-608</v>
      </c>
      <c r="H344" s="166">
        <v>-2086</v>
      </c>
      <c r="I344" s="166">
        <v>-1337</v>
      </c>
      <c r="J344" s="166">
        <v>-1308</v>
      </c>
      <c r="K344" s="10">
        <f t="shared" ca="1" si="131"/>
        <v>-1577</v>
      </c>
      <c r="L344" s="10">
        <f t="shared" ca="1" si="127"/>
        <v>-1407.3333333333335</v>
      </c>
      <c r="M344" s="10">
        <f t="shared" ca="1" si="128"/>
        <v>-1430.7777777777781</v>
      </c>
      <c r="N344" s="10">
        <f t="shared" ca="1" si="129"/>
        <v>-1471.7037037037039</v>
      </c>
      <c r="O344" s="10">
        <f t="shared" ca="1" si="130"/>
        <v>-1436.6049382716053</v>
      </c>
    </row>
    <row r="345" spans="2:15" outlineLevel="1" x14ac:dyDescent="0.3">
      <c r="B345" s="11" t="s">
        <v>53</v>
      </c>
      <c r="C345" s="11"/>
      <c r="E345" s="12">
        <f>SUM(E337:E344)</f>
        <v>45896</v>
      </c>
      <c r="F345" s="12">
        <f t="shared" ref="F345:O345" si="132">SUM(F337:F344)</f>
        <v>-4289</v>
      </c>
      <c r="G345" s="12">
        <f t="shared" si="132"/>
        <v>-14545</v>
      </c>
      <c r="H345" s="12">
        <f t="shared" si="132"/>
        <v>-22354</v>
      </c>
      <c r="I345" s="12">
        <f t="shared" si="132"/>
        <v>3705</v>
      </c>
      <c r="J345" s="12">
        <f t="shared" si="132"/>
        <v>2935</v>
      </c>
      <c r="K345" s="12">
        <f t="shared" ca="1" si="132"/>
        <v>-5238.0000000000018</v>
      </c>
      <c r="L345" s="12">
        <f t="shared" ca="1" si="132"/>
        <v>467.33333333332166</v>
      </c>
      <c r="M345" s="12">
        <f t="shared" ca="1" si="132"/>
        <v>-611.8888888889021</v>
      </c>
      <c r="N345" s="12">
        <f t="shared" ca="1" si="132"/>
        <v>-1794.1851851852039</v>
      </c>
      <c r="O345" s="12">
        <f t="shared" ca="1" si="132"/>
        <v>-646.24691358026462</v>
      </c>
    </row>
    <row r="346" spans="2:15" outlineLevel="1" x14ac:dyDescent="0.3">
      <c r="B346" s="50"/>
      <c r="C346" s="50"/>
    </row>
    <row r="347" spans="2:15" outlineLevel="1" x14ac:dyDescent="0.3">
      <c r="B347" s="8" t="s">
        <v>54</v>
      </c>
      <c r="C347" s="8"/>
    </row>
    <row r="348" spans="2:15" outlineLevel="1" x14ac:dyDescent="0.3">
      <c r="B348" s="3" t="s">
        <v>56</v>
      </c>
      <c r="C348" s="8"/>
      <c r="E348" s="166">
        <v>781</v>
      </c>
      <c r="F348" s="166">
        <v>880</v>
      </c>
      <c r="G348" s="166">
        <v>1105</v>
      </c>
      <c r="H348" s="166">
        <v>0</v>
      </c>
      <c r="I348" s="166">
        <v>0</v>
      </c>
      <c r="J348" s="166">
        <v>0</v>
      </c>
      <c r="K348" s="10">
        <f>K557</f>
        <v>0</v>
      </c>
      <c r="L348" s="10">
        <f t="shared" ref="L348:O348" si="133">L557</f>
        <v>0</v>
      </c>
      <c r="M348" s="10">
        <f t="shared" si="133"/>
        <v>0</v>
      </c>
      <c r="N348" s="10">
        <f t="shared" si="133"/>
        <v>0</v>
      </c>
      <c r="O348" s="10">
        <f t="shared" si="133"/>
        <v>0</v>
      </c>
    </row>
    <row r="349" spans="2:15" outlineLevel="1" x14ac:dyDescent="0.3">
      <c r="B349" s="3" t="s">
        <v>91</v>
      </c>
      <c r="C349" s="8"/>
      <c r="E349" s="166">
        <v>-2817</v>
      </c>
      <c r="F349" s="166">
        <v>-3634</v>
      </c>
      <c r="G349" s="166">
        <v>-6556</v>
      </c>
      <c r="H349" s="166">
        <v>-6223</v>
      </c>
      <c r="I349" s="166">
        <v>-5431</v>
      </c>
      <c r="J349" s="166">
        <v>-5441</v>
      </c>
      <c r="K349" s="10">
        <f>K558</f>
        <v>-5534.151159224999</v>
      </c>
      <c r="L349" s="10">
        <f t="shared" ref="L349:O349" si="134">L558</f>
        <v>-5662.014265347374</v>
      </c>
      <c r="M349" s="10">
        <f t="shared" si="134"/>
        <v>-5774.9510897175323</v>
      </c>
      <c r="N349" s="10">
        <f t="shared" si="134"/>
        <v>-5893.5302033921471</v>
      </c>
      <c r="O349" s="10">
        <f t="shared" si="134"/>
        <v>-6018.0844741286965</v>
      </c>
    </row>
    <row r="350" spans="2:15" outlineLevel="1" x14ac:dyDescent="0.3">
      <c r="B350" s="3" t="s">
        <v>92</v>
      </c>
      <c r="C350" s="8"/>
      <c r="E350" s="166">
        <v>-14119</v>
      </c>
      <c r="F350" s="166">
        <v>-14081</v>
      </c>
      <c r="G350" s="166">
        <v>-14467</v>
      </c>
      <c r="H350" s="166">
        <v>-14841</v>
      </c>
      <c r="I350" s="166">
        <v>-15025</v>
      </c>
      <c r="J350" s="166">
        <v>-15234</v>
      </c>
      <c r="K350" s="10">
        <f>K559</f>
        <v>-16804.118109533993</v>
      </c>
      <c r="L350" s="10">
        <f t="shared" ref="L350:O350" si="135">L559</f>
        <v>-17445.933286964075</v>
      </c>
      <c r="M350" s="10">
        <f t="shared" si="135"/>
        <v>-18004.300166962053</v>
      </c>
      <c r="N350" s="10">
        <f t="shared" si="135"/>
        <v>-18593.727114173831</v>
      </c>
      <c r="O350" s="10">
        <f t="shared" si="135"/>
        <v>-19216.065522904275</v>
      </c>
    </row>
    <row r="351" spans="2:15" outlineLevel="1" x14ac:dyDescent="0.3">
      <c r="B351" s="3" t="s">
        <v>55</v>
      </c>
      <c r="C351" s="8"/>
      <c r="E351" s="166">
        <v>-66897</v>
      </c>
      <c r="F351" s="166">
        <v>-72358</v>
      </c>
      <c r="G351" s="166">
        <v>-85971</v>
      </c>
      <c r="H351" s="166">
        <v>-89402</v>
      </c>
      <c r="I351" s="166">
        <v>-77550</v>
      </c>
      <c r="J351" s="166">
        <v>-94949</v>
      </c>
      <c r="K351" s="10">
        <f>K560</f>
        <v>-91936.061149999994</v>
      </c>
      <c r="L351" s="10">
        <f t="shared" ref="L351:O351" si="136">L560</f>
        <v>-94060.186423249994</v>
      </c>
      <c r="M351" s="10">
        <f t="shared" si="136"/>
        <v>-95936.34890827247</v>
      </c>
      <c r="N351" s="10">
        <f t="shared" si="136"/>
        <v>-97906.243898894463</v>
      </c>
      <c r="O351" s="10">
        <f t="shared" si="136"/>
        <v>-99975.401159234389</v>
      </c>
    </row>
    <row r="352" spans="2:15" outlineLevel="1" x14ac:dyDescent="0.3">
      <c r="B352" s="3" t="s">
        <v>93</v>
      </c>
      <c r="C352" s="50"/>
      <c r="E352" s="166">
        <v>6963</v>
      </c>
      <c r="F352" s="166">
        <v>16091</v>
      </c>
      <c r="G352" s="166">
        <v>20393</v>
      </c>
      <c r="H352" s="166">
        <v>5465</v>
      </c>
      <c r="I352" s="166">
        <v>5228</v>
      </c>
      <c r="J352" s="166">
        <v>0</v>
      </c>
      <c r="K352" s="10">
        <f t="shared" ref="K352:O353" si="137">K505</f>
        <v>5995.8300749999989</v>
      </c>
      <c r="L352" s="10">
        <f t="shared" si="137"/>
        <v>6134.3599841249988</v>
      </c>
      <c r="M352" s="10">
        <f t="shared" si="137"/>
        <v>6256.7184070612475</v>
      </c>
      <c r="N352" s="10">
        <f t="shared" si="137"/>
        <v>6385.1898194931164</v>
      </c>
      <c r="O352" s="10">
        <f t="shared" si="137"/>
        <v>6520.1348582109376</v>
      </c>
    </row>
    <row r="353" spans="2:15" outlineLevel="1" x14ac:dyDescent="0.3">
      <c r="B353" s="3" t="s">
        <v>94</v>
      </c>
      <c r="C353" s="50"/>
      <c r="E353" s="166">
        <v>-8805</v>
      </c>
      <c r="F353" s="166">
        <v>-12629</v>
      </c>
      <c r="G353" s="166">
        <v>-8750</v>
      </c>
      <c r="H353" s="166">
        <v>-9543</v>
      </c>
      <c r="I353" s="166">
        <v>-11151</v>
      </c>
      <c r="J353" s="166">
        <v>-9958</v>
      </c>
      <c r="K353" s="10">
        <f t="shared" si="137"/>
        <v>-6795.274085</v>
      </c>
      <c r="L353" s="10">
        <f t="shared" si="137"/>
        <v>-6952.2746486749993</v>
      </c>
      <c r="M353" s="10">
        <f t="shared" si="137"/>
        <v>-7090.9475280027482</v>
      </c>
      <c r="N353" s="10">
        <f t="shared" si="137"/>
        <v>-7236.5484620921989</v>
      </c>
      <c r="O353" s="10">
        <f t="shared" si="137"/>
        <v>-7389.4861726390636</v>
      </c>
    </row>
    <row r="354" spans="2:15" outlineLevel="1" x14ac:dyDescent="0.3">
      <c r="B354" s="3" t="s">
        <v>95</v>
      </c>
      <c r="C354" s="50"/>
      <c r="E354" s="166">
        <v>-5977</v>
      </c>
      <c r="F354" s="166">
        <v>-963</v>
      </c>
      <c r="G354" s="166">
        <v>1022</v>
      </c>
      <c r="H354" s="166">
        <v>3955</v>
      </c>
      <c r="I354" s="166">
        <v>-3978</v>
      </c>
      <c r="J354" s="166">
        <v>3960</v>
      </c>
      <c r="K354" s="10">
        <f>K487</f>
        <v>16.050124999999753</v>
      </c>
      <c r="L354" s="10">
        <f t="shared" ref="L354:O354" si="138">L487</f>
        <v>226.54984854166528</v>
      </c>
      <c r="M354" s="10">
        <f t="shared" si="138"/>
        <v>191.81959378263693</v>
      </c>
      <c r="N354" s="10">
        <f t="shared" si="138"/>
        <v>205.30420590496666</v>
      </c>
      <c r="O354" s="10">
        <f t="shared" si="138"/>
        <v>216.48864477661539</v>
      </c>
    </row>
    <row r="355" spans="2:15" outlineLevel="1" x14ac:dyDescent="0.3">
      <c r="B355" s="3" t="s">
        <v>81</v>
      </c>
      <c r="C355" s="50"/>
      <c r="E355" s="166">
        <v>-105</v>
      </c>
      <c r="F355" s="166">
        <v>-126</v>
      </c>
      <c r="G355" s="166">
        <v>-129</v>
      </c>
      <c r="H355" s="166">
        <v>-160</v>
      </c>
      <c r="I355" s="166">
        <v>-581</v>
      </c>
      <c r="J355" s="166">
        <v>-361</v>
      </c>
      <c r="K355" s="10">
        <f>K55</f>
        <v>-300</v>
      </c>
      <c r="L355" s="10">
        <f>L55</f>
        <v>-300</v>
      </c>
      <c r="M355" s="10">
        <f>M55</f>
        <v>-300</v>
      </c>
      <c r="N355" s="10">
        <f>N55</f>
        <v>-300</v>
      </c>
      <c r="O355" s="10">
        <f>O55</f>
        <v>-300</v>
      </c>
    </row>
    <row r="356" spans="2:15" outlineLevel="1" x14ac:dyDescent="0.3">
      <c r="B356" s="11" t="s">
        <v>57</v>
      </c>
      <c r="C356" s="50"/>
      <c r="E356" s="12">
        <f>SUM(E348:E355)</f>
        <v>-90976</v>
      </c>
      <c r="F356" s="12">
        <f t="shared" ref="F356:O356" si="139">SUM(F348:F355)</f>
        <v>-86820</v>
      </c>
      <c r="G356" s="12">
        <f t="shared" si="139"/>
        <v>-93353</v>
      </c>
      <c r="H356" s="12">
        <f t="shared" si="139"/>
        <v>-110749</v>
      </c>
      <c r="I356" s="12">
        <f t="shared" si="139"/>
        <v>-108488</v>
      </c>
      <c r="J356" s="12">
        <f t="shared" si="139"/>
        <v>-121983</v>
      </c>
      <c r="K356" s="12">
        <f t="shared" si="139"/>
        <v>-115357.72430375898</v>
      </c>
      <c r="L356" s="12">
        <f t="shared" si="139"/>
        <v>-118059.49879156979</v>
      </c>
      <c r="M356" s="12">
        <f t="shared" si="139"/>
        <v>-120658.00969211092</v>
      </c>
      <c r="N356" s="12">
        <f t="shared" si="139"/>
        <v>-123339.55565315456</v>
      </c>
      <c r="O356" s="12">
        <f t="shared" si="139"/>
        <v>-126162.41382591888</v>
      </c>
    </row>
    <row r="357" spans="2:15" outlineLevel="1" x14ac:dyDescent="0.3">
      <c r="B357" s="50"/>
      <c r="C357" s="50"/>
      <c r="E357" s="166"/>
      <c r="F357" s="166"/>
      <c r="G357" s="166"/>
      <c r="H357" s="166"/>
      <c r="I357" s="166"/>
      <c r="J357" s="166"/>
      <c r="K357" s="10"/>
      <c r="L357" s="10"/>
      <c r="M357" s="10"/>
      <c r="N357" s="10"/>
      <c r="O357" s="10"/>
    </row>
    <row r="358" spans="2:15" outlineLevel="1" x14ac:dyDescent="0.3">
      <c r="B358" s="50" t="s">
        <v>58</v>
      </c>
      <c r="C358" s="50"/>
      <c r="E358" s="183">
        <v>25913</v>
      </c>
      <c r="F358" s="10">
        <f>E360</f>
        <v>50224</v>
      </c>
      <c r="G358" s="10">
        <f t="shared" ref="G358:O358" si="140">F360</f>
        <v>39789</v>
      </c>
      <c r="H358" s="10">
        <f t="shared" si="140"/>
        <v>35929</v>
      </c>
      <c r="I358" s="10">
        <f t="shared" si="140"/>
        <v>24977</v>
      </c>
      <c r="J358" s="10">
        <f t="shared" si="140"/>
        <v>30737</v>
      </c>
      <c r="K358" s="10">
        <f t="shared" si="140"/>
        <v>29943</v>
      </c>
      <c r="L358" s="10">
        <f t="shared" ca="1" si="140"/>
        <v>39396.496180379909</v>
      </c>
      <c r="M358" s="10">
        <f t="shared" ca="1" si="140"/>
        <v>57992.220720619138</v>
      </c>
      <c r="N358" s="10">
        <f t="shared" ca="1" si="140"/>
        <v>77297.235791936764</v>
      </c>
      <c r="O358" s="10">
        <f t="shared" ca="1" si="140"/>
        <v>98079.928587620394</v>
      </c>
    </row>
    <row r="359" spans="2:15" ht="15" outlineLevel="1" thickBot="1" x14ac:dyDescent="0.35">
      <c r="B359" s="50" t="s">
        <v>59</v>
      </c>
      <c r="C359" s="50"/>
      <c r="E359" s="10">
        <f t="shared" ref="E359:O359" si="141">E334+E345+E356</f>
        <v>24311</v>
      </c>
      <c r="F359" s="10">
        <f t="shared" si="141"/>
        <v>-10435</v>
      </c>
      <c r="G359" s="10">
        <f t="shared" si="141"/>
        <v>-3860</v>
      </c>
      <c r="H359" s="10">
        <f t="shared" si="141"/>
        <v>-10952</v>
      </c>
      <c r="I359" s="10">
        <f t="shared" si="141"/>
        <v>5760</v>
      </c>
      <c r="J359" s="10">
        <f t="shared" si="141"/>
        <v>-794</v>
      </c>
      <c r="K359" s="10">
        <f t="shared" ca="1" si="141"/>
        <v>9453.4961803799088</v>
      </c>
      <c r="L359" s="10">
        <f t="shared" ca="1" si="141"/>
        <v>18595.724540239229</v>
      </c>
      <c r="M359" s="10">
        <f t="shared" ca="1" si="141"/>
        <v>19305.015071317626</v>
      </c>
      <c r="N359" s="10">
        <f t="shared" ca="1" si="141"/>
        <v>20782.69279568363</v>
      </c>
      <c r="O359" s="10">
        <f t="shared" ca="1" si="141"/>
        <v>24275.690155604141</v>
      </c>
    </row>
    <row r="360" spans="2:15" ht="15" outlineLevel="1" thickBot="1" x14ac:dyDescent="0.35">
      <c r="B360" s="50" t="s">
        <v>60</v>
      </c>
      <c r="C360" s="50"/>
      <c r="E360" s="171">
        <f>SUM(E358:E359)</f>
        <v>50224</v>
      </c>
      <c r="F360" s="171">
        <f t="shared" ref="F360:O360" si="142">SUM(F358:F359)</f>
        <v>39789</v>
      </c>
      <c r="G360" s="171">
        <f t="shared" si="142"/>
        <v>35929</v>
      </c>
      <c r="H360" s="171">
        <f t="shared" si="142"/>
        <v>24977</v>
      </c>
      <c r="I360" s="171">
        <f t="shared" si="142"/>
        <v>30737</v>
      </c>
      <c r="J360" s="171">
        <f t="shared" si="142"/>
        <v>29943</v>
      </c>
      <c r="K360" s="171">
        <f t="shared" ca="1" si="142"/>
        <v>39396.496180379909</v>
      </c>
      <c r="L360" s="171">
        <f t="shared" ca="1" si="142"/>
        <v>57992.220720619138</v>
      </c>
      <c r="M360" s="171">
        <f t="shared" ca="1" si="142"/>
        <v>77297.235791936764</v>
      </c>
      <c r="N360" s="171">
        <f t="shared" ca="1" si="142"/>
        <v>98079.928587620394</v>
      </c>
      <c r="O360" s="171">
        <f t="shared" ca="1" si="142"/>
        <v>122355.61874322454</v>
      </c>
    </row>
    <row r="362" spans="2:15" x14ac:dyDescent="0.3">
      <c r="B362" s="278" t="s">
        <v>281</v>
      </c>
      <c r="C362" s="74"/>
      <c r="D362" s="74"/>
      <c r="E362" s="74"/>
      <c r="F362" s="74"/>
      <c r="G362" s="74"/>
      <c r="H362" s="74"/>
      <c r="I362" s="74"/>
      <c r="J362" s="74"/>
      <c r="K362" s="74"/>
      <c r="L362" s="74"/>
      <c r="M362" s="74"/>
      <c r="N362" s="74"/>
      <c r="O362" s="74"/>
    </row>
    <row r="363" spans="2:15" outlineLevel="1" x14ac:dyDescent="0.3"/>
    <row r="364" spans="2:15" ht="15" outlineLevel="1" thickBot="1" x14ac:dyDescent="0.35">
      <c r="B364" s="279" t="s">
        <v>127</v>
      </c>
      <c r="E364" s="78">
        <v>2019</v>
      </c>
      <c r="F364" s="78">
        <v>2020</v>
      </c>
      <c r="G364" s="78">
        <v>2021</v>
      </c>
      <c r="H364" s="78">
        <v>2022</v>
      </c>
      <c r="I364" s="78">
        <v>2023</v>
      </c>
      <c r="J364" s="78">
        <v>2024</v>
      </c>
      <c r="K364" s="131">
        <f>J364+1</f>
        <v>2025</v>
      </c>
      <c r="L364" s="131">
        <f>K364+1</f>
        <v>2026</v>
      </c>
      <c r="M364" s="131">
        <f>L364+1</f>
        <v>2027</v>
      </c>
      <c r="N364" s="131">
        <f>M364+1</f>
        <v>2028</v>
      </c>
      <c r="O364" s="131">
        <f>N364+1</f>
        <v>2029</v>
      </c>
    </row>
    <row r="365" spans="2:15" outlineLevel="1" x14ac:dyDescent="0.3"/>
    <row r="366" spans="2:15" outlineLevel="1" x14ac:dyDescent="0.3">
      <c r="B366" s="3" t="s">
        <v>7</v>
      </c>
      <c r="E366" s="184">
        <f t="shared" ref="E366:O366" si="143">E69</f>
        <v>365</v>
      </c>
      <c r="F366" s="185">
        <f t="shared" si="143"/>
        <v>365</v>
      </c>
      <c r="G366" s="185">
        <f t="shared" si="143"/>
        <v>365</v>
      </c>
      <c r="H366" s="185">
        <f t="shared" si="143"/>
        <v>365</v>
      </c>
      <c r="I366" s="185">
        <f t="shared" si="143"/>
        <v>365</v>
      </c>
      <c r="J366" s="185">
        <f t="shared" si="143"/>
        <v>365</v>
      </c>
      <c r="K366" s="185">
        <f t="shared" si="143"/>
        <v>365</v>
      </c>
      <c r="L366" s="185">
        <f t="shared" si="143"/>
        <v>365</v>
      </c>
      <c r="M366" s="185">
        <f t="shared" si="143"/>
        <v>365</v>
      </c>
      <c r="N366" s="185">
        <f t="shared" si="143"/>
        <v>365</v>
      </c>
      <c r="O366" s="69">
        <f t="shared" si="143"/>
        <v>365</v>
      </c>
    </row>
    <row r="367" spans="2:15" outlineLevel="1" x14ac:dyDescent="0.3">
      <c r="B367" s="3" t="s">
        <v>96</v>
      </c>
      <c r="E367" s="186">
        <f t="shared" ref="E367:O367" si="144">E247</f>
        <v>260174</v>
      </c>
      <c r="F367" s="137">
        <f t="shared" si="144"/>
        <v>274515</v>
      </c>
      <c r="G367" s="137">
        <f t="shared" si="144"/>
        <v>365817</v>
      </c>
      <c r="H367" s="137">
        <f t="shared" si="144"/>
        <v>394328</v>
      </c>
      <c r="I367" s="137">
        <f t="shared" si="144"/>
        <v>383285</v>
      </c>
      <c r="J367" s="137">
        <f t="shared" si="144"/>
        <v>391035</v>
      </c>
      <c r="K367" s="137">
        <f t="shared" si="144"/>
        <v>399722.00499999995</v>
      </c>
      <c r="L367" s="137">
        <f t="shared" si="144"/>
        <v>408957.33227499994</v>
      </c>
      <c r="M367" s="137">
        <f t="shared" si="144"/>
        <v>417114.56047074986</v>
      </c>
      <c r="N367" s="137">
        <f t="shared" si="144"/>
        <v>425679.3212995411</v>
      </c>
      <c r="O367" s="83">
        <f t="shared" si="144"/>
        <v>434675.65721406252</v>
      </c>
    </row>
    <row r="368" spans="2:15" outlineLevel="1" x14ac:dyDescent="0.3">
      <c r="B368" s="3" t="s">
        <v>97</v>
      </c>
      <c r="E368" s="187">
        <f t="shared" ref="E368:O368" si="145">E252</f>
        <v>161782</v>
      </c>
      <c r="F368" s="188">
        <f t="shared" si="145"/>
        <v>169559</v>
      </c>
      <c r="G368" s="188">
        <f t="shared" si="145"/>
        <v>212981</v>
      </c>
      <c r="H368" s="188">
        <f t="shared" si="145"/>
        <v>223546</v>
      </c>
      <c r="I368" s="188">
        <f t="shared" si="145"/>
        <v>214137</v>
      </c>
      <c r="J368" s="188">
        <f t="shared" si="145"/>
        <v>210352</v>
      </c>
      <c r="K368" s="188">
        <f t="shared" si="145"/>
        <v>213497.87111499999</v>
      </c>
      <c r="L368" s="188">
        <f t="shared" si="145"/>
        <v>216483.09054182493</v>
      </c>
      <c r="M368" s="188">
        <f t="shared" si="145"/>
        <v>219185.30300114342</v>
      </c>
      <c r="N368" s="188">
        <f t="shared" si="145"/>
        <v>221998.21434315504</v>
      </c>
      <c r="O368" s="71">
        <f t="shared" si="145"/>
        <v>224928.20933149708</v>
      </c>
    </row>
    <row r="369" spans="2:15" outlineLevel="1" x14ac:dyDescent="0.3">
      <c r="B369" s="3"/>
    </row>
    <row r="370" spans="2:15" outlineLevel="1" x14ac:dyDescent="0.3">
      <c r="B370" s="3" t="s">
        <v>98</v>
      </c>
      <c r="E370" s="164">
        <f t="shared" ref="E370:J372" si="146">E22</f>
        <v>32.163052418765901</v>
      </c>
      <c r="F370" s="164">
        <f t="shared" si="146"/>
        <v>21.433437152796749</v>
      </c>
      <c r="G370" s="164">
        <f t="shared" si="146"/>
        <v>26.219311841713207</v>
      </c>
      <c r="H370" s="164">
        <f t="shared" si="146"/>
        <v>26.087825363656652</v>
      </c>
      <c r="I370" s="164">
        <f t="shared" si="146"/>
        <v>28.100290906244702</v>
      </c>
      <c r="J370" s="164">
        <f t="shared" si="146"/>
        <v>31.185571624023424</v>
      </c>
      <c r="K370" s="165">
        <v>31</v>
      </c>
      <c r="L370" s="165">
        <v>31</v>
      </c>
      <c r="M370" s="165">
        <v>31</v>
      </c>
      <c r="N370" s="165">
        <v>31</v>
      </c>
      <c r="O370" s="165">
        <v>31</v>
      </c>
    </row>
    <row r="371" spans="2:15" outlineLevel="1" x14ac:dyDescent="0.3">
      <c r="B371" s="3" t="s">
        <v>99</v>
      </c>
      <c r="E371" s="164">
        <f t="shared" si="146"/>
        <v>9.263638723714628</v>
      </c>
      <c r="F371" s="164">
        <f t="shared" si="146"/>
        <v>8.7418833562358831</v>
      </c>
      <c r="G371" s="164">
        <f t="shared" si="146"/>
        <v>11.27659274770989</v>
      </c>
      <c r="H371" s="164">
        <f t="shared" si="146"/>
        <v>8.0756980666171607</v>
      </c>
      <c r="I371" s="164">
        <f t="shared" si="146"/>
        <v>10.791292490321617</v>
      </c>
      <c r="J371" s="164">
        <f t="shared" si="146"/>
        <v>12.642570548414087</v>
      </c>
      <c r="K371" s="165">
        <v>13</v>
      </c>
      <c r="L371" s="165">
        <v>13</v>
      </c>
      <c r="M371" s="165">
        <v>13</v>
      </c>
      <c r="N371" s="165">
        <v>13</v>
      </c>
      <c r="O371" s="165">
        <v>13</v>
      </c>
    </row>
    <row r="372" spans="2:15" outlineLevel="1" x14ac:dyDescent="0.3">
      <c r="B372" s="3" t="s">
        <v>100</v>
      </c>
      <c r="E372" s="164">
        <f t="shared" si="146"/>
        <v>104.31407696777144</v>
      </c>
      <c r="F372" s="164">
        <f t="shared" si="146"/>
        <v>91.048189715674184</v>
      </c>
      <c r="G372" s="164">
        <f t="shared" si="146"/>
        <v>93.85107122231561</v>
      </c>
      <c r="H372" s="164">
        <f t="shared" si="146"/>
        <v>104.68527730310539</v>
      </c>
      <c r="I372" s="164">
        <f t="shared" si="146"/>
        <v>106.72146803214764</v>
      </c>
      <c r="J372" s="164">
        <f t="shared" si="146"/>
        <v>119.65847721913745</v>
      </c>
      <c r="K372" s="165">
        <v>120</v>
      </c>
      <c r="L372" s="165">
        <v>120</v>
      </c>
      <c r="M372" s="165">
        <v>120</v>
      </c>
      <c r="N372" s="165">
        <v>120</v>
      </c>
      <c r="O372" s="165">
        <v>120</v>
      </c>
    </row>
    <row r="373" spans="2:15" outlineLevel="1" x14ac:dyDescent="0.3"/>
    <row r="374" spans="2:15" outlineLevel="1" x14ac:dyDescent="0.3">
      <c r="B374" s="11" t="s">
        <v>101</v>
      </c>
    </row>
    <row r="375" spans="2:15" outlineLevel="1" x14ac:dyDescent="0.3">
      <c r="B375" s="3" t="s">
        <v>102</v>
      </c>
      <c r="E375" s="137">
        <f>E278</f>
        <v>22926</v>
      </c>
      <c r="F375" s="137">
        <f t="shared" ref="F375:J375" si="147">F278</f>
        <v>16120</v>
      </c>
      <c r="G375" s="137">
        <f t="shared" si="147"/>
        <v>26278</v>
      </c>
      <c r="H375" s="137">
        <f t="shared" si="147"/>
        <v>28184</v>
      </c>
      <c r="I375" s="137">
        <f t="shared" si="147"/>
        <v>29508</v>
      </c>
      <c r="J375" s="137">
        <f t="shared" si="147"/>
        <v>33410</v>
      </c>
      <c r="K375" s="189">
        <f>(K370*K367)/K366</f>
        <v>33948.992205479444</v>
      </c>
      <c r="L375" s="189">
        <f>(L370*L367)/L366</f>
        <v>34733.362467191779</v>
      </c>
      <c r="M375" s="189">
        <f>(M370*M367)/M366</f>
        <v>35426.168149570534</v>
      </c>
      <c r="N375" s="189">
        <f>(N370*N367)/N366</f>
        <v>36153.586192563766</v>
      </c>
      <c r="O375" s="189">
        <f>(O370*O367)/O366</f>
        <v>36917.658557906681</v>
      </c>
    </row>
    <row r="376" spans="2:15" outlineLevel="1" x14ac:dyDescent="0.3">
      <c r="B376" s="3" t="s">
        <v>103</v>
      </c>
      <c r="E376" s="137">
        <f t="shared" ref="E376:J376" si="148">E279</f>
        <v>4106</v>
      </c>
      <c r="F376" s="137">
        <f t="shared" si="148"/>
        <v>4061</v>
      </c>
      <c r="G376" s="137">
        <f t="shared" si="148"/>
        <v>6580</v>
      </c>
      <c r="H376" s="137">
        <f t="shared" si="148"/>
        <v>4946</v>
      </c>
      <c r="I376" s="137">
        <f t="shared" si="148"/>
        <v>6331</v>
      </c>
      <c r="J376" s="137">
        <f t="shared" si="148"/>
        <v>7286</v>
      </c>
      <c r="K376" s="189">
        <f>(K371*K368)/K366</f>
        <v>7604.0337657397258</v>
      </c>
      <c r="L376" s="189">
        <f t="shared" ref="L376:O376" si="149">(L371*L368)/L366</f>
        <v>7710.3566494348597</v>
      </c>
      <c r="M376" s="189">
        <f t="shared" si="149"/>
        <v>7806.5998329174372</v>
      </c>
      <c r="N376" s="189">
        <f t="shared" si="149"/>
        <v>7906.7857163315484</v>
      </c>
      <c r="O376" s="189">
        <f t="shared" si="149"/>
        <v>8011.1417022177047</v>
      </c>
    </row>
    <row r="377" spans="2:15" outlineLevel="1" x14ac:dyDescent="0.3">
      <c r="B377" s="3" t="s">
        <v>104</v>
      </c>
      <c r="E377" s="137">
        <f>E293</f>
        <v>46236</v>
      </c>
      <c r="F377" s="137">
        <f t="shared" ref="F377:J377" si="150">F293</f>
        <v>42296</v>
      </c>
      <c r="G377" s="137">
        <f t="shared" si="150"/>
        <v>54763</v>
      </c>
      <c r="H377" s="137">
        <f t="shared" si="150"/>
        <v>64115</v>
      </c>
      <c r="I377" s="137">
        <f t="shared" si="150"/>
        <v>62611</v>
      </c>
      <c r="J377" s="137">
        <f t="shared" si="150"/>
        <v>68960</v>
      </c>
      <c r="K377" s="189">
        <f>(K372*K368)/K366</f>
        <v>70191.080914520542</v>
      </c>
      <c r="L377" s="189">
        <f t="shared" ref="L377:O377" si="151">(L372*L368)/L366</f>
        <v>71172.52291786026</v>
      </c>
      <c r="M377" s="189">
        <f t="shared" si="151"/>
        <v>72060.921534622496</v>
      </c>
      <c r="N377" s="189">
        <f t="shared" si="151"/>
        <v>72985.714304598921</v>
      </c>
      <c r="O377" s="189">
        <f t="shared" si="151"/>
        <v>73949.000328163427</v>
      </c>
    </row>
    <row r="378" spans="2:15" outlineLevel="1" x14ac:dyDescent="0.3"/>
    <row r="379" spans="2:15" outlineLevel="1" x14ac:dyDescent="0.3">
      <c r="B379" s="11" t="s">
        <v>105</v>
      </c>
    </row>
    <row r="380" spans="2:15" outlineLevel="1" x14ac:dyDescent="0.3">
      <c r="B380" s="3" t="s">
        <v>102</v>
      </c>
      <c r="E380" s="137">
        <f>E327</f>
        <v>245</v>
      </c>
      <c r="F380" s="137">
        <f t="shared" ref="F380:J380" si="152">F327</f>
        <v>6917</v>
      </c>
      <c r="G380" s="137">
        <f t="shared" si="152"/>
        <v>-10125</v>
      </c>
      <c r="H380" s="137">
        <f t="shared" si="152"/>
        <v>-1823</v>
      </c>
      <c r="I380" s="137">
        <f t="shared" si="152"/>
        <v>-1688</v>
      </c>
      <c r="J380" s="137">
        <f t="shared" si="152"/>
        <v>-3788</v>
      </c>
      <c r="K380" s="176">
        <f t="shared" ref="K380:O381" si="153">J375-K375</f>
        <v>-538.99220547944424</v>
      </c>
      <c r="L380" s="176">
        <f t="shared" si="153"/>
        <v>-784.37026171233447</v>
      </c>
      <c r="M380" s="176">
        <f t="shared" si="153"/>
        <v>-692.80568237875559</v>
      </c>
      <c r="N380" s="176">
        <f t="shared" si="153"/>
        <v>-727.41804299323121</v>
      </c>
      <c r="O380" s="176">
        <f t="shared" si="153"/>
        <v>-764.07236534291587</v>
      </c>
    </row>
    <row r="381" spans="2:15" outlineLevel="1" x14ac:dyDescent="0.3">
      <c r="B381" s="3" t="s">
        <v>103</v>
      </c>
      <c r="E381" s="137">
        <f>E328</f>
        <v>-289</v>
      </c>
      <c r="F381" s="137">
        <f t="shared" ref="F381:J381" si="154">F328</f>
        <v>-127</v>
      </c>
      <c r="G381" s="137">
        <f t="shared" si="154"/>
        <v>-2642</v>
      </c>
      <c r="H381" s="137">
        <f t="shared" si="154"/>
        <v>1484</v>
      </c>
      <c r="I381" s="137">
        <f t="shared" si="154"/>
        <v>-1618</v>
      </c>
      <c r="J381" s="137">
        <f t="shared" si="154"/>
        <v>-1046</v>
      </c>
      <c r="K381" s="176">
        <f t="shared" si="153"/>
        <v>-318.03376573972582</v>
      </c>
      <c r="L381" s="176">
        <f t="shared" si="153"/>
        <v>-106.3228836951339</v>
      </c>
      <c r="M381" s="176">
        <f t="shared" si="153"/>
        <v>-96.243183482577479</v>
      </c>
      <c r="N381" s="176">
        <f t="shared" si="153"/>
        <v>-100.18588341411123</v>
      </c>
      <c r="O381" s="176">
        <f t="shared" si="153"/>
        <v>-104.3559858861563</v>
      </c>
    </row>
    <row r="382" spans="2:15" outlineLevel="1" x14ac:dyDescent="0.3">
      <c r="B382" s="3" t="s">
        <v>104</v>
      </c>
      <c r="E382" s="137">
        <f>E331</f>
        <v>-1923</v>
      </c>
      <c r="F382" s="137">
        <f t="shared" ref="F382:J382" si="155">F331</f>
        <v>-4062</v>
      </c>
      <c r="G382" s="137">
        <f t="shared" si="155"/>
        <v>12326</v>
      </c>
      <c r="H382" s="137">
        <f t="shared" si="155"/>
        <v>9448</v>
      </c>
      <c r="I382" s="137">
        <f t="shared" si="155"/>
        <v>-1889</v>
      </c>
      <c r="J382" s="137">
        <f t="shared" si="155"/>
        <v>6020</v>
      </c>
      <c r="K382" s="176">
        <f>K377-J377</f>
        <v>1231.0809145205421</v>
      </c>
      <c r="L382" s="176">
        <f>L377-K377</f>
        <v>981.44200333971821</v>
      </c>
      <c r="M382" s="176">
        <f>M377-L377</f>
        <v>888.39861676223518</v>
      </c>
      <c r="N382" s="176">
        <f>N377-M377</f>
        <v>924.79276997642592</v>
      </c>
      <c r="O382" s="176">
        <f>O377-N377</f>
        <v>963.28602356450574</v>
      </c>
    </row>
    <row r="383" spans="2:15" outlineLevel="1" x14ac:dyDescent="0.3">
      <c r="B383" s="3"/>
      <c r="E383" s="137"/>
      <c r="F383" s="137"/>
      <c r="G383" s="137"/>
      <c r="H383" s="137"/>
      <c r="I383" s="137"/>
      <c r="J383" s="137"/>
      <c r="K383" s="176"/>
      <c r="L383" s="176"/>
      <c r="M383" s="176"/>
      <c r="N383" s="176"/>
      <c r="O383" s="176"/>
    </row>
    <row r="384" spans="2:15" outlineLevel="1" x14ac:dyDescent="0.3">
      <c r="B384" s="11" t="s">
        <v>156</v>
      </c>
      <c r="C384" s="3"/>
      <c r="D384" s="3"/>
      <c r="E384" s="3"/>
      <c r="F384" s="3"/>
      <c r="G384" s="3"/>
      <c r="H384" s="3"/>
      <c r="I384" s="3"/>
      <c r="J384" s="3"/>
      <c r="K384" s="190"/>
      <c r="L384" s="190"/>
      <c r="M384" s="190"/>
      <c r="N384" s="190"/>
      <c r="O384" s="190"/>
    </row>
    <row r="385" spans="2:15" outlineLevel="1" x14ac:dyDescent="0.3">
      <c r="B385" s="3" t="s">
        <v>159</v>
      </c>
      <c r="C385" s="3"/>
      <c r="D385" s="3"/>
      <c r="E385" s="3"/>
      <c r="F385" s="176">
        <f t="shared" ref="F385:O385" si="156">E375-F375</f>
        <v>6806</v>
      </c>
      <c r="G385" s="176">
        <f t="shared" si="156"/>
        <v>-10158</v>
      </c>
      <c r="H385" s="176">
        <f t="shared" si="156"/>
        <v>-1906</v>
      </c>
      <c r="I385" s="176">
        <f t="shared" si="156"/>
        <v>-1324</v>
      </c>
      <c r="J385" s="176">
        <f t="shared" si="156"/>
        <v>-3902</v>
      </c>
      <c r="K385" s="176">
        <f t="shared" si="156"/>
        <v>-538.99220547944424</v>
      </c>
      <c r="L385" s="176">
        <f t="shared" si="156"/>
        <v>-784.37026171233447</v>
      </c>
      <c r="M385" s="176">
        <f t="shared" si="156"/>
        <v>-692.80568237875559</v>
      </c>
      <c r="N385" s="176">
        <f t="shared" si="156"/>
        <v>-727.41804299323121</v>
      </c>
      <c r="O385" s="176">
        <f t="shared" si="156"/>
        <v>-764.07236534291587</v>
      </c>
    </row>
    <row r="386" spans="2:15" outlineLevel="1" x14ac:dyDescent="0.3">
      <c r="B386" s="3" t="s">
        <v>158</v>
      </c>
      <c r="C386" s="3"/>
      <c r="D386" s="3"/>
      <c r="E386" s="3"/>
      <c r="F386" s="176">
        <f>F380</f>
        <v>6917</v>
      </c>
      <c r="G386" s="176">
        <f>G380</f>
        <v>-10125</v>
      </c>
      <c r="H386" s="176">
        <f>H380</f>
        <v>-1823</v>
      </c>
      <c r="I386" s="176">
        <f>I380</f>
        <v>-1688</v>
      </c>
      <c r="J386" s="176">
        <f>J380</f>
        <v>-3788</v>
      </c>
      <c r="K386" s="176">
        <f>K385+K387</f>
        <v>-594.65887214611087</v>
      </c>
      <c r="L386" s="176">
        <f t="shared" ref="L386:O386" si="157">L385+L387</f>
        <v>-886.25915060122338</v>
      </c>
      <c r="M386" s="176">
        <f t="shared" si="157"/>
        <v>-707.32420089727407</v>
      </c>
      <c r="N386" s="176">
        <f t="shared" si="157"/>
        <v>-784.77606768458929</v>
      </c>
      <c r="O386" s="176">
        <f t="shared" si="157"/>
        <v>-821.99417604250436</v>
      </c>
    </row>
    <row r="387" spans="2:15" outlineLevel="1" x14ac:dyDescent="0.3">
      <c r="B387" s="11" t="s">
        <v>157</v>
      </c>
      <c r="C387" s="3"/>
      <c r="D387" s="3"/>
      <c r="E387" s="3"/>
      <c r="F387" s="125">
        <f>F386-F385</f>
        <v>111</v>
      </c>
      <c r="G387" s="125">
        <f t="shared" ref="G387:J387" si="158">G386-G385</f>
        <v>33</v>
      </c>
      <c r="H387" s="125">
        <f t="shared" si="158"/>
        <v>83</v>
      </c>
      <c r="I387" s="125">
        <f t="shared" si="158"/>
        <v>-364</v>
      </c>
      <c r="J387" s="125">
        <f t="shared" si="158"/>
        <v>114</v>
      </c>
      <c r="K387" s="125">
        <f>AVERAGE(H387:J387)</f>
        <v>-55.666666666666664</v>
      </c>
      <c r="L387" s="125">
        <f t="shared" ref="L387:O387" si="159">AVERAGE(I387:K387)</f>
        <v>-101.8888888888889</v>
      </c>
      <c r="M387" s="125">
        <f t="shared" si="159"/>
        <v>-14.518518518518521</v>
      </c>
      <c r="N387" s="125">
        <f t="shared" si="159"/>
        <v>-57.358024691358032</v>
      </c>
      <c r="O387" s="125">
        <f t="shared" si="159"/>
        <v>-57.921810699588484</v>
      </c>
    </row>
    <row r="388" spans="2:15" outlineLevel="1" x14ac:dyDescent="0.3">
      <c r="B388" s="3"/>
      <c r="C388" s="3"/>
      <c r="D388" s="3"/>
      <c r="E388" s="3"/>
      <c r="F388" s="3"/>
      <c r="G388" s="3"/>
      <c r="H388" s="3"/>
      <c r="I388" s="3"/>
      <c r="J388" s="3"/>
      <c r="K388" s="190"/>
      <c r="L388" s="190"/>
      <c r="M388" s="190"/>
      <c r="N388" s="190"/>
      <c r="O388" s="190"/>
    </row>
    <row r="389" spans="2:15" outlineLevel="1" x14ac:dyDescent="0.3">
      <c r="B389" s="3" t="s">
        <v>162</v>
      </c>
      <c r="C389" s="3"/>
      <c r="D389" s="3"/>
      <c r="E389" s="3"/>
      <c r="F389" s="176">
        <f t="shared" ref="F389:O389" si="160">E376-F376</f>
        <v>45</v>
      </c>
      <c r="G389" s="176">
        <f t="shared" si="160"/>
        <v>-2519</v>
      </c>
      <c r="H389" s="176">
        <f t="shared" si="160"/>
        <v>1634</v>
      </c>
      <c r="I389" s="176">
        <f t="shared" si="160"/>
        <v>-1385</v>
      </c>
      <c r="J389" s="176">
        <f t="shared" si="160"/>
        <v>-955</v>
      </c>
      <c r="K389" s="176">
        <f t="shared" si="160"/>
        <v>-318.03376573972582</v>
      </c>
      <c r="L389" s="176">
        <f t="shared" si="160"/>
        <v>-106.3228836951339</v>
      </c>
      <c r="M389" s="176">
        <f t="shared" si="160"/>
        <v>-96.243183482577479</v>
      </c>
      <c r="N389" s="176">
        <f t="shared" si="160"/>
        <v>-100.18588341411123</v>
      </c>
      <c r="O389" s="176">
        <f t="shared" si="160"/>
        <v>-104.3559858861563</v>
      </c>
    </row>
    <row r="390" spans="2:15" outlineLevel="1" x14ac:dyDescent="0.3">
      <c r="B390" s="3" t="s">
        <v>160</v>
      </c>
      <c r="C390" s="3"/>
      <c r="D390" s="3"/>
      <c r="E390" s="3"/>
      <c r="F390" s="176">
        <f>F381</f>
        <v>-127</v>
      </c>
      <c r="G390" s="176">
        <f>G381</f>
        <v>-2642</v>
      </c>
      <c r="H390" s="176">
        <f>H381</f>
        <v>1484</v>
      </c>
      <c r="I390" s="176">
        <f>I381</f>
        <v>-1618</v>
      </c>
      <c r="J390" s="176">
        <f>J381</f>
        <v>-1046</v>
      </c>
      <c r="K390" s="176">
        <f>K391+K389</f>
        <v>-476.03376573972582</v>
      </c>
      <c r="L390" s="176">
        <f t="shared" ref="L390:O390" si="161">L391+L389</f>
        <v>-266.98955036180053</v>
      </c>
      <c r="M390" s="176">
        <f t="shared" si="161"/>
        <v>-232.79873903813302</v>
      </c>
      <c r="N390" s="176">
        <f t="shared" si="161"/>
        <v>-251.92662415485196</v>
      </c>
      <c r="O390" s="176">
        <f t="shared" si="161"/>
        <v>-254.01030687381061</v>
      </c>
    </row>
    <row r="391" spans="2:15" outlineLevel="1" x14ac:dyDescent="0.3">
      <c r="B391" s="11" t="s">
        <v>157</v>
      </c>
      <c r="C391" s="3"/>
      <c r="D391" s="3"/>
      <c r="E391" s="3"/>
      <c r="F391" s="125">
        <f>F390-F389</f>
        <v>-172</v>
      </c>
      <c r="G391" s="125">
        <f t="shared" ref="G391:J391" si="162">G390-G389</f>
        <v>-123</v>
      </c>
      <c r="H391" s="125">
        <f t="shared" si="162"/>
        <v>-150</v>
      </c>
      <c r="I391" s="125">
        <f t="shared" si="162"/>
        <v>-233</v>
      </c>
      <c r="J391" s="125">
        <f t="shared" si="162"/>
        <v>-91</v>
      </c>
      <c r="K391" s="125">
        <f>AVERAGE(H391:J391)</f>
        <v>-158</v>
      </c>
      <c r="L391" s="125">
        <f t="shared" ref="L391:O391" si="163">AVERAGE(I391:K391)</f>
        <v>-160.66666666666666</v>
      </c>
      <c r="M391" s="125">
        <f t="shared" si="163"/>
        <v>-136.55555555555554</v>
      </c>
      <c r="N391" s="125">
        <f t="shared" si="163"/>
        <v>-151.74074074074073</v>
      </c>
      <c r="O391" s="125">
        <f t="shared" si="163"/>
        <v>-149.6543209876543</v>
      </c>
    </row>
    <row r="392" spans="2:15" outlineLevel="1" x14ac:dyDescent="0.3">
      <c r="B392" s="3"/>
      <c r="C392" s="3"/>
      <c r="D392" s="3"/>
      <c r="E392" s="3"/>
      <c r="F392" s="3"/>
      <c r="G392" s="3"/>
      <c r="H392" s="3"/>
      <c r="I392" s="3"/>
      <c r="J392" s="3"/>
      <c r="K392" s="190"/>
      <c r="L392" s="190"/>
      <c r="M392" s="190"/>
      <c r="N392" s="190"/>
      <c r="O392" s="190"/>
    </row>
    <row r="393" spans="2:15" outlineLevel="1" x14ac:dyDescent="0.3">
      <c r="B393" s="3" t="s">
        <v>163</v>
      </c>
      <c r="C393" s="3"/>
      <c r="D393" s="3"/>
      <c r="E393" s="3"/>
      <c r="F393" s="176">
        <f t="shared" ref="F393:O393" si="164">F377-E377</f>
        <v>-3940</v>
      </c>
      <c r="G393" s="176">
        <f t="shared" si="164"/>
        <v>12467</v>
      </c>
      <c r="H393" s="176">
        <f t="shared" si="164"/>
        <v>9352</v>
      </c>
      <c r="I393" s="176">
        <f t="shared" si="164"/>
        <v>-1504</v>
      </c>
      <c r="J393" s="176">
        <f t="shared" si="164"/>
        <v>6349</v>
      </c>
      <c r="K393" s="176">
        <f t="shared" si="164"/>
        <v>1231.0809145205421</v>
      </c>
      <c r="L393" s="176">
        <f t="shared" si="164"/>
        <v>981.44200333971821</v>
      </c>
      <c r="M393" s="176">
        <f t="shared" si="164"/>
        <v>888.39861676223518</v>
      </c>
      <c r="N393" s="176">
        <f t="shared" si="164"/>
        <v>924.79276997642592</v>
      </c>
      <c r="O393" s="176">
        <f t="shared" si="164"/>
        <v>963.28602356450574</v>
      </c>
    </row>
    <row r="394" spans="2:15" outlineLevel="1" x14ac:dyDescent="0.3">
      <c r="B394" s="3" t="s">
        <v>161</v>
      </c>
      <c r="C394" s="3"/>
      <c r="D394" s="3"/>
      <c r="E394" s="3"/>
      <c r="F394" s="176">
        <f>F382</f>
        <v>-4062</v>
      </c>
      <c r="G394" s="176">
        <f>G382</f>
        <v>12326</v>
      </c>
      <c r="H394" s="176">
        <f>H382</f>
        <v>9448</v>
      </c>
      <c r="I394" s="176">
        <f>I382</f>
        <v>-1889</v>
      </c>
      <c r="J394" s="176">
        <f>J382</f>
        <v>6020</v>
      </c>
      <c r="K394" s="176">
        <f>K393+K395</f>
        <v>1025.0809145205421</v>
      </c>
      <c r="L394" s="176">
        <f t="shared" ref="L394:O394" si="165">L393+L395</f>
        <v>674.77533667305147</v>
      </c>
      <c r="M394" s="176">
        <f t="shared" si="165"/>
        <v>607.84306120667952</v>
      </c>
      <c r="N394" s="176">
        <f t="shared" si="165"/>
        <v>660.38536256901853</v>
      </c>
      <c r="O394" s="176">
        <f t="shared" si="165"/>
        <v>679.40948035462907</v>
      </c>
    </row>
    <row r="395" spans="2:15" outlineLevel="1" x14ac:dyDescent="0.3">
      <c r="B395" s="11" t="s">
        <v>157</v>
      </c>
      <c r="C395" s="3"/>
      <c r="D395" s="3"/>
      <c r="E395" s="3"/>
      <c r="F395" s="125">
        <f>F394-F393</f>
        <v>-122</v>
      </c>
      <c r="G395" s="125">
        <f t="shared" ref="G395:J395" si="166">G394-G393</f>
        <v>-141</v>
      </c>
      <c r="H395" s="125">
        <f t="shared" si="166"/>
        <v>96</v>
      </c>
      <c r="I395" s="125">
        <f t="shared" si="166"/>
        <v>-385</v>
      </c>
      <c r="J395" s="125">
        <f t="shared" si="166"/>
        <v>-329</v>
      </c>
      <c r="K395" s="125">
        <f>AVERAGE(H395:J395)</f>
        <v>-206</v>
      </c>
      <c r="L395" s="125">
        <f t="shared" ref="L395:O395" si="167">AVERAGE(I395:K395)</f>
        <v>-306.66666666666669</v>
      </c>
      <c r="M395" s="125">
        <f t="shared" si="167"/>
        <v>-280.5555555555556</v>
      </c>
      <c r="N395" s="125">
        <f t="shared" si="167"/>
        <v>-264.40740740740745</v>
      </c>
      <c r="O395" s="125">
        <f t="shared" si="167"/>
        <v>-283.87654320987662</v>
      </c>
    </row>
    <row r="397" spans="2:15" x14ac:dyDescent="0.3">
      <c r="B397" s="278" t="s">
        <v>126</v>
      </c>
      <c r="C397" s="74"/>
      <c r="D397" s="74"/>
      <c r="E397" s="74"/>
      <c r="F397" s="74"/>
      <c r="G397" s="74"/>
      <c r="H397" s="74"/>
      <c r="I397" s="74"/>
      <c r="J397" s="74"/>
      <c r="K397" s="74"/>
      <c r="L397" s="74"/>
      <c r="M397" s="74"/>
      <c r="N397" s="74"/>
      <c r="O397" s="74"/>
    </row>
    <row r="398" spans="2:15" outlineLevel="1" x14ac:dyDescent="0.3"/>
    <row r="399" spans="2:15" ht="15" outlineLevel="1" thickBot="1" x14ac:dyDescent="0.35">
      <c r="B399" s="279" t="s">
        <v>127</v>
      </c>
      <c r="E399" s="78">
        <v>2019</v>
      </c>
      <c r="F399" s="78">
        <v>2020</v>
      </c>
      <c r="G399" s="78">
        <v>2021</v>
      </c>
      <c r="H399" s="78">
        <v>2022</v>
      </c>
      <c r="I399" s="78">
        <v>2023</v>
      </c>
      <c r="J399" s="78">
        <v>2024</v>
      </c>
      <c r="K399" s="131">
        <f>J399+1</f>
        <v>2025</v>
      </c>
      <c r="L399" s="131">
        <f>K399+1</f>
        <v>2026</v>
      </c>
      <c r="M399" s="131">
        <f>L399+1</f>
        <v>2027</v>
      </c>
      <c r="N399" s="131">
        <f>M399+1</f>
        <v>2028</v>
      </c>
      <c r="O399" s="131">
        <f>N399+1</f>
        <v>2029</v>
      </c>
    </row>
    <row r="400" spans="2:15" outlineLevel="1" x14ac:dyDescent="0.3"/>
    <row r="401" spans="2:15" outlineLevel="1" x14ac:dyDescent="0.3">
      <c r="B401" s="50" t="s">
        <v>96</v>
      </c>
      <c r="E401" s="176">
        <f t="shared" ref="E401:O401" si="168">E247</f>
        <v>260174</v>
      </c>
      <c r="F401" s="176">
        <f t="shared" si="168"/>
        <v>274515</v>
      </c>
      <c r="G401" s="176">
        <f t="shared" si="168"/>
        <v>365817</v>
      </c>
      <c r="H401" s="176">
        <f t="shared" si="168"/>
        <v>394328</v>
      </c>
      <c r="I401" s="176">
        <f t="shared" si="168"/>
        <v>383285</v>
      </c>
      <c r="J401" s="176">
        <f t="shared" si="168"/>
        <v>391035</v>
      </c>
      <c r="K401" s="176">
        <f t="shared" si="168"/>
        <v>399722.00499999995</v>
      </c>
      <c r="L401" s="176">
        <f t="shared" si="168"/>
        <v>408957.33227499994</v>
      </c>
      <c r="M401" s="176">
        <f t="shared" si="168"/>
        <v>417114.56047074986</v>
      </c>
      <c r="N401" s="176">
        <f t="shared" si="168"/>
        <v>425679.3212995411</v>
      </c>
      <c r="O401" s="176">
        <f t="shared" si="168"/>
        <v>434675.65721406252</v>
      </c>
    </row>
    <row r="402" spans="2:15" outlineLevel="1" x14ac:dyDescent="0.3">
      <c r="B402" s="50" t="s">
        <v>145</v>
      </c>
      <c r="E402" s="159">
        <f t="shared" ref="E402:O402" si="169">E39</f>
        <v>4.7929462590420259E-3</v>
      </c>
      <c r="F402" s="159">
        <f t="shared" si="169"/>
        <v>4.9396207857494122E-3</v>
      </c>
      <c r="G402" s="159">
        <f t="shared" si="169"/>
        <v>4.8767553175494849E-3</v>
      </c>
      <c r="H402" s="159">
        <f t="shared" si="169"/>
        <v>6.0964476273559064E-3</v>
      </c>
      <c r="I402" s="159">
        <f t="shared" si="169"/>
        <v>7.8766453161485585E-3</v>
      </c>
      <c r="J402" s="159">
        <f t="shared" si="169"/>
        <v>8.2984899049957164E-3</v>
      </c>
      <c r="K402" s="79">
        <f t="shared" si="169"/>
        <v>0.01</v>
      </c>
      <c r="L402" s="79">
        <f t="shared" si="169"/>
        <v>0.01</v>
      </c>
      <c r="M402" s="79">
        <f t="shared" si="169"/>
        <v>0.01</v>
      </c>
      <c r="N402" s="79">
        <f t="shared" si="169"/>
        <v>0.01</v>
      </c>
      <c r="O402" s="79">
        <f t="shared" si="169"/>
        <v>0.01</v>
      </c>
    </row>
    <row r="403" spans="2:15" outlineLevel="1" x14ac:dyDescent="0.3"/>
    <row r="404" spans="2:15" outlineLevel="1" x14ac:dyDescent="0.3">
      <c r="B404" s="50" t="s">
        <v>144</v>
      </c>
      <c r="E404" s="137">
        <v>11300</v>
      </c>
      <c r="F404" s="137">
        <v>9700</v>
      </c>
      <c r="G404" s="137">
        <v>9500</v>
      </c>
      <c r="H404" s="137">
        <v>8700</v>
      </c>
      <c r="I404" s="137">
        <v>8500</v>
      </c>
      <c r="J404" s="137">
        <v>8200</v>
      </c>
      <c r="K404" s="176">
        <f ca="1">K439</f>
        <v>8024.2419440042258</v>
      </c>
      <c r="L404" s="176">
        <f t="shared" ref="L404:O404" ca="1" si="170">L439</f>
        <v>8841.6129600281747</v>
      </c>
      <c r="M404" s="176">
        <f t="shared" ca="1" si="170"/>
        <v>9645.2946528144621</v>
      </c>
      <c r="N404" s="176">
        <f t="shared" ca="1" si="170"/>
        <v>10447.377374733423</v>
      </c>
      <c r="O404" s="176">
        <f t="shared" ca="1" si="170"/>
        <v>11255.089184976488</v>
      </c>
    </row>
    <row r="405" spans="2:15" outlineLevel="1" x14ac:dyDescent="0.3">
      <c r="B405" s="50" t="s">
        <v>143</v>
      </c>
      <c r="E405" s="191">
        <f t="shared" ref="E405:J405" si="171">E406-E404</f>
        <v>1247</v>
      </c>
      <c r="F405" s="191">
        <f t="shared" si="171"/>
        <v>1356</v>
      </c>
      <c r="G405" s="191">
        <f t="shared" si="171"/>
        <v>1784</v>
      </c>
      <c r="H405" s="191">
        <f t="shared" si="171"/>
        <v>2404</v>
      </c>
      <c r="I405" s="191">
        <f t="shared" si="171"/>
        <v>3019</v>
      </c>
      <c r="J405" s="191">
        <f t="shared" si="171"/>
        <v>3245</v>
      </c>
      <c r="K405" s="176">
        <f>K402*K401</f>
        <v>3997.2200499999994</v>
      </c>
      <c r="L405" s="176">
        <f t="shared" ref="L405:O405" si="172">L402*L401</f>
        <v>4089.5733227499995</v>
      </c>
      <c r="M405" s="176">
        <f t="shared" si="172"/>
        <v>4171.1456047074989</v>
      </c>
      <c r="N405" s="176">
        <f t="shared" si="172"/>
        <v>4256.7932129954115</v>
      </c>
      <c r="O405" s="176">
        <f t="shared" si="172"/>
        <v>4346.7565721406254</v>
      </c>
    </row>
    <row r="406" spans="2:15" outlineLevel="1" x14ac:dyDescent="0.3">
      <c r="B406" s="50" t="s">
        <v>142</v>
      </c>
      <c r="E406" s="185">
        <f t="shared" ref="E406:J406" si="173">E322</f>
        <v>12547</v>
      </c>
      <c r="F406" s="185">
        <f t="shared" si="173"/>
        <v>11056</v>
      </c>
      <c r="G406" s="185">
        <f t="shared" si="173"/>
        <v>11284</v>
      </c>
      <c r="H406" s="185">
        <f t="shared" si="173"/>
        <v>11104</v>
      </c>
      <c r="I406" s="185">
        <f t="shared" si="173"/>
        <v>11519</v>
      </c>
      <c r="J406" s="185">
        <f t="shared" si="173"/>
        <v>11445</v>
      </c>
      <c r="K406" s="192">
        <f ca="1">SUM(K404:K405)</f>
        <v>12021.461994004225</v>
      </c>
      <c r="L406" s="192">
        <f t="shared" ref="L406:O406" ca="1" si="174">SUM(L404:L405)</f>
        <v>12931.186282778173</v>
      </c>
      <c r="M406" s="192">
        <f t="shared" ca="1" si="174"/>
        <v>13816.440257521961</v>
      </c>
      <c r="N406" s="192">
        <f t="shared" ca="1" si="174"/>
        <v>14704.170587728835</v>
      </c>
      <c r="O406" s="192">
        <f t="shared" ca="1" si="174"/>
        <v>15601.845757117113</v>
      </c>
    </row>
    <row r="407" spans="2:15" outlineLevel="1" x14ac:dyDescent="0.3"/>
    <row r="408" spans="2:15" outlineLevel="1" x14ac:dyDescent="0.3">
      <c r="B408" s="50" t="s">
        <v>128</v>
      </c>
      <c r="E408" s="137">
        <f t="shared" ref="E408:O408" si="175">-E340</f>
        <v>10495</v>
      </c>
      <c r="F408" s="137">
        <f t="shared" si="175"/>
        <v>7309</v>
      </c>
      <c r="G408" s="137">
        <f t="shared" si="175"/>
        <v>11085</v>
      </c>
      <c r="H408" s="137">
        <f t="shared" si="175"/>
        <v>10708</v>
      </c>
      <c r="I408" s="137">
        <f t="shared" si="175"/>
        <v>10959</v>
      </c>
      <c r="J408" s="137">
        <f t="shared" si="175"/>
        <v>9447</v>
      </c>
      <c r="K408" s="137">
        <f t="shared" ca="1" si="175"/>
        <v>10371.333333333334</v>
      </c>
      <c r="L408" s="137">
        <f t="shared" ca="1" si="175"/>
        <v>10259.111111111113</v>
      </c>
      <c r="M408" s="137">
        <f t="shared" ca="1" si="175"/>
        <v>10025.814814814818</v>
      </c>
      <c r="N408" s="137">
        <f t="shared" ca="1" si="175"/>
        <v>10218.753086419754</v>
      </c>
      <c r="O408" s="137">
        <f t="shared" ca="1" si="175"/>
        <v>10167.893004115229</v>
      </c>
    </row>
    <row r="409" spans="2:15" outlineLevel="1" x14ac:dyDescent="0.3"/>
    <row r="410" spans="2:15" outlineLevel="1" x14ac:dyDescent="0.3">
      <c r="B410" s="8" t="s">
        <v>129</v>
      </c>
      <c r="C410" s="193" t="s">
        <v>130</v>
      </c>
      <c r="K410" s="7" t="s">
        <v>133</v>
      </c>
      <c r="L410" s="35"/>
      <c r="M410" s="35"/>
      <c r="N410" s="35"/>
      <c r="O410" s="35"/>
    </row>
    <row r="411" spans="2:15" outlineLevel="1" x14ac:dyDescent="0.3">
      <c r="B411" s="194" t="s">
        <v>131</v>
      </c>
      <c r="C411" s="195">
        <v>6</v>
      </c>
      <c r="K411" s="196">
        <v>1</v>
      </c>
      <c r="L411" s="196">
        <f>K411+1</f>
        <v>2</v>
      </c>
      <c r="M411" s="196">
        <f t="shared" ref="M411:O411" si="176">L411+1</f>
        <v>3</v>
      </c>
      <c r="N411" s="196">
        <f t="shared" si="176"/>
        <v>4</v>
      </c>
      <c r="O411" s="196">
        <f t="shared" si="176"/>
        <v>5</v>
      </c>
    </row>
    <row r="412" spans="2:15" outlineLevel="1" x14ac:dyDescent="0.3">
      <c r="B412" s="197" t="s">
        <v>132</v>
      </c>
      <c r="C412" s="198">
        <v>45680</v>
      </c>
      <c r="K412" s="199">
        <f>MIN($C$411-SUM($J412:J412),1)</f>
        <v>1</v>
      </c>
      <c r="L412" s="200">
        <f>MIN($C$411-SUM($J412:K412),1)</f>
        <v>1</v>
      </c>
      <c r="M412" s="200">
        <f>MIN($C$411-SUM($J412:L412),1)</f>
        <v>1</v>
      </c>
      <c r="N412" s="200">
        <f>MIN($C$411-SUM($J412:M412),1)</f>
        <v>1</v>
      </c>
      <c r="O412" s="201">
        <f>MIN($C$411-SUM($J412:N412),1)</f>
        <v>1</v>
      </c>
    </row>
    <row r="413" spans="2:15" outlineLevel="1" x14ac:dyDescent="0.3"/>
    <row r="414" spans="2:15" outlineLevel="1" x14ac:dyDescent="0.3">
      <c r="B414" s="68"/>
      <c r="C414" s="68"/>
      <c r="D414" s="68"/>
      <c r="E414" s="68"/>
      <c r="F414" s="68"/>
      <c r="G414" s="68"/>
      <c r="H414" s="68"/>
      <c r="I414" s="68"/>
      <c r="J414" s="68"/>
      <c r="K414" s="68"/>
      <c r="L414" s="68"/>
      <c r="M414" s="68"/>
      <c r="N414" s="68"/>
      <c r="O414" s="68"/>
    </row>
    <row r="415" spans="2:15" outlineLevel="1" x14ac:dyDescent="0.3">
      <c r="B415" s="8" t="s">
        <v>129</v>
      </c>
      <c r="C415" s="193" t="s">
        <v>130</v>
      </c>
      <c r="K415" s="7" t="s">
        <v>133</v>
      </c>
      <c r="L415" s="35"/>
      <c r="M415" s="35"/>
      <c r="N415" s="35"/>
      <c r="O415" s="35"/>
    </row>
    <row r="416" spans="2:15" outlineLevel="1" x14ac:dyDescent="0.3">
      <c r="B416" s="194" t="s">
        <v>151</v>
      </c>
      <c r="C416" s="195">
        <f>C422</f>
        <v>12.62</v>
      </c>
      <c r="K416" s="196">
        <v>1</v>
      </c>
      <c r="L416" s="196">
        <f>K416+1</f>
        <v>2</v>
      </c>
      <c r="M416" s="196">
        <f t="shared" ref="M416:O416" si="177">L416+1</f>
        <v>3</v>
      </c>
      <c r="N416" s="196">
        <f t="shared" si="177"/>
        <v>4</v>
      </c>
      <c r="O416" s="196">
        <f t="shared" si="177"/>
        <v>5</v>
      </c>
    </row>
    <row r="417" spans="2:15" outlineLevel="1" x14ac:dyDescent="0.3">
      <c r="B417" s="197" t="s">
        <v>134</v>
      </c>
      <c r="C417" s="202">
        <v>0.5</v>
      </c>
      <c r="K417" s="199">
        <f>IF(J417="",$C$417,MIN($C$416-SUM($J417:J417),1))</f>
        <v>0.5</v>
      </c>
      <c r="L417" s="200">
        <f>IF(K417="",$C$417,MIN($C$416-SUM($J417:K417),1))</f>
        <v>1</v>
      </c>
      <c r="M417" s="200">
        <f>IF(L417="",$C$417,MIN($C$416-SUM($J417:L417),1))</f>
        <v>1</v>
      </c>
      <c r="N417" s="200">
        <f>IF(M417="",$C$417,MIN($C$416-SUM($J417:M417),1))</f>
        <v>1</v>
      </c>
      <c r="O417" s="201">
        <f>IF(N417="",$C$417,MIN($C$416-SUM($J417:N417),1))</f>
        <v>1</v>
      </c>
    </row>
    <row r="418" spans="2:15" outlineLevel="1" x14ac:dyDescent="0.3"/>
    <row r="419" spans="2:15" outlineLevel="1" x14ac:dyDescent="0.3">
      <c r="B419" s="50" t="s">
        <v>152</v>
      </c>
      <c r="C419" s="203">
        <v>10</v>
      </c>
      <c r="H419" s="204"/>
      <c r="I419" s="204"/>
      <c r="J419" s="204"/>
      <c r="K419" s="6" t="s">
        <v>133</v>
      </c>
      <c r="L419" s="5"/>
      <c r="M419" s="5"/>
      <c r="N419" s="5"/>
      <c r="O419" s="4"/>
    </row>
    <row r="420" spans="2:15" outlineLevel="1" x14ac:dyDescent="0.3">
      <c r="B420" s="50" t="s">
        <v>153</v>
      </c>
      <c r="C420" s="203">
        <v>2.02</v>
      </c>
      <c r="H420" s="205" t="s">
        <v>135</v>
      </c>
      <c r="I420" s="205" t="s">
        <v>136</v>
      </c>
      <c r="J420" s="204"/>
      <c r="K420" s="206">
        <f>K$399</f>
        <v>2025</v>
      </c>
      <c r="L420" s="206">
        <f t="shared" ref="L420:O420" si="178">L$399</f>
        <v>2026</v>
      </c>
      <c r="M420" s="206">
        <f t="shared" si="178"/>
        <v>2027</v>
      </c>
      <c r="N420" s="206">
        <f t="shared" si="178"/>
        <v>2028</v>
      </c>
      <c r="O420" s="206">
        <f t="shared" si="178"/>
        <v>2029</v>
      </c>
    </row>
    <row r="421" spans="2:15" outlineLevel="1" x14ac:dyDescent="0.3">
      <c r="B421" s="50" t="s">
        <v>154</v>
      </c>
      <c r="C421" s="203">
        <v>0.6</v>
      </c>
      <c r="H421" s="207">
        <f>K399</f>
        <v>2025</v>
      </c>
      <c r="I421" s="208">
        <f>C416</f>
        <v>12.62</v>
      </c>
      <c r="J421" s="209"/>
      <c r="K421" s="210">
        <f>K417</f>
        <v>0.5</v>
      </c>
      <c r="L421" s="210">
        <f>L417</f>
        <v>1</v>
      </c>
      <c r="M421" s="210">
        <f t="shared" ref="M421:O421" si="179">M417</f>
        <v>1</v>
      </c>
      <c r="N421" s="210">
        <f t="shared" si="179"/>
        <v>1</v>
      </c>
      <c r="O421" s="211">
        <f t="shared" si="179"/>
        <v>1</v>
      </c>
    </row>
    <row r="422" spans="2:15" outlineLevel="1" x14ac:dyDescent="0.3">
      <c r="B422" s="8" t="s">
        <v>155</v>
      </c>
      <c r="C422" s="212">
        <f>SUM(C419:C421)</f>
        <v>12.62</v>
      </c>
      <c r="H422" s="213">
        <f>H421+1</f>
        <v>2026</v>
      </c>
      <c r="I422" s="214">
        <f>I421</f>
        <v>12.62</v>
      </c>
      <c r="J422" s="215"/>
      <c r="K422" s="216">
        <f>J421</f>
        <v>0</v>
      </c>
      <c r="L422" s="216">
        <f t="shared" ref="L422:O425" si="180">K421</f>
        <v>0.5</v>
      </c>
      <c r="M422" s="216">
        <f t="shared" si="180"/>
        <v>1</v>
      </c>
      <c r="N422" s="216">
        <f t="shared" si="180"/>
        <v>1</v>
      </c>
      <c r="O422" s="217">
        <f t="shared" si="180"/>
        <v>1</v>
      </c>
    </row>
    <row r="423" spans="2:15" outlineLevel="1" x14ac:dyDescent="0.3">
      <c r="H423" s="213">
        <f>H422+1</f>
        <v>2027</v>
      </c>
      <c r="I423" s="214">
        <f>I422</f>
        <v>12.62</v>
      </c>
      <c r="J423" s="215"/>
      <c r="K423" s="216">
        <f t="shared" ref="K423:K425" si="181">J422</f>
        <v>0</v>
      </c>
      <c r="L423" s="216">
        <f t="shared" si="180"/>
        <v>0</v>
      </c>
      <c r="M423" s="216">
        <f t="shared" si="180"/>
        <v>0.5</v>
      </c>
      <c r="N423" s="216">
        <f t="shared" si="180"/>
        <v>1</v>
      </c>
      <c r="O423" s="217">
        <f t="shared" si="180"/>
        <v>1</v>
      </c>
    </row>
    <row r="424" spans="2:15" outlineLevel="1" x14ac:dyDescent="0.3">
      <c r="H424" s="213">
        <f>H423+1</f>
        <v>2028</v>
      </c>
      <c r="I424" s="214">
        <f>I423</f>
        <v>12.62</v>
      </c>
      <c r="J424" s="215"/>
      <c r="K424" s="216">
        <f t="shared" si="181"/>
        <v>0</v>
      </c>
      <c r="L424" s="216">
        <f t="shared" si="180"/>
        <v>0</v>
      </c>
      <c r="M424" s="216">
        <f t="shared" si="180"/>
        <v>0</v>
      </c>
      <c r="N424" s="216">
        <f t="shared" si="180"/>
        <v>0.5</v>
      </c>
      <c r="O424" s="217">
        <f t="shared" si="180"/>
        <v>1</v>
      </c>
    </row>
    <row r="425" spans="2:15" outlineLevel="1" x14ac:dyDescent="0.3">
      <c r="H425" s="218">
        <f>H424+1</f>
        <v>2029</v>
      </c>
      <c r="I425" s="219">
        <f>I424</f>
        <v>12.62</v>
      </c>
      <c r="J425" s="220"/>
      <c r="K425" s="221">
        <f t="shared" si="181"/>
        <v>0</v>
      </c>
      <c r="L425" s="221">
        <f t="shared" si="180"/>
        <v>0</v>
      </c>
      <c r="M425" s="221">
        <f t="shared" si="180"/>
        <v>0</v>
      </c>
      <c r="N425" s="221">
        <f t="shared" si="180"/>
        <v>0</v>
      </c>
      <c r="O425" s="222">
        <f t="shared" si="180"/>
        <v>0.5</v>
      </c>
    </row>
    <row r="426" spans="2:15" outlineLevel="1" x14ac:dyDescent="0.3">
      <c r="H426" s="204"/>
      <c r="I426" s="204"/>
      <c r="J426" s="204"/>
      <c r="K426" s="223"/>
      <c r="L426" s="223"/>
      <c r="M426" s="223"/>
      <c r="N426" s="223"/>
      <c r="O426" s="223"/>
    </row>
    <row r="427" spans="2:15" outlineLevel="1" x14ac:dyDescent="0.3">
      <c r="H427" s="204"/>
      <c r="I427" s="204"/>
      <c r="J427" s="204"/>
      <c r="K427" s="6" t="s">
        <v>137</v>
      </c>
      <c r="L427" s="5"/>
      <c r="M427" s="5"/>
      <c r="N427" s="5"/>
      <c r="O427" s="4"/>
    </row>
    <row r="428" spans="2:15" outlineLevel="1" x14ac:dyDescent="0.3">
      <c r="H428" s="205" t="s">
        <v>135</v>
      </c>
      <c r="I428" s="205" t="s">
        <v>128</v>
      </c>
      <c r="J428" s="205" t="s">
        <v>138</v>
      </c>
      <c r="K428" s="206">
        <f>K$399</f>
        <v>2025</v>
      </c>
      <c r="L428" s="206">
        <f t="shared" ref="L428:O428" si="182">L$399</f>
        <v>2026</v>
      </c>
      <c r="M428" s="206">
        <f t="shared" si="182"/>
        <v>2027</v>
      </c>
      <c r="N428" s="206">
        <f t="shared" si="182"/>
        <v>2028</v>
      </c>
      <c r="O428" s="206">
        <f t="shared" si="182"/>
        <v>2029</v>
      </c>
    </row>
    <row r="429" spans="2:15" outlineLevel="1" x14ac:dyDescent="0.3">
      <c r="H429" s="207">
        <f>H421</f>
        <v>2025</v>
      </c>
      <c r="I429" s="224">
        <f ca="1">SUMIF($K$399:$O$399,H429,$K$408:$O$408)</f>
        <v>10371.333333333334</v>
      </c>
      <c r="J429" s="224">
        <f ca="1">I429/I421</f>
        <v>821.81722134178563</v>
      </c>
      <c r="K429" s="225">
        <f ca="1">$J429*K421</f>
        <v>410.90861067089281</v>
      </c>
      <c r="L429" s="226">
        <f t="shared" ref="L429:O429" ca="1" si="183">$J429*L421</f>
        <v>821.81722134178563</v>
      </c>
      <c r="M429" s="226">
        <f t="shared" ca="1" si="183"/>
        <v>821.81722134178563</v>
      </c>
      <c r="N429" s="226">
        <f t="shared" ca="1" si="183"/>
        <v>821.81722134178563</v>
      </c>
      <c r="O429" s="227">
        <f t="shared" ca="1" si="183"/>
        <v>821.81722134178563</v>
      </c>
    </row>
    <row r="430" spans="2:15" outlineLevel="1" x14ac:dyDescent="0.3">
      <c r="H430" s="213">
        <f>H422</f>
        <v>2026</v>
      </c>
      <c r="I430" s="228">
        <f ca="1">SUMIF($K$399:$O$399,H430,$K$408:$O$408)</f>
        <v>10259.111111111113</v>
      </c>
      <c r="J430" s="228">
        <f t="shared" ref="J430:J433" ca="1" si="184">I430/I422</f>
        <v>812.92481070611041</v>
      </c>
      <c r="K430" s="229">
        <f t="shared" ref="K430:O430" ca="1" si="185">$J430*K422</f>
        <v>0</v>
      </c>
      <c r="L430" s="230">
        <f t="shared" ca="1" si="185"/>
        <v>406.4624053530552</v>
      </c>
      <c r="M430" s="230">
        <f t="shared" ca="1" si="185"/>
        <v>812.92481070611041</v>
      </c>
      <c r="N430" s="230">
        <f t="shared" ca="1" si="185"/>
        <v>812.92481070611041</v>
      </c>
      <c r="O430" s="231">
        <f t="shared" ca="1" si="185"/>
        <v>812.92481070611041</v>
      </c>
    </row>
    <row r="431" spans="2:15" outlineLevel="1" x14ac:dyDescent="0.3">
      <c r="H431" s="213">
        <f>H423</f>
        <v>2027</v>
      </c>
      <c r="I431" s="228">
        <f ca="1">SUMIF($K$399:$O$399,H431,$K$408:$O$408)</f>
        <v>10025.814814814818</v>
      </c>
      <c r="J431" s="228">
        <f t="shared" ca="1" si="184"/>
        <v>794.43857486646732</v>
      </c>
      <c r="K431" s="229">
        <f t="shared" ref="K431:O431" ca="1" si="186">$J431*K423</f>
        <v>0</v>
      </c>
      <c r="L431" s="230">
        <f t="shared" ca="1" si="186"/>
        <v>0</v>
      </c>
      <c r="M431" s="230">
        <f t="shared" ca="1" si="186"/>
        <v>397.21928743323366</v>
      </c>
      <c r="N431" s="230">
        <f t="shared" ca="1" si="186"/>
        <v>794.43857486646732</v>
      </c>
      <c r="O431" s="231">
        <f t="shared" ca="1" si="186"/>
        <v>794.43857486646732</v>
      </c>
    </row>
    <row r="432" spans="2:15" outlineLevel="1" x14ac:dyDescent="0.3">
      <c r="H432" s="213">
        <f>H424</f>
        <v>2028</v>
      </c>
      <c r="I432" s="228">
        <f ca="1">SUMIF($K$399:$O$399,H432,$K$408:$O$408)</f>
        <v>10218.753086419754</v>
      </c>
      <c r="J432" s="228">
        <f t="shared" ca="1" si="184"/>
        <v>809.72686897145445</v>
      </c>
      <c r="K432" s="229">
        <f t="shared" ref="K432:O432" ca="1" si="187">$J432*K424</f>
        <v>0</v>
      </c>
      <c r="L432" s="230">
        <f t="shared" ca="1" si="187"/>
        <v>0</v>
      </c>
      <c r="M432" s="230">
        <f t="shared" ca="1" si="187"/>
        <v>0</v>
      </c>
      <c r="N432" s="230">
        <f t="shared" ca="1" si="187"/>
        <v>404.86343448572723</v>
      </c>
      <c r="O432" s="231">
        <f t="shared" ca="1" si="187"/>
        <v>809.72686897145445</v>
      </c>
    </row>
    <row r="433" spans="2:15" outlineLevel="1" x14ac:dyDescent="0.3">
      <c r="H433" s="218">
        <f>H425</f>
        <v>2029</v>
      </c>
      <c r="I433" s="232">
        <f ca="1">SUMIF($K$399:$O$399,H433,$K$408:$O$408)</f>
        <v>10167.893004115229</v>
      </c>
      <c r="J433" s="232">
        <f t="shared" ca="1" si="184"/>
        <v>805.69675151467743</v>
      </c>
      <c r="K433" s="233">
        <f t="shared" ref="K433:O433" ca="1" si="188">$J433*K425</f>
        <v>0</v>
      </c>
      <c r="L433" s="234">
        <f t="shared" ca="1" si="188"/>
        <v>0</v>
      </c>
      <c r="M433" s="234">
        <f t="shared" ca="1" si="188"/>
        <v>0</v>
      </c>
      <c r="N433" s="234">
        <f t="shared" ca="1" si="188"/>
        <v>0</v>
      </c>
      <c r="O433" s="235">
        <f t="shared" ca="1" si="188"/>
        <v>402.84837575733872</v>
      </c>
    </row>
    <row r="434" spans="2:15" outlineLevel="1" x14ac:dyDescent="0.3"/>
    <row r="435" spans="2:15" outlineLevel="1" x14ac:dyDescent="0.3">
      <c r="B435" s="68"/>
      <c r="C435" s="68"/>
      <c r="D435" s="68"/>
      <c r="E435" s="68"/>
      <c r="F435" s="68"/>
      <c r="G435" s="68"/>
      <c r="H435" s="68"/>
      <c r="I435" s="68"/>
      <c r="J435" s="68"/>
      <c r="K435" s="68"/>
      <c r="L435" s="68"/>
      <c r="M435" s="68"/>
      <c r="N435" s="68"/>
      <c r="O435" s="68"/>
    </row>
    <row r="436" spans="2:15" outlineLevel="1" x14ac:dyDescent="0.3">
      <c r="B436" s="8" t="s">
        <v>139</v>
      </c>
    </row>
    <row r="437" spans="2:15" outlineLevel="1" x14ac:dyDescent="0.3">
      <c r="B437" s="3" t="s">
        <v>140</v>
      </c>
      <c r="K437" s="176">
        <f>($C$412/$C$411)*K$412</f>
        <v>7613.333333333333</v>
      </c>
      <c r="L437" s="176">
        <f t="shared" ref="L437:O437" si="189">($C$412/$C$411)*L$412</f>
        <v>7613.333333333333</v>
      </c>
      <c r="M437" s="176">
        <f t="shared" si="189"/>
        <v>7613.333333333333</v>
      </c>
      <c r="N437" s="176">
        <f t="shared" si="189"/>
        <v>7613.333333333333</v>
      </c>
      <c r="O437" s="176">
        <f t="shared" si="189"/>
        <v>7613.333333333333</v>
      </c>
    </row>
    <row r="438" spans="2:15" outlineLevel="1" x14ac:dyDescent="0.3">
      <c r="B438" s="3" t="s">
        <v>141</v>
      </c>
      <c r="K438" s="176">
        <f ca="1">SUM(K429:K433)</f>
        <v>410.90861067089281</v>
      </c>
      <c r="L438" s="176">
        <f t="shared" ref="L438:O438" ca="1" si="190">SUM(L429:L433)</f>
        <v>1228.2796266948408</v>
      </c>
      <c r="M438" s="176">
        <f t="shared" ca="1" si="190"/>
        <v>2031.9613194811295</v>
      </c>
      <c r="N438" s="176">
        <f t="shared" ca="1" si="190"/>
        <v>2834.0440414000905</v>
      </c>
      <c r="O438" s="176">
        <f t="shared" ca="1" si="190"/>
        <v>3641.7558516431563</v>
      </c>
    </row>
    <row r="439" spans="2:15" outlineLevel="1" x14ac:dyDescent="0.3">
      <c r="B439" s="11" t="s">
        <v>150</v>
      </c>
      <c r="E439" s="185">
        <f t="shared" ref="E439:J439" si="191">E404</f>
        <v>11300</v>
      </c>
      <c r="F439" s="185">
        <f t="shared" si="191"/>
        <v>9700</v>
      </c>
      <c r="G439" s="185">
        <f t="shared" si="191"/>
        <v>9500</v>
      </c>
      <c r="H439" s="185">
        <f t="shared" si="191"/>
        <v>8700</v>
      </c>
      <c r="I439" s="185">
        <f t="shared" si="191"/>
        <v>8500</v>
      </c>
      <c r="J439" s="185">
        <f t="shared" si="191"/>
        <v>8200</v>
      </c>
      <c r="K439" s="236">
        <f ca="1">SUM(K437:K438)</f>
        <v>8024.2419440042258</v>
      </c>
      <c r="L439" s="236">
        <f t="shared" ref="L439:O439" ca="1" si="192">SUM(L437:L438)</f>
        <v>8841.6129600281747</v>
      </c>
      <c r="M439" s="236">
        <f t="shared" ca="1" si="192"/>
        <v>9645.2946528144621</v>
      </c>
      <c r="N439" s="236">
        <f t="shared" ca="1" si="192"/>
        <v>10447.377374733423</v>
      </c>
      <c r="O439" s="236">
        <f t="shared" ca="1" si="192"/>
        <v>11255.089184976488</v>
      </c>
    </row>
    <row r="440" spans="2:15" x14ac:dyDescent="0.3">
      <c r="B440" s="11"/>
      <c r="E440" s="158"/>
      <c r="F440" s="158"/>
      <c r="G440" s="158"/>
      <c r="H440" s="158"/>
      <c r="I440" s="158"/>
      <c r="J440" s="158"/>
      <c r="K440" s="176"/>
      <c r="L440" s="176"/>
      <c r="M440" s="176"/>
      <c r="N440" s="176"/>
      <c r="O440" s="176"/>
    </row>
    <row r="441" spans="2:15" x14ac:dyDescent="0.3">
      <c r="B441" s="278" t="s">
        <v>222</v>
      </c>
      <c r="C441" s="74"/>
      <c r="D441" s="74"/>
      <c r="E441" s="74"/>
      <c r="F441" s="74"/>
      <c r="G441" s="74"/>
      <c r="H441" s="74"/>
      <c r="I441" s="74"/>
      <c r="J441" s="74"/>
      <c r="K441" s="74"/>
      <c r="L441" s="74"/>
      <c r="M441" s="74"/>
      <c r="N441" s="74"/>
      <c r="O441" s="74"/>
    </row>
    <row r="442" spans="2:15" outlineLevel="1" x14ac:dyDescent="0.3"/>
    <row r="443" spans="2:15" ht="15" outlineLevel="1" thickBot="1" x14ac:dyDescent="0.35">
      <c r="B443" s="279" t="s">
        <v>127</v>
      </c>
      <c r="E443" s="78">
        <v>2019</v>
      </c>
      <c r="F443" s="78">
        <v>2020</v>
      </c>
      <c r="G443" s="78">
        <v>2021</v>
      </c>
      <c r="H443" s="78">
        <v>2022</v>
      </c>
      <c r="I443" s="78">
        <v>2023</v>
      </c>
      <c r="J443" s="78">
        <v>2024</v>
      </c>
      <c r="K443" s="131">
        <f>J443+1</f>
        <v>2025</v>
      </c>
      <c r="L443" s="131">
        <f>K443+1</f>
        <v>2026</v>
      </c>
      <c r="M443" s="131">
        <f>L443+1</f>
        <v>2027</v>
      </c>
      <c r="N443" s="131">
        <f>M443+1</f>
        <v>2028</v>
      </c>
      <c r="O443" s="131">
        <f>N443+1</f>
        <v>2029</v>
      </c>
    </row>
    <row r="444" spans="2:15" outlineLevel="1" x14ac:dyDescent="0.3"/>
    <row r="445" spans="2:15" outlineLevel="1" x14ac:dyDescent="0.3">
      <c r="B445" s="3" t="s">
        <v>96</v>
      </c>
      <c r="E445" s="176">
        <f t="shared" ref="E445:O445" si="193">E247</f>
        <v>260174</v>
      </c>
      <c r="F445" s="176">
        <f t="shared" si="193"/>
        <v>274515</v>
      </c>
      <c r="G445" s="176">
        <f t="shared" si="193"/>
        <v>365817</v>
      </c>
      <c r="H445" s="176">
        <f t="shared" si="193"/>
        <v>394328</v>
      </c>
      <c r="I445" s="176">
        <f t="shared" si="193"/>
        <v>383285</v>
      </c>
      <c r="J445" s="176">
        <f t="shared" si="193"/>
        <v>391035</v>
      </c>
      <c r="K445" s="176">
        <f t="shared" si="193"/>
        <v>399722.00499999995</v>
      </c>
      <c r="L445" s="176">
        <f t="shared" si="193"/>
        <v>408957.33227499994</v>
      </c>
      <c r="M445" s="176">
        <f t="shared" si="193"/>
        <v>417114.56047074986</v>
      </c>
      <c r="N445" s="176">
        <f t="shared" si="193"/>
        <v>425679.3212995411</v>
      </c>
      <c r="O445" s="176">
        <f t="shared" si="193"/>
        <v>434675.65721406252</v>
      </c>
    </row>
    <row r="446" spans="2:15" outlineLevel="1" x14ac:dyDescent="0.3">
      <c r="B446" s="3" t="s">
        <v>235</v>
      </c>
      <c r="E446" s="176">
        <f t="shared" ref="E446:O446" si="194">E252</f>
        <v>161782</v>
      </c>
      <c r="F446" s="176">
        <f t="shared" si="194"/>
        <v>169559</v>
      </c>
      <c r="G446" s="176">
        <f t="shared" si="194"/>
        <v>212981</v>
      </c>
      <c r="H446" s="176">
        <f t="shared" si="194"/>
        <v>223546</v>
      </c>
      <c r="I446" s="176">
        <f t="shared" si="194"/>
        <v>214137</v>
      </c>
      <c r="J446" s="176">
        <f t="shared" si="194"/>
        <v>210352</v>
      </c>
      <c r="K446" s="176">
        <f t="shared" si="194"/>
        <v>213497.87111499999</v>
      </c>
      <c r="L446" s="176">
        <f t="shared" si="194"/>
        <v>216483.09054182493</v>
      </c>
      <c r="M446" s="176">
        <f t="shared" si="194"/>
        <v>219185.30300114342</v>
      </c>
      <c r="N446" s="176">
        <f t="shared" si="194"/>
        <v>221998.21434315504</v>
      </c>
      <c r="O446" s="176">
        <f t="shared" si="194"/>
        <v>224928.20933149708</v>
      </c>
    </row>
    <row r="447" spans="2:15" outlineLevel="1" x14ac:dyDescent="0.3"/>
    <row r="448" spans="2:15" outlineLevel="1" x14ac:dyDescent="0.3">
      <c r="B448" s="11" t="s">
        <v>223</v>
      </c>
      <c r="F448" s="146"/>
      <c r="G448" s="146"/>
      <c r="H448" s="146"/>
      <c r="I448" s="146"/>
    </row>
    <row r="449" spans="2:15" outlineLevel="1" x14ac:dyDescent="0.3">
      <c r="B449" s="3" t="s">
        <v>146</v>
      </c>
      <c r="E449" s="137"/>
      <c r="F449" s="137"/>
      <c r="G449" s="137"/>
      <c r="H449" s="137"/>
      <c r="I449" s="137"/>
      <c r="J449" s="137"/>
      <c r="K449" s="176">
        <f>J452</f>
        <v>45680</v>
      </c>
      <c r="L449" s="176">
        <f t="shared" ref="L449:O449" ca="1" si="195">K452</f>
        <v>48027.091389329107</v>
      </c>
      <c r="M449" s="176">
        <f t="shared" ca="1" si="195"/>
        <v>49444.589540412053</v>
      </c>
      <c r="N449" s="176">
        <f t="shared" ca="1" si="195"/>
        <v>49825.10970241241</v>
      </c>
      <c r="O449" s="176">
        <f t="shared" ca="1" si="195"/>
        <v>49596.485414098745</v>
      </c>
    </row>
    <row r="450" spans="2:15" outlineLevel="1" x14ac:dyDescent="0.3">
      <c r="B450" s="3" t="s">
        <v>147</v>
      </c>
      <c r="E450" s="137"/>
      <c r="F450" s="137"/>
      <c r="G450" s="137"/>
      <c r="H450" s="137"/>
      <c r="I450" s="137"/>
      <c r="J450" s="137"/>
      <c r="K450" s="176">
        <f ca="1">K408</f>
        <v>10371.333333333334</v>
      </c>
      <c r="L450" s="176">
        <f ca="1">L408</f>
        <v>10259.111111111113</v>
      </c>
      <c r="M450" s="176">
        <f ca="1">M408</f>
        <v>10025.814814814818</v>
      </c>
      <c r="N450" s="176">
        <f ca="1">N408</f>
        <v>10218.753086419754</v>
      </c>
      <c r="O450" s="176">
        <f ca="1">O408</f>
        <v>10167.893004115229</v>
      </c>
    </row>
    <row r="451" spans="2:15" outlineLevel="1" x14ac:dyDescent="0.3">
      <c r="B451" s="3" t="s">
        <v>148</v>
      </c>
      <c r="E451" s="137"/>
      <c r="F451" s="137"/>
      <c r="G451" s="137"/>
      <c r="H451" s="137"/>
      <c r="I451" s="137"/>
      <c r="J451" s="137"/>
      <c r="K451" s="176">
        <f ca="1">-K404</f>
        <v>-8024.2419440042258</v>
      </c>
      <c r="L451" s="176">
        <f ca="1">-L404</f>
        <v>-8841.6129600281747</v>
      </c>
      <c r="M451" s="176">
        <f ca="1">-M404</f>
        <v>-9645.2946528144621</v>
      </c>
      <c r="N451" s="176">
        <f ca="1">-N404</f>
        <v>-10447.377374733423</v>
      </c>
      <c r="O451" s="176">
        <f ca="1">-O404</f>
        <v>-11255.089184976488</v>
      </c>
    </row>
    <row r="452" spans="2:15" outlineLevel="1" x14ac:dyDescent="0.3">
      <c r="B452" s="3" t="s">
        <v>149</v>
      </c>
      <c r="E452" s="237">
        <f t="shared" ref="E452:J452" si="196">E286</f>
        <v>37378</v>
      </c>
      <c r="F452" s="237">
        <f t="shared" si="196"/>
        <v>36766</v>
      </c>
      <c r="G452" s="237">
        <f t="shared" si="196"/>
        <v>39440</v>
      </c>
      <c r="H452" s="237">
        <f t="shared" si="196"/>
        <v>42117</v>
      </c>
      <c r="I452" s="237">
        <f t="shared" si="196"/>
        <v>43715</v>
      </c>
      <c r="J452" s="237">
        <f t="shared" si="196"/>
        <v>45680</v>
      </c>
      <c r="K452" s="125">
        <f ca="1">SUM(K449:K451)</f>
        <v>48027.091389329107</v>
      </c>
      <c r="L452" s="125">
        <f t="shared" ref="L452:O452" ca="1" si="197">SUM(L449:L451)</f>
        <v>49444.589540412053</v>
      </c>
      <c r="M452" s="125">
        <f t="shared" ca="1" si="197"/>
        <v>49825.10970241241</v>
      </c>
      <c r="N452" s="125">
        <f t="shared" ca="1" si="197"/>
        <v>49596.485414098745</v>
      </c>
      <c r="O452" s="125">
        <f t="shared" ca="1" si="197"/>
        <v>48509.289233237483</v>
      </c>
    </row>
    <row r="453" spans="2:15" outlineLevel="1" x14ac:dyDescent="0.3"/>
    <row r="454" spans="2:15" outlineLevel="1" x14ac:dyDescent="0.3">
      <c r="B454" s="68"/>
      <c r="C454" s="68"/>
      <c r="D454" s="68"/>
      <c r="E454" s="68"/>
      <c r="F454" s="68"/>
      <c r="G454" s="68"/>
      <c r="H454" s="68"/>
      <c r="I454" s="68"/>
      <c r="J454" s="68"/>
      <c r="K454" s="68"/>
      <c r="L454" s="68"/>
      <c r="M454" s="68"/>
      <c r="N454" s="68"/>
      <c r="O454" s="68"/>
    </row>
    <row r="455" spans="2:15" outlineLevel="1" x14ac:dyDescent="0.3">
      <c r="B455" s="11" t="s">
        <v>224</v>
      </c>
    </row>
    <row r="456" spans="2:15" outlineLevel="1" x14ac:dyDescent="0.3">
      <c r="B456" s="3" t="s">
        <v>228</v>
      </c>
      <c r="E456" s="159">
        <f t="shared" ref="E456:O456" si="198">E25</f>
        <v>0.19876313544012852</v>
      </c>
      <c r="F456" s="159">
        <f t="shared" si="198"/>
        <v>0.19280185053640056</v>
      </c>
      <c r="G456" s="159">
        <f t="shared" si="198"/>
        <v>7.5718186962333622E-2</v>
      </c>
      <c r="H456" s="159">
        <f t="shared" si="198"/>
        <v>6.2531699498894325E-2</v>
      </c>
      <c r="I456" s="159">
        <f t="shared" si="198"/>
        <v>8.2419087624091739E-2</v>
      </c>
      <c r="J456" s="159">
        <f t="shared" si="198"/>
        <v>9.0089122457069057E-2</v>
      </c>
      <c r="K456" s="159">
        <f t="shared" si="198"/>
        <v>7.8399999999999997E-2</v>
      </c>
      <c r="L456" s="159">
        <f t="shared" si="198"/>
        <v>8.3099999999999993E-2</v>
      </c>
      <c r="M456" s="159">
        <f t="shared" si="198"/>
        <v>7.9799999999999996E-2</v>
      </c>
      <c r="N456" s="159">
        <f t="shared" si="198"/>
        <v>8.48E-2</v>
      </c>
      <c r="O456" s="159">
        <f t="shared" si="198"/>
        <v>8.77E-2</v>
      </c>
    </row>
    <row r="457" spans="2:15" outlineLevel="1" x14ac:dyDescent="0.3">
      <c r="B457" s="3" t="s">
        <v>229</v>
      </c>
      <c r="E457" s="159">
        <f t="shared" ref="E457:O457" si="199">E29</f>
        <v>0.40488672965015721</v>
      </c>
      <c r="F457" s="159">
        <f t="shared" si="199"/>
        <v>0.36750997213267034</v>
      </c>
      <c r="G457" s="159">
        <f t="shared" si="199"/>
        <v>0.3495654931290782</v>
      </c>
      <c r="H457" s="159">
        <f t="shared" si="199"/>
        <v>0.30635663711428052</v>
      </c>
      <c r="I457" s="159">
        <f t="shared" si="199"/>
        <v>0.26232177100590942</v>
      </c>
      <c r="J457" s="159">
        <f t="shared" si="199"/>
        <v>0.23394069584564042</v>
      </c>
      <c r="K457" s="159">
        <f t="shared" si="199"/>
        <v>0.26500000000000001</v>
      </c>
      <c r="L457" s="159">
        <f t="shared" si="199"/>
        <v>0.26500000000000001</v>
      </c>
      <c r="M457" s="159">
        <f t="shared" si="199"/>
        <v>0.28000000000000003</v>
      </c>
      <c r="N457" s="159">
        <f t="shared" si="199"/>
        <v>0.28299999999999997</v>
      </c>
      <c r="O457" s="159">
        <f t="shared" si="199"/>
        <v>0.28899999999999998</v>
      </c>
    </row>
    <row r="458" spans="2:15" outlineLevel="1" x14ac:dyDescent="0.3">
      <c r="B458" s="11"/>
    </row>
    <row r="459" spans="2:15" outlineLevel="1" x14ac:dyDescent="0.3">
      <c r="B459" s="3" t="s">
        <v>225</v>
      </c>
      <c r="E459" s="176">
        <f t="shared" ref="E459:J459" si="200">E277</f>
        <v>51713</v>
      </c>
      <c r="F459" s="176">
        <f t="shared" si="200"/>
        <v>52927</v>
      </c>
      <c r="G459" s="176">
        <f t="shared" si="200"/>
        <v>27699</v>
      </c>
      <c r="H459" s="176">
        <f t="shared" si="200"/>
        <v>24658</v>
      </c>
      <c r="I459" s="176">
        <f t="shared" si="200"/>
        <v>31590</v>
      </c>
      <c r="J459" s="176">
        <f t="shared" si="200"/>
        <v>35228</v>
      </c>
      <c r="K459" s="176">
        <f>K456*K445</f>
        <v>31338.205191999994</v>
      </c>
      <c r="L459" s="176">
        <f>L456*L445</f>
        <v>33984.354312052492</v>
      </c>
      <c r="M459" s="176">
        <f>M456*M445</f>
        <v>33285.741925565839</v>
      </c>
      <c r="N459" s="176">
        <f>N456*N445</f>
        <v>36097.606446201084</v>
      </c>
      <c r="O459" s="176">
        <f>O456*O445</f>
        <v>38121.055137673284</v>
      </c>
    </row>
    <row r="460" spans="2:15" outlineLevel="1" x14ac:dyDescent="0.3">
      <c r="B460" s="3" t="s">
        <v>226</v>
      </c>
      <c r="E460" s="176">
        <f t="shared" ref="E460:J460" si="201">E285</f>
        <v>105341</v>
      </c>
      <c r="F460" s="176">
        <f t="shared" si="201"/>
        <v>100887</v>
      </c>
      <c r="G460" s="176">
        <f t="shared" si="201"/>
        <v>127877</v>
      </c>
      <c r="H460" s="176">
        <f t="shared" si="201"/>
        <v>120805</v>
      </c>
      <c r="I460" s="176">
        <f t="shared" si="201"/>
        <v>100544</v>
      </c>
      <c r="J460" s="176">
        <f t="shared" si="201"/>
        <v>91479</v>
      </c>
      <c r="K460" s="176">
        <f>K457*K445</f>
        <v>105926.33132499999</v>
      </c>
      <c r="L460" s="176">
        <f>L457*L445</f>
        <v>108373.69305287499</v>
      </c>
      <c r="M460" s="176">
        <f>M457*M445</f>
        <v>116792.07693180998</v>
      </c>
      <c r="N460" s="176">
        <f>N457*N445</f>
        <v>120467.24792777012</v>
      </c>
      <c r="O460" s="176">
        <f>O457*O445</f>
        <v>125621.26493486406</v>
      </c>
    </row>
    <row r="461" spans="2:15" outlineLevel="1" x14ac:dyDescent="0.3">
      <c r="B461" s="3" t="s">
        <v>227</v>
      </c>
      <c r="E461" s="125">
        <f>SUM(E459:E460)</f>
        <v>157054</v>
      </c>
      <c r="F461" s="125">
        <f t="shared" ref="F461:O461" si="202">SUM(F459:F460)</f>
        <v>153814</v>
      </c>
      <c r="G461" s="125">
        <f t="shared" si="202"/>
        <v>155576</v>
      </c>
      <c r="H461" s="125">
        <f t="shared" si="202"/>
        <v>145463</v>
      </c>
      <c r="I461" s="125">
        <f t="shared" si="202"/>
        <v>132134</v>
      </c>
      <c r="J461" s="125">
        <f t="shared" si="202"/>
        <v>126707</v>
      </c>
      <c r="K461" s="125">
        <f t="shared" si="202"/>
        <v>137264.536517</v>
      </c>
      <c r="L461" s="125">
        <f t="shared" si="202"/>
        <v>142358.04736492748</v>
      </c>
      <c r="M461" s="125">
        <f t="shared" si="202"/>
        <v>150077.81885737582</v>
      </c>
      <c r="N461" s="125">
        <f t="shared" si="202"/>
        <v>156564.8543739712</v>
      </c>
      <c r="O461" s="125">
        <f t="shared" si="202"/>
        <v>163742.32007253735</v>
      </c>
    </row>
    <row r="462" spans="2:15" outlineLevel="1" x14ac:dyDescent="0.3"/>
    <row r="463" spans="2:15" outlineLevel="1" x14ac:dyDescent="0.3">
      <c r="B463" s="68"/>
      <c r="C463" s="68"/>
      <c r="D463" s="68"/>
      <c r="E463" s="68"/>
      <c r="F463" s="68"/>
      <c r="G463" s="68"/>
      <c r="H463" s="68"/>
      <c r="I463" s="68"/>
      <c r="J463" s="68"/>
      <c r="K463" s="68"/>
      <c r="L463" s="68"/>
      <c r="M463" s="68"/>
      <c r="N463" s="68"/>
      <c r="O463" s="68"/>
    </row>
    <row r="464" spans="2:15" outlineLevel="1" x14ac:dyDescent="0.3">
      <c r="B464" s="11" t="s">
        <v>231</v>
      </c>
    </row>
    <row r="465" spans="2:15" outlineLevel="1" x14ac:dyDescent="0.3"/>
    <row r="466" spans="2:15" outlineLevel="1" x14ac:dyDescent="0.3">
      <c r="B466" s="3" t="s">
        <v>236</v>
      </c>
      <c r="E466" s="159">
        <f t="shared" ref="E466:O466" si="203">E26</f>
        <v>0.14141251807988528</v>
      </c>
      <c r="F466" s="159">
        <f t="shared" si="203"/>
        <v>0.12576743198532664</v>
      </c>
      <c r="G466" s="159">
        <f t="shared" si="203"/>
        <v>0.11845188068419249</v>
      </c>
      <c r="H466" s="159">
        <f t="shared" si="203"/>
        <v>0.14649333917851359</v>
      </c>
      <c r="I466" s="159">
        <f t="shared" si="203"/>
        <v>0.1469946809752635</v>
      </c>
      <c r="J466" s="159">
        <f t="shared" si="203"/>
        <v>0.15608598919905681</v>
      </c>
      <c r="K466" s="159">
        <f t="shared" si="203"/>
        <v>0.15</v>
      </c>
      <c r="L466" s="159">
        <f t="shared" si="203"/>
        <v>0.15</v>
      </c>
      <c r="M466" s="159">
        <f t="shared" si="203"/>
        <v>0.14799999999999999</v>
      </c>
      <c r="N466" s="159">
        <f t="shared" si="203"/>
        <v>0.14799999999999999</v>
      </c>
      <c r="O466" s="159">
        <f t="shared" si="203"/>
        <v>0.14799999999999999</v>
      </c>
    </row>
    <row r="467" spans="2:15" outlineLevel="1" x14ac:dyDescent="0.3">
      <c r="B467" s="3"/>
    </row>
    <row r="468" spans="2:15" outlineLevel="1" x14ac:dyDescent="0.3">
      <c r="B468" s="3" t="s">
        <v>233</v>
      </c>
      <c r="E468" s="176"/>
      <c r="F468" s="176">
        <f>E470</f>
        <v>22878</v>
      </c>
      <c r="G468" s="176">
        <f t="shared" ref="G468:O468" si="204">F470</f>
        <v>21325</v>
      </c>
      <c r="H468" s="176">
        <f t="shared" si="204"/>
        <v>25228</v>
      </c>
      <c r="I468" s="176">
        <f t="shared" si="204"/>
        <v>32748</v>
      </c>
      <c r="J468" s="176">
        <f t="shared" si="204"/>
        <v>31477</v>
      </c>
      <c r="K468" s="176">
        <f t="shared" si="204"/>
        <v>32833</v>
      </c>
      <c r="L468" s="176">
        <f t="shared" si="204"/>
        <v>32024.680667249995</v>
      </c>
      <c r="M468" s="176">
        <f t="shared" si="204"/>
        <v>32472.46358127374</v>
      </c>
      <c r="N468" s="176">
        <f t="shared" si="204"/>
        <v>32439.424844169225</v>
      </c>
      <c r="O468" s="176">
        <f t="shared" si="204"/>
        <v>32855.735722786943</v>
      </c>
    </row>
    <row r="469" spans="2:15" outlineLevel="1" x14ac:dyDescent="0.3">
      <c r="B469" s="3" t="s">
        <v>232</v>
      </c>
      <c r="E469" s="176">
        <f t="shared" ref="E469:J469" si="205">E329</f>
        <v>2931</v>
      </c>
      <c r="F469" s="176">
        <f t="shared" si="205"/>
        <v>1553</v>
      </c>
      <c r="G469" s="176">
        <f t="shared" si="205"/>
        <v>-3903</v>
      </c>
      <c r="H469" s="176">
        <f t="shared" si="205"/>
        <v>-7520</v>
      </c>
      <c r="I469" s="176">
        <f t="shared" si="205"/>
        <v>1271</v>
      </c>
      <c r="J469" s="176">
        <f t="shared" si="205"/>
        <v>-1356</v>
      </c>
      <c r="K469" s="176">
        <f>K470-K468</f>
        <v>-808.31933275000483</v>
      </c>
      <c r="L469" s="176">
        <f t="shared" ref="L469:O469" si="206">L470-L468</f>
        <v>447.78291402374452</v>
      </c>
      <c r="M469" s="176">
        <f t="shared" si="206"/>
        <v>-33.038737104514439</v>
      </c>
      <c r="N469" s="176">
        <f t="shared" si="206"/>
        <v>416.31087861771812</v>
      </c>
      <c r="O469" s="176">
        <f t="shared" si="206"/>
        <v>433.63925827462663</v>
      </c>
    </row>
    <row r="470" spans="2:15" outlineLevel="1" x14ac:dyDescent="0.3">
      <c r="B470" s="3" t="s">
        <v>234</v>
      </c>
      <c r="E470" s="125">
        <f>E280</f>
        <v>22878</v>
      </c>
      <c r="F470" s="125">
        <f>F468-F469</f>
        <v>21325</v>
      </c>
      <c r="G470" s="125">
        <f t="shared" ref="G470:J470" si="207">G468-G469</f>
        <v>25228</v>
      </c>
      <c r="H470" s="125">
        <f t="shared" si="207"/>
        <v>32748</v>
      </c>
      <c r="I470" s="125">
        <f t="shared" si="207"/>
        <v>31477</v>
      </c>
      <c r="J470" s="125">
        <f t="shared" si="207"/>
        <v>32833</v>
      </c>
      <c r="K470" s="125">
        <f>K466*K446</f>
        <v>32024.680667249995</v>
      </c>
      <c r="L470" s="125">
        <f>L466*L446</f>
        <v>32472.46358127374</v>
      </c>
      <c r="M470" s="125">
        <f>M466*M446</f>
        <v>32439.424844169225</v>
      </c>
      <c r="N470" s="125">
        <f>N466*N446</f>
        <v>32855.735722786943</v>
      </c>
      <c r="O470" s="125">
        <f>O466*O446</f>
        <v>33289.37498106157</v>
      </c>
    </row>
    <row r="472" spans="2:15" x14ac:dyDescent="0.3">
      <c r="B472" s="278" t="s">
        <v>238</v>
      </c>
      <c r="C472" s="74"/>
      <c r="D472" s="74"/>
      <c r="E472" s="74"/>
      <c r="F472" s="74"/>
      <c r="G472" s="74"/>
      <c r="H472" s="74"/>
      <c r="I472" s="74"/>
      <c r="J472" s="74"/>
      <c r="K472" s="74"/>
      <c r="L472" s="74"/>
      <c r="M472" s="74"/>
      <c r="N472" s="74"/>
      <c r="O472" s="74"/>
    </row>
    <row r="473" spans="2:15" outlineLevel="1" x14ac:dyDescent="0.3"/>
    <row r="474" spans="2:15" ht="15" outlineLevel="1" thickBot="1" x14ac:dyDescent="0.35">
      <c r="B474" s="279" t="s">
        <v>127</v>
      </c>
      <c r="E474" s="78">
        <v>2019</v>
      </c>
      <c r="F474" s="78">
        <v>2020</v>
      </c>
      <c r="G474" s="78">
        <v>2021</v>
      </c>
      <c r="H474" s="78">
        <v>2022</v>
      </c>
      <c r="I474" s="78">
        <v>2023</v>
      </c>
      <c r="J474" s="78">
        <v>2024</v>
      </c>
      <c r="K474" s="131">
        <f>J474+1</f>
        <v>2025</v>
      </c>
      <c r="L474" s="131">
        <f>K474+1</f>
        <v>2026</v>
      </c>
      <c r="M474" s="131">
        <f>L474+1</f>
        <v>2027</v>
      </c>
      <c r="N474" s="131">
        <f>M474+1</f>
        <v>2028</v>
      </c>
      <c r="O474" s="131">
        <f>N474+1</f>
        <v>2029</v>
      </c>
    </row>
    <row r="475" spans="2:15" outlineLevel="1" x14ac:dyDescent="0.3"/>
    <row r="476" spans="2:15" outlineLevel="1" x14ac:dyDescent="0.3">
      <c r="B476" s="3" t="s">
        <v>96</v>
      </c>
      <c r="E476" s="10">
        <f t="shared" ref="E476:O476" si="208">E247</f>
        <v>260174</v>
      </c>
      <c r="F476" s="10">
        <f t="shared" si="208"/>
        <v>274515</v>
      </c>
      <c r="G476" s="10">
        <f t="shared" si="208"/>
        <v>365817</v>
      </c>
      <c r="H476" s="10">
        <f t="shared" si="208"/>
        <v>394328</v>
      </c>
      <c r="I476" s="10">
        <f t="shared" si="208"/>
        <v>383285</v>
      </c>
      <c r="J476" s="10">
        <f t="shared" si="208"/>
        <v>391035</v>
      </c>
      <c r="K476" s="10">
        <f t="shared" si="208"/>
        <v>399722.00499999995</v>
      </c>
      <c r="L476" s="10">
        <f t="shared" si="208"/>
        <v>408957.33227499994</v>
      </c>
      <c r="M476" s="10">
        <f t="shared" si="208"/>
        <v>417114.56047074986</v>
      </c>
      <c r="N476" s="10">
        <f t="shared" si="208"/>
        <v>425679.3212995411</v>
      </c>
      <c r="O476" s="10">
        <f t="shared" si="208"/>
        <v>434675.65721406252</v>
      </c>
    </row>
    <row r="477" spans="2:15" outlineLevel="1" x14ac:dyDescent="0.3"/>
    <row r="478" spans="2:15" outlineLevel="1" x14ac:dyDescent="0.3">
      <c r="B478" s="8" t="s">
        <v>247</v>
      </c>
    </row>
    <row r="479" spans="2:15" outlineLevel="1" x14ac:dyDescent="0.3">
      <c r="B479" s="3" t="s">
        <v>242</v>
      </c>
      <c r="E479" s="159">
        <f t="shared" ref="E479:J479" si="209">E480/E476</f>
        <v>2.1224257612213363E-2</v>
      </c>
      <c r="F479" s="159">
        <f t="shared" si="209"/>
        <v>2.419904194670601E-2</v>
      </c>
      <c r="G479" s="159">
        <f t="shared" si="209"/>
        <v>2.0808218316808676E-2</v>
      </c>
      <c r="H479" s="159">
        <f t="shared" si="209"/>
        <v>2.0064514820149724E-2</v>
      </c>
      <c r="I479" s="159">
        <f t="shared" si="209"/>
        <v>2.1031347430763011E-2</v>
      </c>
      <c r="J479" s="159">
        <f t="shared" si="209"/>
        <v>2.1095298374825783E-2</v>
      </c>
      <c r="K479" s="79">
        <f>K33</f>
        <v>2.1000000000000001E-2</v>
      </c>
      <c r="L479" s="79">
        <f>L33</f>
        <v>2.1000000000000001E-2</v>
      </c>
      <c r="M479" s="79">
        <f>M33</f>
        <v>2.1000000000000001E-2</v>
      </c>
      <c r="N479" s="79">
        <f>N33</f>
        <v>2.1000000000000001E-2</v>
      </c>
      <c r="O479" s="79">
        <f>O33</f>
        <v>2.1000000000000001E-2</v>
      </c>
    </row>
    <row r="480" spans="2:15" outlineLevel="1" x14ac:dyDescent="0.3">
      <c r="B480" s="3" t="s">
        <v>241</v>
      </c>
      <c r="E480" s="10">
        <f t="shared" ref="E480:J480" si="210">E295</f>
        <v>5522</v>
      </c>
      <c r="F480" s="10">
        <f t="shared" si="210"/>
        <v>6643</v>
      </c>
      <c r="G480" s="10">
        <f t="shared" si="210"/>
        <v>7612</v>
      </c>
      <c r="H480" s="10">
        <f t="shared" si="210"/>
        <v>7912</v>
      </c>
      <c r="I480" s="10">
        <f t="shared" si="210"/>
        <v>8061</v>
      </c>
      <c r="J480" s="10">
        <f t="shared" si="210"/>
        <v>8249</v>
      </c>
      <c r="K480" s="10">
        <f>K479*K476</f>
        <v>8394.1621049999994</v>
      </c>
      <c r="L480" s="10">
        <f t="shared" ref="L480:O480" si="211">L479*L476</f>
        <v>8588.1039777749993</v>
      </c>
      <c r="M480" s="10">
        <f t="shared" si="211"/>
        <v>8759.4057698857468</v>
      </c>
      <c r="N480" s="10">
        <f t="shared" si="211"/>
        <v>8939.2657472903629</v>
      </c>
      <c r="O480" s="10">
        <f t="shared" si="211"/>
        <v>9128.1888014953129</v>
      </c>
    </row>
    <row r="481" spans="2:15" outlineLevel="1" x14ac:dyDescent="0.3">
      <c r="B481" s="3"/>
      <c r="E481" s="10"/>
      <c r="F481" s="10"/>
      <c r="G481" s="10"/>
      <c r="H481" s="10"/>
      <c r="I481" s="10"/>
      <c r="J481" s="10"/>
    </row>
    <row r="482" spans="2:15" outlineLevel="1" x14ac:dyDescent="0.3">
      <c r="B482" s="238"/>
      <c r="C482" s="239"/>
      <c r="D482" s="239"/>
      <c r="E482" s="12"/>
      <c r="F482" s="12"/>
      <c r="G482" s="12"/>
      <c r="H482" s="12"/>
      <c r="I482" s="12"/>
      <c r="J482" s="12"/>
      <c r="K482" s="239"/>
      <c r="L482" s="239"/>
      <c r="M482" s="239"/>
      <c r="N482" s="239"/>
      <c r="O482" s="239"/>
    </row>
    <row r="483" spans="2:15" outlineLevel="1" x14ac:dyDescent="0.3">
      <c r="B483" s="11" t="s">
        <v>248</v>
      </c>
      <c r="C483" s="32"/>
      <c r="D483" s="32"/>
      <c r="E483" s="14"/>
      <c r="F483" s="14"/>
      <c r="G483" s="14"/>
      <c r="H483" s="14"/>
      <c r="I483" s="14"/>
      <c r="J483" s="14"/>
      <c r="K483" s="32"/>
      <c r="L483" s="32"/>
      <c r="M483" s="32"/>
      <c r="N483" s="32"/>
      <c r="O483" s="32"/>
    </row>
    <row r="484" spans="2:15" outlineLevel="1" x14ac:dyDescent="0.3">
      <c r="B484" s="3" t="s">
        <v>246</v>
      </c>
      <c r="E484" s="159">
        <f t="shared" ref="E484:J484" si="212">E34</f>
        <v>2.2984617986424469E-2</v>
      </c>
      <c r="F484" s="159">
        <f t="shared" si="212"/>
        <v>1.8199369797643115E-2</v>
      </c>
      <c r="G484" s="159">
        <f t="shared" si="212"/>
        <v>1.6401643444673156E-2</v>
      </c>
      <c r="H484" s="159">
        <f t="shared" si="212"/>
        <v>2.5313951837049362E-2</v>
      </c>
      <c r="I484" s="159">
        <f t="shared" si="212"/>
        <v>1.5615012327641311E-2</v>
      </c>
      <c r="J484" s="159">
        <f t="shared" si="212"/>
        <v>2.5488766990167121E-2</v>
      </c>
      <c r="K484" s="159">
        <v>2.5000000000000001E-2</v>
      </c>
      <c r="L484" s="159">
        <v>2.5000000000000001E-2</v>
      </c>
      <c r="M484" s="159">
        <v>2.5000000000000001E-2</v>
      </c>
      <c r="N484" s="159">
        <v>2.5000000000000001E-2</v>
      </c>
      <c r="O484" s="159">
        <v>2.5000000000000001E-2</v>
      </c>
    </row>
    <row r="485" spans="2:15" outlineLevel="1" x14ac:dyDescent="0.3">
      <c r="B485" s="3"/>
      <c r="E485" s="10"/>
      <c r="F485" s="10"/>
      <c r="G485" s="10"/>
      <c r="H485" s="10"/>
      <c r="I485" s="10"/>
      <c r="J485" s="10"/>
    </row>
    <row r="486" spans="2:15" outlineLevel="1" x14ac:dyDescent="0.3">
      <c r="B486" s="3" t="s">
        <v>243</v>
      </c>
      <c r="F486" s="10">
        <f>E489</f>
        <v>5980</v>
      </c>
      <c r="G486" s="10">
        <f t="shared" ref="G486:O486" si="213">F489</f>
        <v>4996</v>
      </c>
      <c r="H486" s="10">
        <f t="shared" si="213"/>
        <v>6000</v>
      </c>
      <c r="I486" s="10">
        <f t="shared" si="213"/>
        <v>9982</v>
      </c>
      <c r="J486" s="10">
        <f t="shared" si="213"/>
        <v>5985</v>
      </c>
      <c r="K486" s="10">
        <f t="shared" si="213"/>
        <v>9967</v>
      </c>
      <c r="L486" s="10">
        <f t="shared" si="213"/>
        <v>9993.0501249999998</v>
      </c>
      <c r="M486" s="10">
        <f t="shared" si="213"/>
        <v>10223.933306874998</v>
      </c>
      <c r="N486" s="10">
        <f t="shared" si="213"/>
        <v>10427.864011768746</v>
      </c>
      <c r="O486" s="10">
        <f t="shared" si="213"/>
        <v>10641.983032488528</v>
      </c>
    </row>
    <row r="487" spans="2:15" outlineLevel="1" x14ac:dyDescent="0.3">
      <c r="B487" s="3" t="s">
        <v>95</v>
      </c>
      <c r="E487" s="10">
        <f t="shared" ref="E487:J487" si="214">E354</f>
        <v>-5977</v>
      </c>
      <c r="F487" s="10">
        <f t="shared" si="214"/>
        <v>-963</v>
      </c>
      <c r="G487" s="10">
        <f t="shared" si="214"/>
        <v>1022</v>
      </c>
      <c r="H487" s="10">
        <f t="shared" si="214"/>
        <v>3955</v>
      </c>
      <c r="I487" s="10">
        <f t="shared" si="214"/>
        <v>-3978</v>
      </c>
      <c r="J487" s="10">
        <f t="shared" si="214"/>
        <v>3960</v>
      </c>
      <c r="K487" s="10">
        <f>K489-K486+K488</f>
        <v>16.050124999999753</v>
      </c>
      <c r="L487" s="10">
        <f t="shared" ref="L487:O487" si="215">L489-L486+L488</f>
        <v>226.54984854166528</v>
      </c>
      <c r="M487" s="10">
        <f t="shared" si="215"/>
        <v>191.81959378263693</v>
      </c>
      <c r="N487" s="10">
        <f t="shared" si="215"/>
        <v>205.30420590496666</v>
      </c>
      <c r="O487" s="10">
        <f t="shared" si="215"/>
        <v>216.48864477661539</v>
      </c>
    </row>
    <row r="488" spans="2:15" outlineLevel="1" x14ac:dyDescent="0.3">
      <c r="B488" s="3" t="s">
        <v>245</v>
      </c>
      <c r="E488" s="10"/>
      <c r="F488" s="10">
        <v>21</v>
      </c>
      <c r="G488" s="10">
        <v>18</v>
      </c>
      <c r="H488" s="10">
        <v>-27</v>
      </c>
      <c r="I488" s="10">
        <v>19</v>
      </c>
      <c r="J488" s="10">
        <v>-22</v>
      </c>
      <c r="K488" s="10">
        <f>AVERAGE(H488:J488)</f>
        <v>-10</v>
      </c>
      <c r="L488" s="10">
        <f t="shared" ref="L488:O488" si="216">AVERAGE(I488:K488)</f>
        <v>-4.333333333333333</v>
      </c>
      <c r="M488" s="10">
        <f t="shared" si="216"/>
        <v>-12.111111111111112</v>
      </c>
      <c r="N488" s="10">
        <f t="shared" si="216"/>
        <v>-8.8148148148148149</v>
      </c>
      <c r="O488" s="10">
        <f t="shared" si="216"/>
        <v>-8.4197530864197532</v>
      </c>
    </row>
    <row r="489" spans="2:15" outlineLevel="1" x14ac:dyDescent="0.3">
      <c r="B489" s="3" t="s">
        <v>244</v>
      </c>
      <c r="E489" s="12">
        <f t="shared" ref="E489:J489" si="217">E296</f>
        <v>5980</v>
      </c>
      <c r="F489" s="12">
        <f t="shared" si="217"/>
        <v>4996</v>
      </c>
      <c r="G489" s="12">
        <f t="shared" si="217"/>
        <v>6000</v>
      </c>
      <c r="H489" s="12">
        <f t="shared" si="217"/>
        <v>9982</v>
      </c>
      <c r="I489" s="12">
        <f t="shared" si="217"/>
        <v>5985</v>
      </c>
      <c r="J489" s="12">
        <f t="shared" si="217"/>
        <v>9967</v>
      </c>
      <c r="K489" s="12">
        <f>K484*K476</f>
        <v>9993.0501249999998</v>
      </c>
      <c r="L489" s="12">
        <f t="shared" ref="L489:O489" si="218">L484*L476</f>
        <v>10223.933306874998</v>
      </c>
      <c r="M489" s="12">
        <f t="shared" si="218"/>
        <v>10427.864011768746</v>
      </c>
      <c r="N489" s="12">
        <f t="shared" si="218"/>
        <v>10641.983032488528</v>
      </c>
      <c r="O489" s="12">
        <f t="shared" si="218"/>
        <v>10866.891430351563</v>
      </c>
    </row>
    <row r="490" spans="2:15" outlineLevel="1" x14ac:dyDescent="0.3">
      <c r="G490" s="146"/>
      <c r="H490" s="146"/>
      <c r="I490" s="146"/>
      <c r="J490" s="146"/>
    </row>
    <row r="491" spans="2:15" outlineLevel="1" x14ac:dyDescent="0.3">
      <c r="B491" s="238"/>
      <c r="C491" s="239"/>
      <c r="D491" s="239"/>
      <c r="E491" s="12"/>
      <c r="F491" s="12"/>
      <c r="G491" s="12"/>
      <c r="H491" s="12"/>
      <c r="I491" s="12"/>
      <c r="J491" s="12"/>
      <c r="K491" s="239"/>
      <c r="L491" s="239"/>
      <c r="M491" s="239"/>
      <c r="N491" s="239"/>
      <c r="O491" s="239"/>
    </row>
    <row r="492" spans="2:15" outlineLevel="1" x14ac:dyDescent="0.3">
      <c r="B492" s="11" t="s">
        <v>249</v>
      </c>
    </row>
    <row r="493" spans="2:15" outlineLevel="1" x14ac:dyDescent="0.3"/>
    <row r="494" spans="2:15" outlineLevel="1" x14ac:dyDescent="0.3">
      <c r="B494" s="3" t="s">
        <v>250</v>
      </c>
      <c r="E494" s="159">
        <f t="shared" ref="E494:J495" si="219">E501/E$503</f>
        <v>0.1005222060019399</v>
      </c>
      <c r="F494" s="159">
        <f t="shared" si="219"/>
        <v>8.1654877140729706E-2</v>
      </c>
      <c r="G494" s="159">
        <f t="shared" si="219"/>
        <v>8.0972717088250407E-2</v>
      </c>
      <c r="H494" s="159">
        <f t="shared" si="219"/>
        <v>0.10108368835557333</v>
      </c>
      <c r="I494" s="159">
        <f t="shared" si="219"/>
        <v>9.3451185979467763E-2</v>
      </c>
      <c r="J494" s="159">
        <f t="shared" si="219"/>
        <v>0.11288820839626741</v>
      </c>
      <c r="K494" s="160">
        <v>0.10247436091043616</v>
      </c>
      <c r="L494" s="160">
        <v>0.10247436091043616</v>
      </c>
      <c r="M494" s="160">
        <v>0.10247436091043616</v>
      </c>
      <c r="N494" s="160">
        <v>0.10247436091043616</v>
      </c>
      <c r="O494" s="160">
        <v>0.10247436091043616</v>
      </c>
    </row>
    <row r="495" spans="2:15" outlineLevel="1" x14ac:dyDescent="0.3">
      <c r="B495" s="3" t="s">
        <v>251</v>
      </c>
      <c r="E495" s="159">
        <f t="shared" si="219"/>
        <v>0.89947779399806005</v>
      </c>
      <c r="F495" s="159">
        <f t="shared" si="219"/>
        <v>0.91834512285927028</v>
      </c>
      <c r="G495" s="159">
        <f t="shared" si="219"/>
        <v>0.91902728291174962</v>
      </c>
      <c r="H495" s="159">
        <f t="shared" si="219"/>
        <v>0.89891631164442665</v>
      </c>
      <c r="I495" s="159">
        <f t="shared" si="219"/>
        <v>0.90654881402053222</v>
      </c>
      <c r="J495" s="159">
        <f t="shared" si="219"/>
        <v>0.88711179160373255</v>
      </c>
      <c r="K495" s="160">
        <v>0.89752563908956373</v>
      </c>
      <c r="L495" s="160">
        <v>0.89752563908956373</v>
      </c>
      <c r="M495" s="160">
        <v>0.89752563908956373</v>
      </c>
      <c r="N495" s="160">
        <v>0.89752563908956373</v>
      </c>
      <c r="O495" s="160">
        <v>0.89752563908956373</v>
      </c>
    </row>
    <row r="496" spans="2:15" outlineLevel="1" x14ac:dyDescent="0.3">
      <c r="B496" s="3" t="s">
        <v>284</v>
      </c>
      <c r="E496" s="159">
        <f t="shared" ref="E496:O496" si="220">E35</f>
        <v>0.39230284348166994</v>
      </c>
      <c r="F496" s="159">
        <f t="shared" si="220"/>
        <v>0.39138116314226912</v>
      </c>
      <c r="G496" s="159">
        <f t="shared" si="220"/>
        <v>0.32453111801802542</v>
      </c>
      <c r="H496" s="159">
        <f t="shared" si="220"/>
        <v>0.27917621878233351</v>
      </c>
      <c r="I496" s="159">
        <f t="shared" si="220"/>
        <v>0.2742163142309248</v>
      </c>
      <c r="J496" s="159">
        <f t="shared" si="220"/>
        <v>0.24719526385106191</v>
      </c>
      <c r="K496" s="79">
        <f t="shared" si="220"/>
        <v>0.24</v>
      </c>
      <c r="L496" s="79">
        <f t="shared" si="220"/>
        <v>0.24</v>
      </c>
      <c r="M496" s="79">
        <f t="shared" si="220"/>
        <v>0.24</v>
      </c>
      <c r="N496" s="79">
        <f t="shared" si="220"/>
        <v>0.24</v>
      </c>
      <c r="O496" s="79">
        <f t="shared" si="220"/>
        <v>0.24</v>
      </c>
    </row>
    <row r="497" spans="2:15" outlineLevel="1" x14ac:dyDescent="0.3">
      <c r="B497" s="3"/>
      <c r="K497" s="160"/>
      <c r="L497" s="160"/>
      <c r="M497" s="160"/>
      <c r="N497" s="160"/>
      <c r="O497" s="160"/>
    </row>
    <row r="498" spans="2:15" outlineLevel="1" x14ac:dyDescent="0.3">
      <c r="B498" s="3" t="s">
        <v>253</v>
      </c>
      <c r="E498" s="159">
        <f t="shared" ref="E498:O498" si="221">E52</f>
        <v>2.6762858702253107E-2</v>
      </c>
      <c r="F498" s="159">
        <f t="shared" si="221"/>
        <v>5.8616104766588344E-2</v>
      </c>
      <c r="G498" s="159">
        <f t="shared" si="221"/>
        <v>5.5746452461203279E-2</v>
      </c>
      <c r="H498" s="159">
        <f t="shared" si="221"/>
        <v>1.385902091659735E-2</v>
      </c>
      <c r="I498" s="159">
        <f t="shared" si="221"/>
        <v>1.363998069321784E-2</v>
      </c>
      <c r="J498" s="159">
        <f t="shared" si="221"/>
        <v>0</v>
      </c>
      <c r="K498" s="79">
        <f t="shared" si="221"/>
        <v>1.4999999999999999E-2</v>
      </c>
      <c r="L498" s="79">
        <f t="shared" si="221"/>
        <v>1.4999999999999999E-2</v>
      </c>
      <c r="M498" s="79">
        <f t="shared" si="221"/>
        <v>1.4999999999999999E-2</v>
      </c>
      <c r="N498" s="79">
        <f t="shared" si="221"/>
        <v>1.4999999999999999E-2</v>
      </c>
      <c r="O498" s="79">
        <f t="shared" si="221"/>
        <v>1.4999999999999999E-2</v>
      </c>
    </row>
    <row r="499" spans="2:15" outlineLevel="1" x14ac:dyDescent="0.3">
      <c r="B499" s="3" t="s">
        <v>254</v>
      </c>
      <c r="E499" s="159">
        <f t="shared" ref="E499:O499" si="222">E53</f>
        <v>3.3842736015128334E-2</v>
      </c>
      <c r="F499" s="159">
        <f t="shared" si="222"/>
        <v>4.6004772052529008E-2</v>
      </c>
      <c r="G499" s="159">
        <f t="shared" si="222"/>
        <v>2.3919063356815019E-2</v>
      </c>
      <c r="H499" s="159">
        <f t="shared" si="222"/>
        <v>2.4200665435880789E-2</v>
      </c>
      <c r="I499" s="159">
        <f t="shared" si="222"/>
        <v>2.9093233494658022E-2</v>
      </c>
      <c r="J499" s="159">
        <f t="shared" si="222"/>
        <v>2.5465751147595483E-2</v>
      </c>
      <c r="K499" s="79">
        <f t="shared" si="222"/>
        <v>1.7000000000000001E-2</v>
      </c>
      <c r="L499" s="79">
        <f t="shared" si="222"/>
        <v>1.7000000000000001E-2</v>
      </c>
      <c r="M499" s="79">
        <f t="shared" si="222"/>
        <v>1.7000000000000001E-2</v>
      </c>
      <c r="N499" s="79">
        <f t="shared" si="222"/>
        <v>1.7000000000000001E-2</v>
      </c>
      <c r="O499" s="79">
        <f t="shared" si="222"/>
        <v>1.7000000000000001E-2</v>
      </c>
    </row>
    <row r="500" spans="2:15" outlineLevel="1" x14ac:dyDescent="0.3"/>
    <row r="501" spans="2:15" outlineLevel="1" x14ac:dyDescent="0.3">
      <c r="B501" s="3" t="s">
        <v>239</v>
      </c>
      <c r="E501" s="137">
        <f t="shared" ref="E501:J501" si="223">E297</f>
        <v>10260</v>
      </c>
      <c r="F501" s="137">
        <f t="shared" si="223"/>
        <v>8773</v>
      </c>
      <c r="G501" s="137">
        <f t="shared" si="223"/>
        <v>9613</v>
      </c>
      <c r="H501" s="137">
        <f t="shared" si="223"/>
        <v>11128</v>
      </c>
      <c r="I501" s="137">
        <f t="shared" si="223"/>
        <v>9822</v>
      </c>
      <c r="J501" s="137">
        <f t="shared" si="223"/>
        <v>10912</v>
      </c>
      <c r="K501" s="240">
        <f>K494*K503</f>
        <v>9830.7016810111581</v>
      </c>
      <c r="L501" s="240">
        <f>L494*L503</f>
        <v>10057.833903484201</v>
      </c>
      <c r="M501" s="240">
        <f>M494*M503</f>
        <v>10258.451522562616</v>
      </c>
      <c r="N501" s="240">
        <f>N494*N503</f>
        <v>10469.091936710085</v>
      </c>
      <c r="O501" s="240">
        <f>O494*O503</f>
        <v>10690.34644232037</v>
      </c>
    </row>
    <row r="502" spans="2:15" outlineLevel="1" x14ac:dyDescent="0.3">
      <c r="B502" s="3" t="s">
        <v>240</v>
      </c>
      <c r="E502" s="137">
        <f t="shared" ref="E502:J502" si="224">E301</f>
        <v>91807</v>
      </c>
      <c r="F502" s="137">
        <f t="shared" si="224"/>
        <v>98667</v>
      </c>
      <c r="G502" s="137">
        <f t="shared" si="224"/>
        <v>109106</v>
      </c>
      <c r="H502" s="137">
        <f t="shared" si="224"/>
        <v>98959</v>
      </c>
      <c r="I502" s="137">
        <f t="shared" si="224"/>
        <v>95281</v>
      </c>
      <c r="J502" s="137">
        <f t="shared" si="224"/>
        <v>85750</v>
      </c>
      <c r="K502" s="240">
        <f>K495*K503</f>
        <v>86102.579518988816</v>
      </c>
      <c r="L502" s="240">
        <f>L495*L503</f>
        <v>88091.925842515775</v>
      </c>
      <c r="M502" s="240">
        <f>M495*M503</f>
        <v>89849.042990417336</v>
      </c>
      <c r="N502" s="240">
        <f>N495*N503</f>
        <v>91693.945175179761</v>
      </c>
      <c r="O502" s="240">
        <f>O495*O503</f>
        <v>93631.811289054618</v>
      </c>
    </row>
    <row r="503" spans="2:15" outlineLevel="1" x14ac:dyDescent="0.3">
      <c r="B503" s="11" t="s">
        <v>252</v>
      </c>
      <c r="E503" s="12">
        <f t="shared" ref="E503:J503" si="225">SUM(E501:E502)</f>
        <v>102067</v>
      </c>
      <c r="F503" s="12">
        <f t="shared" si="225"/>
        <v>107440</v>
      </c>
      <c r="G503" s="12">
        <f t="shared" si="225"/>
        <v>118719</v>
      </c>
      <c r="H503" s="12">
        <f t="shared" si="225"/>
        <v>110087</v>
      </c>
      <c r="I503" s="12">
        <f t="shared" si="225"/>
        <v>105103</v>
      </c>
      <c r="J503" s="12">
        <f t="shared" si="225"/>
        <v>96662</v>
      </c>
      <c r="K503" s="12">
        <f>K496*K476</f>
        <v>95933.281199999983</v>
      </c>
      <c r="L503" s="12">
        <f t="shared" ref="L503:O503" si="226">L496*L476</f>
        <v>98149.759745999982</v>
      </c>
      <c r="M503" s="12">
        <f t="shared" si="226"/>
        <v>100107.49451297996</v>
      </c>
      <c r="N503" s="12">
        <f t="shared" si="226"/>
        <v>102163.03711188986</v>
      </c>
      <c r="O503" s="12">
        <f t="shared" si="226"/>
        <v>104322.157731375</v>
      </c>
    </row>
    <row r="504" spans="2:15" outlineLevel="1" x14ac:dyDescent="0.3"/>
    <row r="505" spans="2:15" outlineLevel="1" x14ac:dyDescent="0.3">
      <c r="B505" s="3" t="s">
        <v>93</v>
      </c>
      <c r="E505" s="10">
        <f t="shared" ref="E505:J506" si="227">E352</f>
        <v>6963</v>
      </c>
      <c r="F505" s="10">
        <f t="shared" si="227"/>
        <v>16091</v>
      </c>
      <c r="G505" s="10">
        <f t="shared" si="227"/>
        <v>20393</v>
      </c>
      <c r="H505" s="10">
        <f t="shared" si="227"/>
        <v>5465</v>
      </c>
      <c r="I505" s="10">
        <f t="shared" si="227"/>
        <v>5228</v>
      </c>
      <c r="J505" s="10">
        <f t="shared" si="227"/>
        <v>0</v>
      </c>
      <c r="K505" s="10">
        <f>K498*K476</f>
        <v>5995.8300749999989</v>
      </c>
      <c r="L505" s="10">
        <f>L498*L476</f>
        <v>6134.3599841249988</v>
      </c>
      <c r="M505" s="10">
        <f>M498*M476</f>
        <v>6256.7184070612475</v>
      </c>
      <c r="N505" s="10">
        <f>N498*N476</f>
        <v>6385.1898194931164</v>
      </c>
      <c r="O505" s="10">
        <f>O498*O476</f>
        <v>6520.1348582109376</v>
      </c>
    </row>
    <row r="506" spans="2:15" outlineLevel="1" x14ac:dyDescent="0.3">
      <c r="B506" s="3" t="s">
        <v>94</v>
      </c>
      <c r="E506" s="10">
        <f t="shared" si="227"/>
        <v>-8805</v>
      </c>
      <c r="F506" s="10">
        <f t="shared" si="227"/>
        <v>-12629</v>
      </c>
      <c r="G506" s="10">
        <f t="shared" si="227"/>
        <v>-8750</v>
      </c>
      <c r="H506" s="10">
        <f t="shared" si="227"/>
        <v>-9543</v>
      </c>
      <c r="I506" s="10">
        <f t="shared" si="227"/>
        <v>-11151</v>
      </c>
      <c r="J506" s="10">
        <f t="shared" si="227"/>
        <v>-9958</v>
      </c>
      <c r="K506" s="10">
        <f>-K499*K476</f>
        <v>-6795.274085</v>
      </c>
      <c r="L506" s="10">
        <f>-L499*L476</f>
        <v>-6952.2746486749993</v>
      </c>
      <c r="M506" s="10">
        <f>-M499*M476</f>
        <v>-7090.9475280027482</v>
      </c>
      <c r="N506" s="10">
        <f>-N499*N476</f>
        <v>-7236.5484620921989</v>
      </c>
      <c r="O506" s="10">
        <f>-O499*O476</f>
        <v>-7389.4861726390636</v>
      </c>
    </row>
    <row r="508" spans="2:15" x14ac:dyDescent="0.3">
      <c r="B508" s="278" t="s">
        <v>165</v>
      </c>
      <c r="C508" s="74"/>
      <c r="D508" s="74"/>
      <c r="E508" s="74"/>
      <c r="F508" s="74"/>
      <c r="G508" s="74"/>
      <c r="H508" s="74"/>
      <c r="I508" s="74"/>
      <c r="J508" s="74"/>
      <c r="K508" s="74"/>
      <c r="L508" s="74"/>
      <c r="M508" s="74"/>
      <c r="N508" s="74"/>
      <c r="O508" s="74"/>
    </row>
    <row r="509" spans="2:15" outlineLevel="1" x14ac:dyDescent="0.3"/>
    <row r="510" spans="2:15" ht="15" outlineLevel="1" thickBot="1" x14ac:dyDescent="0.35">
      <c r="B510" s="279" t="s">
        <v>127</v>
      </c>
      <c r="E510" s="78">
        <v>2019</v>
      </c>
      <c r="F510" s="78">
        <v>2020</v>
      </c>
      <c r="G510" s="78">
        <v>2021</v>
      </c>
      <c r="H510" s="78">
        <v>2022</v>
      </c>
      <c r="I510" s="78">
        <v>2023</v>
      </c>
      <c r="J510" s="78">
        <v>2024</v>
      </c>
      <c r="K510" s="131">
        <f>J510+1</f>
        <v>2025</v>
      </c>
      <c r="L510" s="131">
        <f>K510+1</f>
        <v>2026</v>
      </c>
      <c r="M510" s="131">
        <f>L510+1</f>
        <v>2027</v>
      </c>
      <c r="N510" s="131">
        <f>M510+1</f>
        <v>2028</v>
      </c>
      <c r="O510" s="131">
        <f>N510+1</f>
        <v>2029</v>
      </c>
    </row>
    <row r="511" spans="2:15" outlineLevel="1" x14ac:dyDescent="0.3"/>
    <row r="512" spans="2:15" outlineLevel="1" x14ac:dyDescent="0.3">
      <c r="B512" s="67" t="s">
        <v>96</v>
      </c>
      <c r="C512" s="68"/>
      <c r="D512" s="68"/>
      <c r="E512" s="185">
        <f t="shared" ref="E512:O512" si="228">E247</f>
        <v>260174</v>
      </c>
      <c r="F512" s="185">
        <f t="shared" si="228"/>
        <v>274515</v>
      </c>
      <c r="G512" s="185">
        <f t="shared" si="228"/>
        <v>365817</v>
      </c>
      <c r="H512" s="185">
        <f t="shared" si="228"/>
        <v>394328</v>
      </c>
      <c r="I512" s="185">
        <f t="shared" si="228"/>
        <v>383285</v>
      </c>
      <c r="J512" s="185">
        <f t="shared" si="228"/>
        <v>391035</v>
      </c>
      <c r="K512" s="185">
        <f t="shared" si="228"/>
        <v>399722.00499999995</v>
      </c>
      <c r="L512" s="185">
        <f t="shared" si="228"/>
        <v>408957.33227499994</v>
      </c>
      <c r="M512" s="185">
        <f t="shared" si="228"/>
        <v>417114.56047074986</v>
      </c>
      <c r="N512" s="185">
        <f t="shared" si="228"/>
        <v>425679.3212995411</v>
      </c>
      <c r="O512" s="69">
        <f t="shared" si="228"/>
        <v>434675.65721406252</v>
      </c>
    </row>
    <row r="513" spans="2:15" outlineLevel="1" x14ac:dyDescent="0.3">
      <c r="B513" s="122" t="s">
        <v>182</v>
      </c>
      <c r="E513" s="191"/>
      <c r="F513" s="241">
        <f>F529/F512</f>
        <v>3.3510008560552244E-2</v>
      </c>
      <c r="G513" s="241">
        <f>G529/G512</f>
        <v>2.9927532072046951E-2</v>
      </c>
      <c r="H513" s="241">
        <f>H529/H512</f>
        <v>2.8831328234363272E-2</v>
      </c>
      <c r="I513" s="241">
        <f>I529/I512</f>
        <v>3.046297141813533E-2</v>
      </c>
      <c r="J513" s="241">
        <f>J529/J512</f>
        <v>2.890534095413454E-2</v>
      </c>
      <c r="K513" s="242">
        <v>0.03</v>
      </c>
      <c r="L513" s="242">
        <v>0.03</v>
      </c>
      <c r="M513" s="242">
        <v>0.03</v>
      </c>
      <c r="N513" s="242">
        <v>0.03</v>
      </c>
      <c r="O513" s="243">
        <v>0.03</v>
      </c>
    </row>
    <row r="514" spans="2:15" outlineLevel="1" x14ac:dyDescent="0.3">
      <c r="B514" s="122" t="s">
        <v>183</v>
      </c>
      <c r="E514" s="191"/>
      <c r="F514" s="241">
        <f>F539/F512</f>
        <v>3.3444438373130797E-2</v>
      </c>
      <c r="G514" s="241">
        <f>G539/G512</f>
        <v>3.135447505173352E-2</v>
      </c>
      <c r="H514" s="241">
        <f>H539/H512</f>
        <v>2.908746018542939E-2</v>
      </c>
      <c r="I514" s="241">
        <f>I539/I512</f>
        <v>3.083345291362824E-2</v>
      </c>
      <c r="J514" s="241">
        <f>J539/J512</f>
        <v>2.9496080913473218E-2</v>
      </c>
      <c r="K514" s="242">
        <v>0.03</v>
      </c>
      <c r="L514" s="242">
        <v>0.03</v>
      </c>
      <c r="M514" s="242">
        <v>0.03</v>
      </c>
      <c r="N514" s="242">
        <v>0.03</v>
      </c>
      <c r="O514" s="243">
        <v>0.03</v>
      </c>
    </row>
    <row r="515" spans="2:15" outlineLevel="1" x14ac:dyDescent="0.3">
      <c r="B515" s="70" t="s">
        <v>185</v>
      </c>
      <c r="C515" s="57"/>
      <c r="D515" s="57"/>
      <c r="E515" s="188"/>
      <c r="F515" s="244">
        <f>F534/F512</f>
        <v>2.4078829936433348E-3</v>
      </c>
      <c r="G515" s="244">
        <f>G534/G512</f>
        <v>2.5723244135729068E-3</v>
      </c>
      <c r="H515" s="244">
        <f>H534/H512</f>
        <v>2.386338276764521E-3</v>
      </c>
      <c r="I515" s="244">
        <f>I534/I512</f>
        <v>2.6716412069347872E-3</v>
      </c>
      <c r="J515" s="244">
        <f>J534/J512</f>
        <v>2.291354993798509E-3</v>
      </c>
      <c r="K515" s="245">
        <v>2E-3</v>
      </c>
      <c r="L515" s="245">
        <v>2E-3</v>
      </c>
      <c r="M515" s="245">
        <v>2E-3</v>
      </c>
      <c r="N515" s="245">
        <v>2E-3</v>
      </c>
      <c r="O515" s="246">
        <v>2E-3</v>
      </c>
    </row>
    <row r="516" spans="2:15" outlineLevel="1" x14ac:dyDescent="0.3"/>
    <row r="517" spans="2:15" outlineLevel="1" x14ac:dyDescent="0.3">
      <c r="B517" s="67" t="s">
        <v>176</v>
      </c>
      <c r="C517" s="68"/>
      <c r="D517" s="68"/>
      <c r="E517" s="247"/>
      <c r="F517" s="248">
        <f>F527/F529</f>
        <v>0.93162300250027175</v>
      </c>
      <c r="G517" s="248">
        <f>G527/G529</f>
        <v>0.92135549872122757</v>
      </c>
      <c r="H517" s="248">
        <f>H527/H529</f>
        <v>0.91626352361685282</v>
      </c>
      <c r="I517" s="248">
        <f>I527/I529</f>
        <v>0.91306954436450838</v>
      </c>
      <c r="J517" s="248">
        <f>J527/J529</f>
        <v>0.90542333893656546</v>
      </c>
      <c r="K517" s="249">
        <v>0.91</v>
      </c>
      <c r="L517" s="249">
        <v>0.91</v>
      </c>
      <c r="M517" s="249">
        <v>0.91</v>
      </c>
      <c r="N517" s="249">
        <v>0.91</v>
      </c>
      <c r="O517" s="250">
        <v>0.91</v>
      </c>
    </row>
    <row r="518" spans="2:15" outlineLevel="1" x14ac:dyDescent="0.3">
      <c r="B518" s="122" t="s">
        <v>177</v>
      </c>
      <c r="E518" s="251"/>
      <c r="F518" s="241">
        <f>F528/F529</f>
        <v>6.8376997499728226E-2</v>
      </c>
      <c r="G518" s="241">
        <f>G528/G529</f>
        <v>7.8644501278772372E-2</v>
      </c>
      <c r="H518" s="241">
        <f>H528/H529</f>
        <v>8.3736476383147157E-2</v>
      </c>
      <c r="I518" s="241">
        <f>I528/I529</f>
        <v>8.6930455635491607E-2</v>
      </c>
      <c r="J518" s="241">
        <f>J528/J529</f>
        <v>9.4576661063434486E-2</v>
      </c>
      <c r="K518" s="252">
        <v>0.09</v>
      </c>
      <c r="L518" s="252">
        <v>0.09</v>
      </c>
      <c r="M518" s="252">
        <v>0.09</v>
      </c>
      <c r="N518" s="252">
        <v>0.09</v>
      </c>
      <c r="O518" s="253">
        <v>0.09</v>
      </c>
    </row>
    <row r="519" spans="2:15" outlineLevel="1" x14ac:dyDescent="0.3">
      <c r="B519" s="254"/>
      <c r="E519" s="251"/>
      <c r="F519" s="251"/>
      <c r="G519" s="251"/>
      <c r="H519" s="251"/>
      <c r="I519" s="251"/>
      <c r="J519" s="251"/>
      <c r="K519" s="251"/>
      <c r="L519" s="251"/>
      <c r="M519" s="251"/>
      <c r="N519" s="251"/>
      <c r="O519" s="255"/>
    </row>
    <row r="520" spans="2:15" outlineLevel="1" x14ac:dyDescent="0.3">
      <c r="B520" s="122" t="s">
        <v>180</v>
      </c>
      <c r="E520" s="251"/>
      <c r="F520" s="241">
        <f>F532/F534</f>
        <v>3.6308623298033284E-2</v>
      </c>
      <c r="G520" s="241">
        <f>G532/G534</f>
        <v>0.13708820403825717</v>
      </c>
      <c r="H520" s="241">
        <f>H532/H534</f>
        <v>0.13708820403825717</v>
      </c>
      <c r="I520" s="241">
        <f>I532/I534</f>
        <v>0.1611328125</v>
      </c>
      <c r="J520" s="241">
        <f>J532/J534</f>
        <v>0.16071428571428573</v>
      </c>
      <c r="K520" s="252">
        <v>0.16</v>
      </c>
      <c r="L520" s="252">
        <v>0.16</v>
      </c>
      <c r="M520" s="252">
        <v>0.16</v>
      </c>
      <c r="N520" s="252">
        <v>0.16</v>
      </c>
      <c r="O520" s="253">
        <v>0.16</v>
      </c>
    </row>
    <row r="521" spans="2:15" outlineLevel="1" x14ac:dyDescent="0.3">
      <c r="B521" s="122" t="s">
        <v>181</v>
      </c>
      <c r="E521" s="251"/>
      <c r="F521" s="241">
        <f>F533/F534</f>
        <v>0.9636913767019667</v>
      </c>
      <c r="G521" s="241">
        <f>G533/G534</f>
        <v>0.86291179596174283</v>
      </c>
      <c r="H521" s="241">
        <f>H533/H534</f>
        <v>0.86291179596174283</v>
      </c>
      <c r="I521" s="241">
        <f>I533/I534</f>
        <v>0.8388671875</v>
      </c>
      <c r="J521" s="241">
        <f>J533/J534</f>
        <v>0.8392857142857143</v>
      </c>
      <c r="K521" s="252">
        <v>0.84</v>
      </c>
      <c r="L521" s="252">
        <v>0.84</v>
      </c>
      <c r="M521" s="252">
        <v>0.84</v>
      </c>
      <c r="N521" s="252">
        <v>0.84</v>
      </c>
      <c r="O521" s="253">
        <v>0.84</v>
      </c>
    </row>
    <row r="522" spans="2:15" outlineLevel="1" x14ac:dyDescent="0.3">
      <c r="B522" s="254"/>
      <c r="E522" s="251"/>
      <c r="F522" s="251"/>
      <c r="G522" s="251"/>
      <c r="H522" s="251"/>
      <c r="I522" s="251"/>
      <c r="J522" s="251"/>
      <c r="K522" s="251"/>
      <c r="L522" s="251"/>
      <c r="M522" s="251"/>
      <c r="N522" s="251"/>
      <c r="O522" s="255"/>
    </row>
    <row r="523" spans="2:15" outlineLevel="1" x14ac:dyDescent="0.3">
      <c r="B523" s="122" t="s">
        <v>178</v>
      </c>
      <c r="E523" s="251"/>
      <c r="F523" s="241">
        <f>F537/F539</f>
        <v>0.15640997712667465</v>
      </c>
      <c r="G523" s="241">
        <f>G537/G539</f>
        <v>0.13374019180470795</v>
      </c>
      <c r="H523" s="241">
        <f>H537/H539</f>
        <v>0.13374019180470795</v>
      </c>
      <c r="I523" s="241">
        <f>I537/I539</f>
        <v>0.11930952783888983</v>
      </c>
      <c r="J523" s="241">
        <f>J537/J539</f>
        <v>0.12900988382174441</v>
      </c>
      <c r="K523" s="252">
        <v>0.13</v>
      </c>
      <c r="L523" s="252">
        <v>0.13</v>
      </c>
      <c r="M523" s="252">
        <v>0.13</v>
      </c>
      <c r="N523" s="252">
        <v>0.13</v>
      </c>
      <c r="O523" s="253">
        <v>0.13</v>
      </c>
    </row>
    <row r="524" spans="2:15" outlineLevel="1" x14ac:dyDescent="0.3">
      <c r="B524" s="70" t="s">
        <v>179</v>
      </c>
      <c r="C524" s="57"/>
      <c r="D524" s="57"/>
      <c r="E524" s="256"/>
      <c r="F524" s="257">
        <f>F538/F539</f>
        <v>0.8435900228733253</v>
      </c>
      <c r="G524" s="257">
        <f>G538/G539</f>
        <v>0.86625980819529202</v>
      </c>
      <c r="H524" s="257">
        <f>H538/H539</f>
        <v>0.86625980819529202</v>
      </c>
      <c r="I524" s="257">
        <f>I538/I539</f>
        <v>0.88069047216111018</v>
      </c>
      <c r="J524" s="257">
        <f>J538/J539</f>
        <v>0.87099011617825561</v>
      </c>
      <c r="K524" s="258">
        <v>0.87</v>
      </c>
      <c r="L524" s="258">
        <v>0.87</v>
      </c>
      <c r="M524" s="258">
        <v>0.87</v>
      </c>
      <c r="N524" s="258">
        <v>0.87</v>
      </c>
      <c r="O524" s="259">
        <v>0.87</v>
      </c>
    </row>
    <row r="525" spans="2:15" outlineLevel="1" x14ac:dyDescent="0.3"/>
    <row r="526" spans="2:15" outlineLevel="1" x14ac:dyDescent="0.3">
      <c r="B526" s="8" t="s">
        <v>164</v>
      </c>
    </row>
    <row r="527" spans="2:15" outlineLevel="1" x14ac:dyDescent="0.3">
      <c r="B527" s="3" t="s">
        <v>170</v>
      </c>
      <c r="F527" s="10">
        <v>8570</v>
      </c>
      <c r="G527" s="10">
        <v>10087</v>
      </c>
      <c r="H527" s="10">
        <v>10417</v>
      </c>
      <c r="I527" s="10">
        <v>10661</v>
      </c>
      <c r="J527" s="10">
        <v>10234</v>
      </c>
      <c r="K527" s="10">
        <f>K517*K529</f>
        <v>10912.410736499998</v>
      </c>
      <c r="L527" s="10">
        <f>L517*L529</f>
        <v>11164.535171107498</v>
      </c>
      <c r="M527" s="10">
        <f>M517*M529</f>
        <v>11387.227500851472</v>
      </c>
      <c r="N527" s="10">
        <f>N517*N529</f>
        <v>11621.045471477471</v>
      </c>
      <c r="O527" s="10">
        <f>O517*O529</f>
        <v>11866.645441943907</v>
      </c>
    </row>
    <row r="528" spans="2:15" outlineLevel="1" x14ac:dyDescent="0.3">
      <c r="B528" s="3" t="s">
        <v>174</v>
      </c>
      <c r="F528" s="10">
        <v>629</v>
      </c>
      <c r="G528" s="10">
        <v>861</v>
      </c>
      <c r="H528" s="10">
        <v>952</v>
      </c>
      <c r="I528" s="10">
        <v>1015</v>
      </c>
      <c r="J528" s="10">
        <v>1069</v>
      </c>
      <c r="K528" s="10">
        <f>K518*K529</f>
        <v>1079.2494134999997</v>
      </c>
      <c r="L528" s="10">
        <f>L518*L529</f>
        <v>1104.1847971424997</v>
      </c>
      <c r="M528" s="10">
        <f>M518*M529</f>
        <v>1126.2093132710245</v>
      </c>
      <c r="N528" s="10">
        <f>N518*N529</f>
        <v>1149.3341675087609</v>
      </c>
      <c r="O528" s="10">
        <f>O518*O529</f>
        <v>1173.6242744779688</v>
      </c>
    </row>
    <row r="529" spans="2:15" outlineLevel="1" x14ac:dyDescent="0.3">
      <c r="B529" s="11" t="s">
        <v>175</v>
      </c>
      <c r="F529" s="12">
        <f>SUM(F527:F528)</f>
        <v>9199</v>
      </c>
      <c r="G529" s="12">
        <f>SUM(G527:G528)</f>
        <v>10948</v>
      </c>
      <c r="H529" s="12">
        <f>SUM(H527:H528)</f>
        <v>11369</v>
      </c>
      <c r="I529" s="12">
        <f>SUM(I527:I528)</f>
        <v>11676</v>
      </c>
      <c r="J529" s="12">
        <f>SUM(J527:J528)</f>
        <v>11303</v>
      </c>
      <c r="K529" s="13">
        <f>K513*K512</f>
        <v>11991.660149999998</v>
      </c>
      <c r="L529" s="13">
        <f>L513*L512</f>
        <v>12268.719968249998</v>
      </c>
      <c r="M529" s="13">
        <f>M513*M512</f>
        <v>12513.436814122495</v>
      </c>
      <c r="N529" s="13">
        <f>N513*N512</f>
        <v>12770.379638986233</v>
      </c>
      <c r="O529" s="13">
        <f>O513*O512</f>
        <v>13040.269716421875</v>
      </c>
    </row>
    <row r="530" spans="2:15" outlineLevel="1" x14ac:dyDescent="0.3">
      <c r="B530" s="11"/>
      <c r="F530" s="14"/>
      <c r="G530" s="14"/>
      <c r="H530" s="14"/>
      <c r="I530" s="14"/>
      <c r="J530" s="14"/>
      <c r="K530" s="15"/>
      <c r="L530" s="15"/>
      <c r="M530" s="15"/>
      <c r="N530" s="15"/>
      <c r="O530" s="15"/>
    </row>
    <row r="531" spans="2:15" outlineLevel="1" x14ac:dyDescent="0.3">
      <c r="B531" s="8" t="s">
        <v>173</v>
      </c>
    </row>
    <row r="532" spans="2:15" outlineLevel="1" x14ac:dyDescent="0.3">
      <c r="B532" s="3" t="s">
        <v>168</v>
      </c>
      <c r="F532" s="10">
        <v>24</v>
      </c>
      <c r="G532" s="10">
        <v>129</v>
      </c>
      <c r="H532" s="10">
        <v>129</v>
      </c>
      <c r="I532" s="10">
        <v>165</v>
      </c>
      <c r="J532" s="10">
        <v>144</v>
      </c>
      <c r="K532" s="10">
        <f>K520*K534</f>
        <v>127.91104159999999</v>
      </c>
      <c r="L532" s="10">
        <f>L520*L534</f>
        <v>130.86634632799999</v>
      </c>
      <c r="M532" s="10">
        <f>M520*M534</f>
        <v>133.47665935063998</v>
      </c>
      <c r="N532" s="10">
        <f>N520*N534</f>
        <v>136.21738281585317</v>
      </c>
      <c r="O532" s="10">
        <f>O520*O534</f>
        <v>139.09621030850002</v>
      </c>
    </row>
    <row r="533" spans="2:15" outlineLevel="1" x14ac:dyDescent="0.3">
      <c r="B533" s="3" t="s">
        <v>169</v>
      </c>
      <c r="F533" s="10">
        <v>637</v>
      </c>
      <c r="G533" s="10">
        <v>812</v>
      </c>
      <c r="H533" s="10">
        <v>812</v>
      </c>
      <c r="I533" s="10">
        <v>859</v>
      </c>
      <c r="J533" s="10">
        <v>752</v>
      </c>
      <c r="K533" s="10">
        <f>K521*K534</f>
        <v>671.53296839999996</v>
      </c>
      <c r="L533" s="10">
        <f>L521*L534</f>
        <v>687.04831822199992</v>
      </c>
      <c r="M533" s="10">
        <f>M521*M534</f>
        <v>700.75246159085975</v>
      </c>
      <c r="N533" s="10">
        <f>N521*N534</f>
        <v>715.14125978322909</v>
      </c>
      <c r="O533" s="10">
        <f>O521*O534</f>
        <v>730.255104119625</v>
      </c>
    </row>
    <row r="534" spans="2:15" outlineLevel="1" x14ac:dyDescent="0.3">
      <c r="B534" s="11" t="s">
        <v>184</v>
      </c>
      <c r="F534" s="12">
        <f>SUM(F532:F533)</f>
        <v>661</v>
      </c>
      <c r="G534" s="12">
        <f>SUM(G532:G533)</f>
        <v>941</v>
      </c>
      <c r="H534" s="12">
        <f>SUM(H532:H533)</f>
        <v>941</v>
      </c>
      <c r="I534" s="12">
        <f>SUM(I532:I533)</f>
        <v>1024</v>
      </c>
      <c r="J534" s="12">
        <f>SUM(J532:J533)</f>
        <v>896</v>
      </c>
      <c r="K534" s="13">
        <f>K515*K512</f>
        <v>799.44400999999993</v>
      </c>
      <c r="L534" s="13">
        <f>L515*L512</f>
        <v>817.91466454999988</v>
      </c>
      <c r="M534" s="13">
        <f>M515*M512</f>
        <v>834.22912094149979</v>
      </c>
      <c r="N534" s="13">
        <f>N515*N512</f>
        <v>851.35864259908226</v>
      </c>
      <c r="O534" s="13">
        <f>O515*O512</f>
        <v>869.35131442812508</v>
      </c>
    </row>
    <row r="535" spans="2:15" outlineLevel="1" x14ac:dyDescent="0.3"/>
    <row r="536" spans="2:15" outlineLevel="1" x14ac:dyDescent="0.3">
      <c r="B536" s="8" t="s">
        <v>172</v>
      </c>
      <c r="F536" s="10"/>
      <c r="G536" s="10"/>
      <c r="H536" s="10"/>
      <c r="I536" s="10"/>
      <c r="J536" s="10"/>
    </row>
    <row r="537" spans="2:15" outlineLevel="1" x14ac:dyDescent="0.3">
      <c r="B537" s="3" t="s">
        <v>166</v>
      </c>
      <c r="F537" s="10">
        <v>1436</v>
      </c>
      <c r="G537" s="10">
        <v>1534</v>
      </c>
      <c r="H537" s="10">
        <v>1534</v>
      </c>
      <c r="I537" s="10">
        <v>1410</v>
      </c>
      <c r="J537" s="10">
        <v>1488</v>
      </c>
      <c r="K537" s="10">
        <f>K523*K539</f>
        <v>1558.9158194999998</v>
      </c>
      <c r="L537" s="10">
        <f>L523*L539</f>
        <v>1594.9335958724998</v>
      </c>
      <c r="M537" s="10">
        <f>M523*M539</f>
        <v>1626.7467858359244</v>
      </c>
      <c r="N537" s="10">
        <f>N523*N539</f>
        <v>1660.1493530682103</v>
      </c>
      <c r="O537" s="10">
        <f>O523*O539</f>
        <v>1695.2350631348438</v>
      </c>
    </row>
    <row r="538" spans="2:15" outlineLevel="1" x14ac:dyDescent="0.3">
      <c r="B538" s="3" t="s">
        <v>167</v>
      </c>
      <c r="F538" s="10">
        <v>7745</v>
      </c>
      <c r="G538" s="10">
        <v>9936</v>
      </c>
      <c r="H538" s="10">
        <v>9936</v>
      </c>
      <c r="I538" s="10">
        <v>10408</v>
      </c>
      <c r="J538" s="10">
        <v>10046</v>
      </c>
      <c r="K538" s="10">
        <f>K524*K539</f>
        <v>10432.744330499998</v>
      </c>
      <c r="L538" s="10">
        <f>L524*L539</f>
        <v>10673.786372377497</v>
      </c>
      <c r="M538" s="10">
        <f>M524*M539</f>
        <v>10886.69002828657</v>
      </c>
      <c r="N538" s="10">
        <f>N524*N539</f>
        <v>11110.230285918022</v>
      </c>
      <c r="O538" s="10">
        <f>O524*O539</f>
        <v>11345.034653287032</v>
      </c>
    </row>
    <row r="539" spans="2:15" outlineLevel="1" x14ac:dyDescent="0.3">
      <c r="B539" s="11" t="s">
        <v>171</v>
      </c>
      <c r="F539" s="12">
        <f>SUM(F537:F538)</f>
        <v>9181</v>
      </c>
      <c r="G539" s="12">
        <f>SUM(G537:G538)</f>
        <v>11470</v>
      </c>
      <c r="H539" s="12">
        <f>SUM(H537:H538)</f>
        <v>11470</v>
      </c>
      <c r="I539" s="12">
        <f>SUM(I537:I538)</f>
        <v>11818</v>
      </c>
      <c r="J539" s="12">
        <f>SUM(J537:J538)</f>
        <v>11534</v>
      </c>
      <c r="K539" s="13">
        <f>K514*K512</f>
        <v>11991.660149999998</v>
      </c>
      <c r="L539" s="13">
        <f>L514*L512</f>
        <v>12268.719968249998</v>
      </c>
      <c r="M539" s="13">
        <f>M514*M512</f>
        <v>12513.436814122495</v>
      </c>
      <c r="N539" s="13">
        <f>N514*N512</f>
        <v>12770.379638986233</v>
      </c>
      <c r="O539" s="13">
        <f>O514*O512</f>
        <v>13040.269716421875</v>
      </c>
    </row>
    <row r="540" spans="2:15" outlineLevel="1" x14ac:dyDescent="0.3"/>
    <row r="542" spans="2:15" x14ac:dyDescent="0.3">
      <c r="B542" s="278" t="s">
        <v>186</v>
      </c>
      <c r="C542" s="74"/>
      <c r="D542" s="74"/>
      <c r="E542" s="74"/>
      <c r="F542" s="74"/>
      <c r="G542" s="74"/>
      <c r="H542" s="74"/>
      <c r="I542" s="74"/>
      <c r="J542" s="74"/>
      <c r="K542" s="74"/>
      <c r="L542" s="74"/>
      <c r="M542" s="74"/>
      <c r="N542" s="74"/>
      <c r="O542" s="74"/>
    </row>
    <row r="543" spans="2:15" outlineLevel="1" x14ac:dyDescent="0.3"/>
    <row r="544" spans="2:15" ht="15" outlineLevel="1" thickBot="1" x14ac:dyDescent="0.35">
      <c r="B544" s="279" t="s">
        <v>127</v>
      </c>
      <c r="E544" s="78">
        <v>2019</v>
      </c>
      <c r="F544" s="78">
        <v>2020</v>
      </c>
      <c r="G544" s="78">
        <v>2021</v>
      </c>
      <c r="H544" s="78">
        <v>2022</v>
      </c>
      <c r="I544" s="78">
        <v>2023</v>
      </c>
      <c r="J544" s="78">
        <v>2024</v>
      </c>
      <c r="K544" s="131">
        <f>J544+1</f>
        <v>2025</v>
      </c>
      <c r="L544" s="131">
        <f>K544+1</f>
        <v>2026</v>
      </c>
      <c r="M544" s="131">
        <f>L544+1</f>
        <v>2027</v>
      </c>
      <c r="N544" s="131">
        <f>M544+1</f>
        <v>2028</v>
      </c>
      <c r="O544" s="131">
        <f>N544+1</f>
        <v>2029</v>
      </c>
    </row>
    <row r="545" spans="2:15" outlineLevel="1" x14ac:dyDescent="0.3"/>
    <row r="546" spans="2:15" outlineLevel="1" x14ac:dyDescent="0.3">
      <c r="B546" s="3" t="s">
        <v>96</v>
      </c>
      <c r="E546" s="10">
        <f t="shared" ref="E546:O546" si="229">E247</f>
        <v>260174</v>
      </c>
      <c r="F546" s="10">
        <f t="shared" si="229"/>
        <v>274515</v>
      </c>
      <c r="G546" s="10">
        <f t="shared" si="229"/>
        <v>365817</v>
      </c>
      <c r="H546" s="10">
        <f t="shared" si="229"/>
        <v>394328</v>
      </c>
      <c r="I546" s="10">
        <f t="shared" si="229"/>
        <v>383285</v>
      </c>
      <c r="J546" s="10">
        <f t="shared" si="229"/>
        <v>391035</v>
      </c>
      <c r="K546" s="10">
        <f t="shared" si="229"/>
        <v>399722.00499999995</v>
      </c>
      <c r="L546" s="10">
        <f t="shared" si="229"/>
        <v>408957.33227499994</v>
      </c>
      <c r="M546" s="10">
        <f t="shared" si="229"/>
        <v>417114.56047074986</v>
      </c>
      <c r="N546" s="10">
        <f t="shared" si="229"/>
        <v>425679.3212995411</v>
      </c>
      <c r="O546" s="10">
        <f t="shared" si="229"/>
        <v>434675.65721406252</v>
      </c>
    </row>
    <row r="547" spans="2:15" outlineLevel="1" x14ac:dyDescent="0.3">
      <c r="B547" s="3" t="s">
        <v>209</v>
      </c>
      <c r="E547" s="10">
        <f t="shared" ref="E547:O547" si="230">E259</f>
        <v>34462</v>
      </c>
      <c r="F547" s="10">
        <f t="shared" si="230"/>
        <v>38668</v>
      </c>
      <c r="G547" s="10">
        <f t="shared" si="230"/>
        <v>43887</v>
      </c>
      <c r="H547" s="10">
        <f t="shared" si="230"/>
        <v>51345</v>
      </c>
      <c r="I547" s="10">
        <f t="shared" si="230"/>
        <v>54847</v>
      </c>
      <c r="J547" s="10">
        <f t="shared" si="230"/>
        <v>57467</v>
      </c>
      <c r="K547" s="10">
        <f t="shared" si="230"/>
        <v>56760.524709999991</v>
      </c>
      <c r="L547" s="10">
        <f t="shared" si="230"/>
        <v>58071.941183049988</v>
      </c>
      <c r="M547" s="10">
        <f t="shared" si="230"/>
        <v>59230.267586846487</v>
      </c>
      <c r="N547" s="10">
        <f t="shared" si="230"/>
        <v>60446.463624534837</v>
      </c>
      <c r="O547" s="10">
        <f t="shared" si="230"/>
        <v>61723.943324396882</v>
      </c>
    </row>
    <row r="548" spans="2:15" outlineLevel="1" x14ac:dyDescent="0.3">
      <c r="B548" s="3" t="s">
        <v>187</v>
      </c>
      <c r="E548" s="10">
        <f t="shared" ref="E548:O548" si="231">E267</f>
        <v>55256</v>
      </c>
      <c r="F548" s="10">
        <f t="shared" si="231"/>
        <v>57411</v>
      </c>
      <c r="G548" s="10">
        <f t="shared" si="231"/>
        <v>94680</v>
      </c>
      <c r="H548" s="10">
        <f t="shared" si="231"/>
        <v>99803</v>
      </c>
      <c r="I548" s="10">
        <f t="shared" si="231"/>
        <v>96995</v>
      </c>
      <c r="J548" s="10">
        <f t="shared" si="231"/>
        <v>93736</v>
      </c>
      <c r="K548" s="10">
        <f t="shared" si="231"/>
        <v>108413.66522279996</v>
      </c>
      <c r="L548" s="10">
        <f t="shared" si="231"/>
        <v>112554.40830299402</v>
      </c>
      <c r="M548" s="10">
        <f t="shared" si="231"/>
        <v>116156.77527072294</v>
      </c>
      <c r="N548" s="10">
        <f t="shared" si="231"/>
        <v>119959.52976886342</v>
      </c>
      <c r="O548" s="10">
        <f t="shared" si="231"/>
        <v>123974.61627680177</v>
      </c>
    </row>
    <row r="549" spans="2:15" outlineLevel="1" x14ac:dyDescent="0.3">
      <c r="B549" s="3"/>
      <c r="E549" s="10"/>
      <c r="F549" s="10"/>
      <c r="G549" s="10"/>
      <c r="H549" s="10"/>
      <c r="I549" s="10"/>
      <c r="J549" s="10"/>
      <c r="K549" s="10"/>
      <c r="L549" s="10"/>
      <c r="M549" s="10"/>
      <c r="N549" s="10"/>
      <c r="O549" s="10"/>
    </row>
    <row r="550" spans="2:15" outlineLevel="1" x14ac:dyDescent="0.3">
      <c r="B550" s="8" t="s">
        <v>189</v>
      </c>
    </row>
    <row r="551" spans="2:15" outlineLevel="1" x14ac:dyDescent="0.3">
      <c r="B551" s="8"/>
    </row>
    <row r="552" spans="2:15" outlineLevel="1" x14ac:dyDescent="0.3">
      <c r="B552" s="67" t="s">
        <v>188</v>
      </c>
      <c r="C552" s="68"/>
      <c r="D552" s="68"/>
      <c r="E552" s="260">
        <f t="shared" ref="E552:O552" si="232">E48</f>
        <v>3.0018372320062725E-3</v>
      </c>
      <c r="F552" s="260">
        <f t="shared" si="232"/>
        <v>3.2056536072710053E-3</v>
      </c>
      <c r="G552" s="260">
        <f t="shared" si="232"/>
        <v>3.0206360010606396E-3</v>
      </c>
      <c r="H552" s="260">
        <f t="shared" si="232"/>
        <v>0</v>
      </c>
      <c r="I552" s="260">
        <f t="shared" si="232"/>
        <v>0</v>
      </c>
      <c r="J552" s="260">
        <f t="shared" si="232"/>
        <v>0</v>
      </c>
      <c r="K552" s="260">
        <f t="shared" si="232"/>
        <v>0</v>
      </c>
      <c r="L552" s="260">
        <f t="shared" si="232"/>
        <v>0</v>
      </c>
      <c r="M552" s="260">
        <f t="shared" si="232"/>
        <v>0</v>
      </c>
      <c r="N552" s="260">
        <f t="shared" si="232"/>
        <v>0</v>
      </c>
      <c r="O552" s="81">
        <f t="shared" si="232"/>
        <v>0</v>
      </c>
    </row>
    <row r="553" spans="2:15" outlineLevel="1" x14ac:dyDescent="0.3">
      <c r="B553" s="122" t="s">
        <v>210</v>
      </c>
      <c r="E553" s="159">
        <f t="shared" ref="E553:O553" si="233">E49</f>
        <v>0.46423862887277523</v>
      </c>
      <c r="F553" s="159">
        <f t="shared" si="233"/>
        <v>0.53214233416312784</v>
      </c>
      <c r="G553" s="159">
        <f t="shared" si="233"/>
        <v>0.82924361244624334</v>
      </c>
      <c r="H553" s="159">
        <f t="shared" si="233"/>
        <v>0.68853728701040051</v>
      </c>
      <c r="I553" s="159">
        <f t="shared" si="233"/>
        <v>0.50133850272316072</v>
      </c>
      <c r="J553" s="159">
        <f t="shared" si="233"/>
        <v>0.4655201916495551</v>
      </c>
      <c r="K553" s="159">
        <f t="shared" si="233"/>
        <v>0.5</v>
      </c>
      <c r="L553" s="159">
        <f t="shared" si="233"/>
        <v>0.5</v>
      </c>
      <c r="M553" s="159">
        <f t="shared" si="233"/>
        <v>0.5</v>
      </c>
      <c r="N553" s="159">
        <f t="shared" si="233"/>
        <v>0.5</v>
      </c>
      <c r="O553" s="84">
        <f t="shared" si="233"/>
        <v>0.5</v>
      </c>
    </row>
    <row r="554" spans="2:15" outlineLevel="1" x14ac:dyDescent="0.3">
      <c r="B554" s="122" t="s">
        <v>219</v>
      </c>
      <c r="E554" s="159">
        <f t="shared" ref="E554:O554" si="234">E50</f>
        <v>0.25551976255972203</v>
      </c>
      <c r="F554" s="159">
        <f t="shared" si="234"/>
        <v>0.24526658654264863</v>
      </c>
      <c r="G554" s="159">
        <f t="shared" si="234"/>
        <v>0.15279890156316012</v>
      </c>
      <c r="H554" s="159">
        <f t="shared" si="234"/>
        <v>0.14870294480125848</v>
      </c>
      <c r="I554" s="159">
        <f t="shared" si="234"/>
        <v>0.1549048920047425</v>
      </c>
      <c r="J554" s="159">
        <f t="shared" si="234"/>
        <v>0.16252026969360758</v>
      </c>
      <c r="K554" s="159">
        <f t="shared" si="234"/>
        <v>0.155</v>
      </c>
      <c r="L554" s="159">
        <f t="shared" si="234"/>
        <v>0.155</v>
      </c>
      <c r="M554" s="159">
        <f t="shared" si="234"/>
        <v>0.155</v>
      </c>
      <c r="N554" s="159">
        <f t="shared" si="234"/>
        <v>0.155</v>
      </c>
      <c r="O554" s="84">
        <f t="shared" si="234"/>
        <v>0.155</v>
      </c>
    </row>
    <row r="555" spans="2:15" outlineLevel="1" x14ac:dyDescent="0.3">
      <c r="B555" s="70" t="s">
        <v>55</v>
      </c>
      <c r="C555" s="57"/>
      <c r="D555" s="57"/>
      <c r="E555" s="261">
        <f t="shared" ref="E555:O555" si="235">E51</f>
        <v>0.25712407850131064</v>
      </c>
      <c r="F555" s="261">
        <f t="shared" si="235"/>
        <v>0.2635848678578584</v>
      </c>
      <c r="G555" s="261">
        <f t="shared" si="235"/>
        <v>0.23501094809699932</v>
      </c>
      <c r="H555" s="261">
        <f t="shared" si="235"/>
        <v>0.22671988801201032</v>
      </c>
      <c r="I555" s="261">
        <f t="shared" si="235"/>
        <v>0.2023298589822195</v>
      </c>
      <c r="J555" s="261">
        <f t="shared" si="235"/>
        <v>0.24281458181492704</v>
      </c>
      <c r="K555" s="261">
        <f t="shared" si="235"/>
        <v>0.23</v>
      </c>
      <c r="L555" s="261">
        <f t="shared" si="235"/>
        <v>0.23</v>
      </c>
      <c r="M555" s="261">
        <f t="shared" si="235"/>
        <v>0.23</v>
      </c>
      <c r="N555" s="261">
        <f t="shared" si="235"/>
        <v>0.23</v>
      </c>
      <c r="O555" s="262">
        <f t="shared" si="235"/>
        <v>0.23</v>
      </c>
    </row>
    <row r="556" spans="2:15" outlineLevel="1" x14ac:dyDescent="0.3">
      <c r="B556" s="3"/>
    </row>
    <row r="557" spans="2:15" outlineLevel="1" x14ac:dyDescent="0.3">
      <c r="B557" s="3" t="s">
        <v>56</v>
      </c>
      <c r="E557" s="10">
        <f t="shared" ref="E557:J560" si="236">E348</f>
        <v>781</v>
      </c>
      <c r="F557" s="10">
        <f t="shared" si="236"/>
        <v>880</v>
      </c>
      <c r="G557" s="10">
        <f t="shared" si="236"/>
        <v>1105</v>
      </c>
      <c r="H557" s="10">
        <f t="shared" si="236"/>
        <v>0</v>
      </c>
      <c r="I557" s="10">
        <f t="shared" si="236"/>
        <v>0</v>
      </c>
      <c r="J557" s="10">
        <f t="shared" si="236"/>
        <v>0</v>
      </c>
      <c r="K557" s="10">
        <f>K552*K546</f>
        <v>0</v>
      </c>
      <c r="L557" s="10">
        <f>L552*L546</f>
        <v>0</v>
      </c>
      <c r="M557" s="10">
        <f>M552*M546</f>
        <v>0</v>
      </c>
      <c r="N557" s="10">
        <f>N552*N546</f>
        <v>0</v>
      </c>
      <c r="O557" s="10">
        <f>O552*O546</f>
        <v>0</v>
      </c>
    </row>
    <row r="558" spans="2:15" outlineLevel="1" x14ac:dyDescent="0.3">
      <c r="B558" s="3" t="s">
        <v>91</v>
      </c>
      <c r="E558" s="10">
        <f t="shared" si="236"/>
        <v>-2817</v>
      </c>
      <c r="F558" s="10">
        <f t="shared" si="236"/>
        <v>-3634</v>
      </c>
      <c r="G558" s="10">
        <f t="shared" si="236"/>
        <v>-6556</v>
      </c>
      <c r="H558" s="10">
        <f t="shared" si="236"/>
        <v>-6223</v>
      </c>
      <c r="I558" s="10">
        <f t="shared" si="236"/>
        <v>-5431</v>
      </c>
      <c r="J558" s="10">
        <f t="shared" si="236"/>
        <v>-5441</v>
      </c>
      <c r="K558" s="10">
        <f>-K553*K579</f>
        <v>-5534.151159224999</v>
      </c>
      <c r="L558" s="10">
        <f>-L553*L579</f>
        <v>-5662.014265347374</v>
      </c>
      <c r="M558" s="10">
        <f>-M553*M579</f>
        <v>-5774.9510897175323</v>
      </c>
      <c r="N558" s="10">
        <f>-N553*N579</f>
        <v>-5893.5302033921471</v>
      </c>
      <c r="O558" s="10">
        <f>-O553*O579</f>
        <v>-6018.0844741286965</v>
      </c>
    </row>
    <row r="559" spans="2:15" outlineLevel="1" x14ac:dyDescent="0.3">
      <c r="B559" s="3" t="s">
        <v>92</v>
      </c>
      <c r="E559" s="10">
        <f t="shared" si="236"/>
        <v>-14119</v>
      </c>
      <c r="F559" s="10">
        <f t="shared" si="236"/>
        <v>-14081</v>
      </c>
      <c r="G559" s="10">
        <f t="shared" si="236"/>
        <v>-14467</v>
      </c>
      <c r="H559" s="10">
        <f t="shared" si="236"/>
        <v>-14841</v>
      </c>
      <c r="I559" s="10">
        <f t="shared" si="236"/>
        <v>-15025</v>
      </c>
      <c r="J559" s="10">
        <f t="shared" si="236"/>
        <v>-15234</v>
      </c>
      <c r="K559" s="10">
        <f>-K554*K548</f>
        <v>-16804.118109533993</v>
      </c>
      <c r="L559" s="10">
        <f t="shared" ref="L559:O559" si="237">-L554*L548</f>
        <v>-17445.933286964075</v>
      </c>
      <c r="M559" s="10">
        <f t="shared" si="237"/>
        <v>-18004.300166962053</v>
      </c>
      <c r="N559" s="10">
        <f t="shared" si="237"/>
        <v>-18593.727114173831</v>
      </c>
      <c r="O559" s="10">
        <f t="shared" si="237"/>
        <v>-19216.065522904275</v>
      </c>
    </row>
    <row r="560" spans="2:15" outlineLevel="1" x14ac:dyDescent="0.3">
      <c r="B560" s="3" t="s">
        <v>55</v>
      </c>
      <c r="E560" s="10">
        <f t="shared" si="236"/>
        <v>-66897</v>
      </c>
      <c r="F560" s="10">
        <f t="shared" si="236"/>
        <v>-72358</v>
      </c>
      <c r="G560" s="10">
        <f t="shared" si="236"/>
        <v>-85971</v>
      </c>
      <c r="H560" s="10">
        <f t="shared" si="236"/>
        <v>-89402</v>
      </c>
      <c r="I560" s="10">
        <f t="shared" si="236"/>
        <v>-77550</v>
      </c>
      <c r="J560" s="10">
        <f t="shared" si="236"/>
        <v>-94949</v>
      </c>
      <c r="K560" s="10">
        <f>-K555*K546</f>
        <v>-91936.061149999994</v>
      </c>
      <c r="L560" s="10">
        <f>-L555*L546</f>
        <v>-94060.186423249994</v>
      </c>
      <c r="M560" s="10">
        <f>-M555*M546</f>
        <v>-95936.34890827247</v>
      </c>
      <c r="N560" s="10">
        <f>-N555*N546</f>
        <v>-97906.243898894463</v>
      </c>
      <c r="O560" s="10">
        <f>-O555*O546</f>
        <v>-99975.401159234389</v>
      </c>
    </row>
    <row r="561" spans="2:15" outlineLevel="1" x14ac:dyDescent="0.3"/>
    <row r="562" spans="2:15" outlineLevel="1" x14ac:dyDescent="0.3">
      <c r="B562" s="68"/>
      <c r="C562" s="68"/>
      <c r="D562" s="68"/>
      <c r="E562" s="68"/>
      <c r="F562" s="68"/>
      <c r="G562" s="68"/>
      <c r="H562" s="68"/>
      <c r="I562" s="68"/>
      <c r="J562" s="68"/>
      <c r="K562" s="68"/>
      <c r="L562" s="68"/>
      <c r="M562" s="68"/>
      <c r="N562" s="68"/>
      <c r="O562" s="68"/>
    </row>
    <row r="563" spans="2:15" ht="15" outlineLevel="1" thickBot="1" x14ac:dyDescent="0.35">
      <c r="B563" s="279" t="s">
        <v>127</v>
      </c>
      <c r="E563" s="78">
        <v>2019</v>
      </c>
      <c r="F563" s="78">
        <v>2020</v>
      </c>
      <c r="G563" s="78">
        <v>2021</v>
      </c>
      <c r="H563" s="78">
        <v>2022</v>
      </c>
      <c r="I563" s="78">
        <v>2023</v>
      </c>
      <c r="J563" s="78">
        <v>2024</v>
      </c>
      <c r="K563" s="131">
        <f>J563+1</f>
        <v>2025</v>
      </c>
      <c r="L563" s="131">
        <f>K563+1</f>
        <v>2026</v>
      </c>
      <c r="M563" s="131">
        <f>L563+1</f>
        <v>2027</v>
      </c>
      <c r="N563" s="131">
        <f>M563+1</f>
        <v>2028</v>
      </c>
      <c r="O563" s="131">
        <f>N563+1</f>
        <v>2029</v>
      </c>
    </row>
    <row r="564" spans="2:15" outlineLevel="1" x14ac:dyDescent="0.3">
      <c r="B564" s="8"/>
      <c r="E564" s="156"/>
      <c r="F564" s="156"/>
      <c r="G564" s="156"/>
      <c r="H564" s="156"/>
      <c r="I564" s="156"/>
      <c r="J564" s="156"/>
      <c r="K564" s="157"/>
      <c r="L564" s="157"/>
      <c r="M564" s="157"/>
      <c r="N564" s="157"/>
      <c r="O564" s="157"/>
    </row>
    <row r="565" spans="2:15" outlineLevel="1" x14ac:dyDescent="0.3">
      <c r="B565" s="8" t="s">
        <v>221</v>
      </c>
      <c r="E565" s="156"/>
      <c r="F565" s="156"/>
      <c r="G565" s="156"/>
      <c r="H565" s="156"/>
      <c r="I565" s="156"/>
      <c r="J565" s="156"/>
      <c r="K565" s="157"/>
      <c r="L565" s="157"/>
      <c r="M565" s="157"/>
      <c r="N565" s="157"/>
      <c r="O565" s="157"/>
    </row>
    <row r="566" spans="2:15" outlineLevel="1" x14ac:dyDescent="0.3"/>
    <row r="567" spans="2:15" outlineLevel="1" x14ac:dyDescent="0.3">
      <c r="B567" s="67" t="s">
        <v>206</v>
      </c>
      <c r="C567" s="68"/>
      <c r="D567" s="68"/>
      <c r="E567" s="260">
        <f t="shared" ref="E567:O567" si="238">E40</f>
        <v>2.3807144449483807E-2</v>
      </c>
      <c r="F567" s="260">
        <f t="shared" si="238"/>
        <v>2.5408447625812798E-2</v>
      </c>
      <c r="G567" s="260">
        <f t="shared" si="238"/>
        <v>2.2164087508234991E-2</v>
      </c>
      <c r="H567" s="260">
        <f t="shared" si="238"/>
        <v>2.3533707979144267E-2</v>
      </c>
      <c r="I567" s="260">
        <f t="shared" si="238"/>
        <v>2.9059316174648107E-2</v>
      </c>
      <c r="J567" s="260">
        <f t="shared" si="238"/>
        <v>3.0774738834119707E-2</v>
      </c>
      <c r="K567" s="260">
        <f t="shared" si="238"/>
        <v>2.8000000000000001E-2</v>
      </c>
      <c r="L567" s="260">
        <f t="shared" si="238"/>
        <v>2.8000000000000001E-2</v>
      </c>
      <c r="M567" s="260">
        <f t="shared" si="238"/>
        <v>2.8000000000000001E-2</v>
      </c>
      <c r="N567" s="260">
        <f t="shared" si="238"/>
        <v>2.8000000000000001E-2</v>
      </c>
      <c r="O567" s="81">
        <f t="shared" si="238"/>
        <v>2.8000000000000001E-2</v>
      </c>
    </row>
    <row r="568" spans="2:15" outlineLevel="1" x14ac:dyDescent="0.3">
      <c r="B568" s="122" t="s">
        <v>208</v>
      </c>
      <c r="E568" s="159">
        <f t="shared" ref="E568:O568" si="239">E41</f>
        <v>0.17607799895537113</v>
      </c>
      <c r="F568" s="159">
        <f t="shared" si="239"/>
        <v>0.17660597910416881</v>
      </c>
      <c r="G568" s="159">
        <f t="shared" si="239"/>
        <v>0.18014446191355071</v>
      </c>
      <c r="H568" s="159">
        <f t="shared" si="239"/>
        <v>0.17602492939916253</v>
      </c>
      <c r="I568" s="159">
        <f t="shared" si="239"/>
        <v>0.19751308184586214</v>
      </c>
      <c r="J568" s="159">
        <f t="shared" si="239"/>
        <v>0.20338629126281171</v>
      </c>
      <c r="K568" s="159">
        <f t="shared" si="239"/>
        <v>0.19500000000000001</v>
      </c>
      <c r="L568" s="159">
        <f t="shared" si="239"/>
        <v>0.19500000000000001</v>
      </c>
      <c r="M568" s="159">
        <f t="shared" si="239"/>
        <v>0.19500000000000001</v>
      </c>
      <c r="N568" s="159">
        <f t="shared" si="239"/>
        <v>0.19500000000000001</v>
      </c>
      <c r="O568" s="84">
        <f t="shared" si="239"/>
        <v>0.19500000000000001</v>
      </c>
    </row>
    <row r="569" spans="2:15" outlineLevel="1" x14ac:dyDescent="0.3">
      <c r="B569" s="82" t="s">
        <v>204</v>
      </c>
      <c r="O569" s="263"/>
    </row>
    <row r="570" spans="2:15" outlineLevel="1" x14ac:dyDescent="0.3">
      <c r="B570" s="122" t="s">
        <v>193</v>
      </c>
      <c r="E570" s="159">
        <f t="shared" ref="E570:O570" si="240">E58</f>
        <v>0.32992748846407383</v>
      </c>
      <c r="F570" s="159">
        <f t="shared" si="240"/>
        <v>0.32947722946258601</v>
      </c>
      <c r="G570" s="159">
        <f t="shared" si="240"/>
        <v>0.33227928155831016</v>
      </c>
      <c r="H570" s="159">
        <f t="shared" si="240"/>
        <v>0.32872316884266428</v>
      </c>
      <c r="I570" s="159">
        <f t="shared" si="240"/>
        <v>0.32502538539647374</v>
      </c>
      <c r="J570" s="159">
        <f t="shared" si="240"/>
        <v>0.34163244353182753</v>
      </c>
      <c r="K570" s="159">
        <f t="shared" si="240"/>
        <v>0.33</v>
      </c>
      <c r="L570" s="159">
        <f t="shared" si="240"/>
        <v>0.33</v>
      </c>
      <c r="M570" s="159">
        <f t="shared" si="240"/>
        <v>0.33</v>
      </c>
      <c r="N570" s="159">
        <f t="shared" si="240"/>
        <v>0.33</v>
      </c>
      <c r="O570" s="84">
        <f t="shared" si="240"/>
        <v>0.33</v>
      </c>
    </row>
    <row r="571" spans="2:15" outlineLevel="1" x14ac:dyDescent="0.3">
      <c r="B571" s="82" t="s">
        <v>77</v>
      </c>
      <c r="O571" s="263"/>
    </row>
    <row r="572" spans="2:15" outlineLevel="1" x14ac:dyDescent="0.3">
      <c r="B572" s="122" t="s">
        <v>193</v>
      </c>
      <c r="E572" s="159">
        <f t="shared" ref="E572:O572" si="241">E59</f>
        <v>0.16957811470006592</v>
      </c>
      <c r="F572" s="159">
        <f t="shared" si="241"/>
        <v>0.23488065602577243</v>
      </c>
      <c r="G572" s="159">
        <f t="shared" si="241"/>
        <v>0.52504427017455102</v>
      </c>
      <c r="H572" s="159">
        <f t="shared" si="241"/>
        <v>0.38216419561849968</v>
      </c>
      <c r="I572" s="159">
        <f t="shared" si="241"/>
        <v>0.19375980799409212</v>
      </c>
      <c r="J572" s="159">
        <f t="shared" si="241"/>
        <v>0.13791923340177961</v>
      </c>
      <c r="K572" s="159">
        <f t="shared" si="241"/>
        <v>0.13800000000000001</v>
      </c>
      <c r="L572" s="159">
        <f t="shared" si="241"/>
        <v>0.13800000000000001</v>
      </c>
      <c r="M572" s="159">
        <f t="shared" si="241"/>
        <v>0.13500000000000001</v>
      </c>
      <c r="N572" s="159">
        <f t="shared" si="241"/>
        <v>0.13500000000000001</v>
      </c>
      <c r="O572" s="84">
        <f t="shared" si="241"/>
        <v>0.13500000000000001</v>
      </c>
    </row>
    <row r="573" spans="2:15" outlineLevel="1" x14ac:dyDescent="0.3">
      <c r="B573" s="122"/>
      <c r="O573" s="263"/>
    </row>
    <row r="574" spans="2:15" outlineLevel="1" x14ac:dyDescent="0.3">
      <c r="B574" s="122" t="s">
        <v>211</v>
      </c>
      <c r="E574" s="159">
        <f t="shared" ref="E574:O574" si="242">E60</f>
        <v>0.12608976428802066</v>
      </c>
      <c r="F574" s="159">
        <f t="shared" si="242"/>
        <v>0.12616487455197134</v>
      </c>
      <c r="G574" s="159">
        <f t="shared" si="242"/>
        <v>0.13628515046867293</v>
      </c>
      <c r="H574" s="159">
        <f t="shared" si="242"/>
        <v>0.12661637931034483</v>
      </c>
      <c r="I574" s="159">
        <f t="shared" si="242"/>
        <v>0.12084754893158556</v>
      </c>
      <c r="J574" s="159">
        <f t="shared" si="242"/>
        <v>0.11824829649326907</v>
      </c>
      <c r="K574" s="159">
        <f t="shared" si="242"/>
        <v>0.122</v>
      </c>
      <c r="L574" s="159">
        <f t="shared" si="242"/>
        <v>0.122</v>
      </c>
      <c r="M574" s="159">
        <f t="shared" si="242"/>
        <v>0.12</v>
      </c>
      <c r="N574" s="159">
        <f t="shared" si="242"/>
        <v>0.12</v>
      </c>
      <c r="O574" s="84">
        <f t="shared" si="242"/>
        <v>0.12</v>
      </c>
    </row>
    <row r="575" spans="2:15" outlineLevel="1" x14ac:dyDescent="0.3">
      <c r="B575" s="122" t="s">
        <v>220</v>
      </c>
      <c r="E575" s="159">
        <f t="shared" ref="E575:O575" si="243">E61</f>
        <v>0.25570073838135227</v>
      </c>
      <c r="F575" s="159">
        <f t="shared" si="243"/>
        <v>0.2453710961314034</v>
      </c>
      <c r="G575" s="159">
        <f t="shared" si="243"/>
        <v>0.15241867342627799</v>
      </c>
      <c r="H575" s="159">
        <f t="shared" si="243"/>
        <v>0.14822199733474944</v>
      </c>
      <c r="I575" s="159">
        <f t="shared" si="243"/>
        <v>0.15460590752100623</v>
      </c>
      <c r="J575" s="159">
        <f t="shared" si="243"/>
        <v>0.16234957753691218</v>
      </c>
      <c r="K575" s="159">
        <f t="shared" si="243"/>
        <v>0.14699999999999999</v>
      </c>
      <c r="L575" s="159">
        <f t="shared" si="243"/>
        <v>0.14699999999999999</v>
      </c>
      <c r="M575" s="159">
        <f t="shared" si="243"/>
        <v>0.14699999999999999</v>
      </c>
      <c r="N575" s="159">
        <f t="shared" si="243"/>
        <v>0.14699999999999999</v>
      </c>
      <c r="O575" s="84">
        <f t="shared" si="243"/>
        <v>0.14699999999999999</v>
      </c>
    </row>
    <row r="576" spans="2:15" outlineLevel="1" x14ac:dyDescent="0.3">
      <c r="B576" s="70" t="s">
        <v>214</v>
      </c>
      <c r="C576" s="57"/>
      <c r="D576" s="57"/>
      <c r="E576" s="261">
        <f t="shared" ref="E576:O576" si="244">E62</f>
        <v>0.25790816914833919</v>
      </c>
      <c r="F576" s="261">
        <f t="shared" si="244"/>
        <v>0.26416042839189113</v>
      </c>
      <c r="G576" s="261">
        <f t="shared" si="244"/>
        <v>0.23372888630107402</v>
      </c>
      <c r="H576" s="261">
        <f t="shared" si="244"/>
        <v>0.22870808058266215</v>
      </c>
      <c r="I576" s="261">
        <f t="shared" si="244"/>
        <v>0.20101491057568127</v>
      </c>
      <c r="J576" s="261">
        <f t="shared" si="244"/>
        <v>0.24510849412456687</v>
      </c>
      <c r="K576" s="261">
        <f t="shared" si="244"/>
        <v>0.2</v>
      </c>
      <c r="L576" s="261">
        <f t="shared" si="244"/>
        <v>0.2</v>
      </c>
      <c r="M576" s="261">
        <f t="shared" si="244"/>
        <v>0.2</v>
      </c>
      <c r="N576" s="261">
        <f t="shared" si="244"/>
        <v>0.2</v>
      </c>
      <c r="O576" s="262">
        <f t="shared" si="244"/>
        <v>0.2</v>
      </c>
    </row>
    <row r="577" spans="2:15" outlineLevel="1" x14ac:dyDescent="0.3"/>
    <row r="578" spans="2:15" outlineLevel="1" x14ac:dyDescent="0.3">
      <c r="B578" s="3" t="s">
        <v>203</v>
      </c>
      <c r="E578" s="137">
        <v>6194</v>
      </c>
      <c r="F578" s="137">
        <v>6975</v>
      </c>
      <c r="G578" s="137">
        <v>8108</v>
      </c>
      <c r="H578" s="137">
        <v>9280</v>
      </c>
      <c r="I578" s="137">
        <v>11138</v>
      </c>
      <c r="J578" s="137">
        <v>12034</v>
      </c>
      <c r="K578" s="10">
        <f t="shared" ref="K578:O579" si="245">K567*K546</f>
        <v>11192.216139999999</v>
      </c>
      <c r="L578" s="10">
        <f t="shared" si="245"/>
        <v>11450.805303699999</v>
      </c>
      <c r="M578" s="10">
        <f t="shared" si="245"/>
        <v>11679.207693180997</v>
      </c>
      <c r="N578" s="10">
        <f t="shared" si="245"/>
        <v>11919.020996387151</v>
      </c>
      <c r="O578" s="10">
        <f t="shared" si="245"/>
        <v>12170.918401993751</v>
      </c>
    </row>
    <row r="579" spans="2:15" outlineLevel="1" x14ac:dyDescent="0.3">
      <c r="B579" s="3" t="s">
        <v>202</v>
      </c>
      <c r="E579" s="137">
        <f t="shared" ref="E579:J579" si="246">E323</f>
        <v>6068</v>
      </c>
      <c r="F579" s="137">
        <f t="shared" si="246"/>
        <v>6829</v>
      </c>
      <c r="G579" s="137">
        <f t="shared" si="246"/>
        <v>7906</v>
      </c>
      <c r="H579" s="137">
        <f t="shared" si="246"/>
        <v>9038</v>
      </c>
      <c r="I579" s="137">
        <f t="shared" si="246"/>
        <v>10833</v>
      </c>
      <c r="J579" s="137">
        <f t="shared" si="246"/>
        <v>11688</v>
      </c>
      <c r="K579" s="10">
        <f t="shared" si="245"/>
        <v>11068.302318449998</v>
      </c>
      <c r="L579" s="10">
        <f t="shared" si="245"/>
        <v>11324.028530694748</v>
      </c>
      <c r="M579" s="10">
        <f t="shared" si="245"/>
        <v>11549.902179435065</v>
      </c>
      <c r="N579" s="10">
        <f t="shared" si="245"/>
        <v>11787.060406784294</v>
      </c>
      <c r="O579" s="10">
        <f t="shared" si="245"/>
        <v>12036.168948257393</v>
      </c>
    </row>
    <row r="580" spans="2:15" outlineLevel="1" x14ac:dyDescent="0.3">
      <c r="B580" s="11" t="s">
        <v>204</v>
      </c>
    </row>
    <row r="581" spans="2:15" outlineLevel="1" x14ac:dyDescent="0.3">
      <c r="B581" s="3" t="s">
        <v>193</v>
      </c>
      <c r="E581" s="10">
        <v>-2002</v>
      </c>
      <c r="F581" s="10">
        <v>-2250</v>
      </c>
      <c r="G581" s="10">
        <v>-2627</v>
      </c>
      <c r="H581" s="10">
        <v>-2971</v>
      </c>
      <c r="I581" s="10">
        <v>-3521</v>
      </c>
      <c r="J581" s="10">
        <v>-3993</v>
      </c>
      <c r="K581" s="10">
        <f>-K570*K579</f>
        <v>-3652.5397650884993</v>
      </c>
      <c r="L581" s="10">
        <f>-L570*L579</f>
        <v>-3736.929415129267</v>
      </c>
      <c r="M581" s="10">
        <f>-M570*M579</f>
        <v>-3811.4677192135714</v>
      </c>
      <c r="N581" s="10">
        <f>-N570*N579</f>
        <v>-3889.7299342388173</v>
      </c>
      <c r="O581" s="10">
        <f>-O570*O579</f>
        <v>-3971.9357529249401</v>
      </c>
    </row>
    <row r="582" spans="2:15" outlineLevel="1" x14ac:dyDescent="0.3">
      <c r="B582" s="11" t="s">
        <v>77</v>
      </c>
    </row>
    <row r="583" spans="2:15" outlineLevel="1" x14ac:dyDescent="0.3">
      <c r="B583" s="3" t="s">
        <v>193</v>
      </c>
      <c r="E583" s="10">
        <v>-1029</v>
      </c>
      <c r="F583" s="10">
        <v>-1604</v>
      </c>
      <c r="G583" s="10">
        <v>-4151</v>
      </c>
      <c r="H583" s="10">
        <v>-3454</v>
      </c>
      <c r="I583" s="10">
        <v>-2099</v>
      </c>
      <c r="J583" s="10">
        <v>-1612</v>
      </c>
      <c r="K583" s="10">
        <f>-K572*K579</f>
        <v>-1527.4257199460999</v>
      </c>
      <c r="L583" s="10">
        <f>-L572*L579</f>
        <v>-1562.7159372358753</v>
      </c>
      <c r="M583" s="10">
        <f>-M572*M579</f>
        <v>-1559.2367942237338</v>
      </c>
      <c r="N583" s="10">
        <f>-N572*N579</f>
        <v>-1591.2531549158798</v>
      </c>
      <c r="O583" s="10">
        <f>-O572*O579</f>
        <v>-1624.8828080147482</v>
      </c>
    </row>
    <row r="584" spans="2:15" outlineLevel="1" x14ac:dyDescent="0.3">
      <c r="B584" s="3"/>
    </row>
    <row r="585" spans="2:15" outlineLevel="1" x14ac:dyDescent="0.3">
      <c r="B585" s="8" t="s">
        <v>190</v>
      </c>
    </row>
    <row r="586" spans="2:15" outlineLevel="1" x14ac:dyDescent="0.3">
      <c r="B586" s="3" t="s">
        <v>191</v>
      </c>
      <c r="E586" s="10">
        <v>40201</v>
      </c>
      <c r="F586" s="10">
        <f>E590</f>
        <v>45174</v>
      </c>
      <c r="G586" s="10">
        <f t="shared" ref="G586:O586" si="247">F590</f>
        <v>50779</v>
      </c>
      <c r="H586" s="10">
        <f t="shared" si="247"/>
        <v>57365</v>
      </c>
      <c r="I586" s="10">
        <f t="shared" si="247"/>
        <v>64849</v>
      </c>
      <c r="J586" s="10">
        <f t="shared" si="247"/>
        <v>73812</v>
      </c>
      <c r="K586" s="10">
        <f t="shared" si="247"/>
        <v>83276</v>
      </c>
      <c r="L586" s="10">
        <f t="shared" si="247"/>
        <v>92181.12674399151</v>
      </c>
      <c r="M586" s="10">
        <f t="shared" si="247"/>
        <v>101292.00087961362</v>
      </c>
      <c r="N586" s="10">
        <f t="shared" si="247"/>
        <v>110561.24577676278</v>
      </c>
      <c r="O586" s="10">
        <f t="shared" si="247"/>
        <v>120020.81935847757</v>
      </c>
    </row>
    <row r="587" spans="2:15" outlineLevel="1" x14ac:dyDescent="0.3">
      <c r="B587" s="3" t="s">
        <v>192</v>
      </c>
      <c r="E587" s="10">
        <v>781</v>
      </c>
      <c r="F587" s="10">
        <v>880</v>
      </c>
      <c r="G587" s="10">
        <v>1105</v>
      </c>
      <c r="H587" s="10">
        <v>1175</v>
      </c>
      <c r="I587" s="10">
        <v>1346</v>
      </c>
      <c r="J587" s="10">
        <v>1423</v>
      </c>
      <c r="K587" s="10">
        <f>K574*K578</f>
        <v>1365.4503690799997</v>
      </c>
      <c r="L587" s="10">
        <f>L574*L578</f>
        <v>1396.9982470513999</v>
      </c>
      <c r="M587" s="10">
        <f>M574*M578</f>
        <v>1401.5049231817195</v>
      </c>
      <c r="N587" s="10">
        <f>N574*N578</f>
        <v>1430.2825195664582</v>
      </c>
      <c r="O587" s="10">
        <f>O574*O578</f>
        <v>1460.51020823925</v>
      </c>
    </row>
    <row r="588" spans="2:15" outlineLevel="1" x14ac:dyDescent="0.3">
      <c r="B588" s="3" t="s">
        <v>193</v>
      </c>
      <c r="E588" s="10">
        <f t="shared" ref="E588:O588" si="248">E581</f>
        <v>-2002</v>
      </c>
      <c r="F588" s="10">
        <f t="shared" si="248"/>
        <v>-2250</v>
      </c>
      <c r="G588" s="10">
        <f t="shared" si="248"/>
        <v>-2627</v>
      </c>
      <c r="H588" s="10">
        <f t="shared" si="248"/>
        <v>-2971</v>
      </c>
      <c r="I588" s="10">
        <f t="shared" si="248"/>
        <v>-3521</v>
      </c>
      <c r="J588" s="10">
        <f t="shared" si="248"/>
        <v>-3993</v>
      </c>
      <c r="K588" s="10">
        <f t="shared" si="248"/>
        <v>-3652.5397650884993</v>
      </c>
      <c r="L588" s="10">
        <f t="shared" si="248"/>
        <v>-3736.929415129267</v>
      </c>
      <c r="M588" s="10">
        <f t="shared" si="248"/>
        <v>-3811.4677192135714</v>
      </c>
      <c r="N588" s="10">
        <f t="shared" si="248"/>
        <v>-3889.7299342388173</v>
      </c>
      <c r="O588" s="10">
        <f t="shared" si="248"/>
        <v>-3971.9357529249401</v>
      </c>
    </row>
    <row r="589" spans="2:15" outlineLevel="1" x14ac:dyDescent="0.3">
      <c r="B589" s="3" t="s">
        <v>194</v>
      </c>
      <c r="E589" s="10">
        <f t="shared" ref="E589:O589" si="249">E578</f>
        <v>6194</v>
      </c>
      <c r="F589" s="10">
        <f t="shared" si="249"/>
        <v>6975</v>
      </c>
      <c r="G589" s="10">
        <f t="shared" si="249"/>
        <v>8108</v>
      </c>
      <c r="H589" s="10">
        <f t="shared" si="249"/>
        <v>9280</v>
      </c>
      <c r="I589" s="10">
        <f t="shared" si="249"/>
        <v>11138</v>
      </c>
      <c r="J589" s="10">
        <f t="shared" si="249"/>
        <v>12034</v>
      </c>
      <c r="K589" s="10">
        <f t="shared" si="249"/>
        <v>11192.216139999999</v>
      </c>
      <c r="L589" s="10">
        <f t="shared" si="249"/>
        <v>11450.805303699999</v>
      </c>
      <c r="M589" s="10">
        <f t="shared" si="249"/>
        <v>11679.207693180997</v>
      </c>
      <c r="N589" s="10">
        <f t="shared" si="249"/>
        <v>11919.020996387151</v>
      </c>
      <c r="O589" s="10">
        <f t="shared" si="249"/>
        <v>12170.918401993751</v>
      </c>
    </row>
    <row r="590" spans="2:15" outlineLevel="1" x14ac:dyDescent="0.3">
      <c r="B590" s="8" t="s">
        <v>195</v>
      </c>
      <c r="E590" s="12">
        <f>SUM(E586:E589)</f>
        <v>45174</v>
      </c>
      <c r="F590" s="12">
        <f t="shared" ref="F590:O590" si="250">SUM(F586:F589)</f>
        <v>50779</v>
      </c>
      <c r="G590" s="12">
        <f t="shared" si="250"/>
        <v>57365</v>
      </c>
      <c r="H590" s="12">
        <f t="shared" si="250"/>
        <v>64849</v>
      </c>
      <c r="I590" s="12">
        <f t="shared" si="250"/>
        <v>73812</v>
      </c>
      <c r="J590" s="12">
        <f t="shared" si="250"/>
        <v>83276</v>
      </c>
      <c r="K590" s="12">
        <f t="shared" si="250"/>
        <v>92181.12674399151</v>
      </c>
      <c r="L590" s="12">
        <f t="shared" si="250"/>
        <v>101292.00087961362</v>
      </c>
      <c r="M590" s="12">
        <f t="shared" si="250"/>
        <v>110561.24577676278</v>
      </c>
      <c r="N590" s="12">
        <f t="shared" si="250"/>
        <v>120020.81935847757</v>
      </c>
      <c r="O590" s="12">
        <f t="shared" si="250"/>
        <v>129680.31221578564</v>
      </c>
    </row>
    <row r="591" spans="2:15" outlineLevel="1" x14ac:dyDescent="0.3">
      <c r="B591" s="8"/>
    </row>
    <row r="592" spans="2:15" outlineLevel="1" x14ac:dyDescent="0.3">
      <c r="B592" s="8" t="s">
        <v>196</v>
      </c>
    </row>
    <row r="593" spans="2:15" outlineLevel="1" x14ac:dyDescent="0.3">
      <c r="B593" s="3" t="s">
        <v>191</v>
      </c>
      <c r="E593" s="10">
        <v>70400</v>
      </c>
      <c r="F593" s="10">
        <f>E599</f>
        <v>45898</v>
      </c>
      <c r="G593" s="10">
        <f t="shared" ref="G593:O593" si="251">F599</f>
        <v>14966</v>
      </c>
      <c r="H593" s="10">
        <f t="shared" si="251"/>
        <v>5562</v>
      </c>
      <c r="I593" s="10">
        <f t="shared" si="251"/>
        <v>-3068</v>
      </c>
      <c r="J593" s="10">
        <f t="shared" si="251"/>
        <v>-214</v>
      </c>
      <c r="K593" s="10">
        <f t="shared" si="251"/>
        <v>-19154</v>
      </c>
      <c r="L593" s="10">
        <f t="shared" si="251"/>
        <v>-8148.9702848977322</v>
      </c>
      <c r="M593" s="10">
        <f t="shared" si="251"/>
        <v>4505.7576053203084</v>
      </c>
      <c r="N593" s="10">
        <f t="shared" si="251"/>
        <v>18605.338022873271</v>
      </c>
      <c r="O593" s="10">
        <f t="shared" si="251"/>
        <v>34203.699500889648</v>
      </c>
    </row>
    <row r="594" spans="2:15" outlineLevel="1" x14ac:dyDescent="0.3">
      <c r="B594" s="3" t="s">
        <v>48</v>
      </c>
      <c r="E594" s="10">
        <f t="shared" ref="E594:O594" si="252">E548</f>
        <v>55256</v>
      </c>
      <c r="F594" s="10">
        <f t="shared" si="252"/>
        <v>57411</v>
      </c>
      <c r="G594" s="10">
        <f t="shared" si="252"/>
        <v>94680</v>
      </c>
      <c r="H594" s="10">
        <f t="shared" si="252"/>
        <v>99803</v>
      </c>
      <c r="I594" s="10">
        <f t="shared" si="252"/>
        <v>96995</v>
      </c>
      <c r="J594" s="10">
        <f t="shared" si="252"/>
        <v>93736</v>
      </c>
      <c r="K594" s="10">
        <f t="shared" si="252"/>
        <v>108413.66522279996</v>
      </c>
      <c r="L594" s="10">
        <f t="shared" si="252"/>
        <v>112554.40830299402</v>
      </c>
      <c r="M594" s="10">
        <f t="shared" si="252"/>
        <v>116156.77527072294</v>
      </c>
      <c r="N594" s="10">
        <f t="shared" si="252"/>
        <v>119959.52976886342</v>
      </c>
      <c r="O594" s="10">
        <f t="shared" si="252"/>
        <v>123974.61627680177</v>
      </c>
    </row>
    <row r="595" spans="2:15" outlineLevel="1" x14ac:dyDescent="0.3">
      <c r="B595" s="3" t="s">
        <v>197</v>
      </c>
      <c r="E595" s="10">
        <v>-14129</v>
      </c>
      <c r="F595" s="10">
        <v>-14087</v>
      </c>
      <c r="G595" s="10">
        <v>-14431</v>
      </c>
      <c r="H595" s="10">
        <v>-14793</v>
      </c>
      <c r="I595" s="10">
        <v>-14996</v>
      </c>
      <c r="J595" s="10">
        <v>-15218</v>
      </c>
      <c r="K595" s="10">
        <f>-K575*K548</f>
        <v>-15936.808787751594</v>
      </c>
      <c r="L595" s="10">
        <f>-L575*L548</f>
        <v>-16545.498020540119</v>
      </c>
      <c r="M595" s="10">
        <f>-M575*M548</f>
        <v>-17075.045964796271</v>
      </c>
      <c r="N595" s="10">
        <f>-N575*N548</f>
        <v>-17634.05087602292</v>
      </c>
      <c r="O595" s="10">
        <f>-O575*O548</f>
        <v>-18224.268592689859</v>
      </c>
    </row>
    <row r="596" spans="2:15" outlineLevel="1" x14ac:dyDescent="0.3">
      <c r="B596" s="3" t="s">
        <v>193</v>
      </c>
      <c r="E596" s="10">
        <f t="shared" ref="E596:O596" si="253">E583</f>
        <v>-1029</v>
      </c>
      <c r="F596" s="10">
        <f t="shared" si="253"/>
        <v>-1604</v>
      </c>
      <c r="G596" s="10">
        <f t="shared" si="253"/>
        <v>-4151</v>
      </c>
      <c r="H596" s="10">
        <f t="shared" si="253"/>
        <v>-3454</v>
      </c>
      <c r="I596" s="10">
        <f t="shared" si="253"/>
        <v>-2099</v>
      </c>
      <c r="J596" s="10">
        <f t="shared" si="253"/>
        <v>-1612</v>
      </c>
      <c r="K596" s="10">
        <f t="shared" si="253"/>
        <v>-1527.4257199460999</v>
      </c>
      <c r="L596" s="10">
        <f t="shared" si="253"/>
        <v>-1562.7159372358753</v>
      </c>
      <c r="M596" s="10">
        <f t="shared" si="253"/>
        <v>-1559.2367942237338</v>
      </c>
      <c r="N596" s="10">
        <f t="shared" si="253"/>
        <v>-1591.2531549158798</v>
      </c>
      <c r="O596" s="10">
        <f t="shared" si="253"/>
        <v>-1624.8828080147482</v>
      </c>
    </row>
    <row r="597" spans="2:15" outlineLevel="1" x14ac:dyDescent="0.3">
      <c r="B597" s="3" t="s">
        <v>198</v>
      </c>
      <c r="E597" s="10">
        <v>-67101</v>
      </c>
      <c r="F597" s="10">
        <v>-72516</v>
      </c>
      <c r="G597" s="10">
        <v>-85502</v>
      </c>
      <c r="H597" s="10">
        <v>-90186</v>
      </c>
      <c r="I597" s="10">
        <v>-77046</v>
      </c>
      <c r="J597" s="10">
        <v>-95846</v>
      </c>
      <c r="K597" s="10">
        <f>-K576*K546</f>
        <v>-79944.400999999998</v>
      </c>
      <c r="L597" s="10">
        <f>-L576*L546</f>
        <v>-81791.466454999987</v>
      </c>
      <c r="M597" s="10">
        <f>-M576*M546</f>
        <v>-83422.912094149971</v>
      </c>
      <c r="N597" s="10">
        <f>-N576*N546</f>
        <v>-85135.864259908223</v>
      </c>
      <c r="O597" s="10">
        <f>-O576*O546</f>
        <v>-86935.131442812504</v>
      </c>
    </row>
    <row r="598" spans="2:15" outlineLevel="1" x14ac:dyDescent="0.3">
      <c r="B598" s="3" t="s">
        <v>205</v>
      </c>
      <c r="E598" s="10">
        <v>2501</v>
      </c>
      <c r="F598" s="10">
        <v>-136</v>
      </c>
      <c r="G598" s="10">
        <v>0</v>
      </c>
      <c r="H598" s="10">
        <v>0</v>
      </c>
      <c r="I598" s="10">
        <v>0</v>
      </c>
      <c r="J598" s="10">
        <v>0</v>
      </c>
      <c r="K598" s="10">
        <v>0</v>
      </c>
      <c r="L598" s="10">
        <v>0</v>
      </c>
      <c r="M598" s="10">
        <v>0</v>
      </c>
      <c r="N598" s="10">
        <v>0</v>
      </c>
      <c r="O598" s="10">
        <v>0</v>
      </c>
    </row>
    <row r="599" spans="2:15" outlineLevel="1" x14ac:dyDescent="0.3">
      <c r="B599" s="8" t="s">
        <v>195</v>
      </c>
      <c r="E599" s="12">
        <f>SUM(E593:E598)</f>
        <v>45898</v>
      </c>
      <c r="F599" s="12">
        <f t="shared" ref="F599:O599" si="254">SUM(F593:F598)</f>
        <v>14966</v>
      </c>
      <c r="G599" s="12">
        <f t="shared" si="254"/>
        <v>5562</v>
      </c>
      <c r="H599" s="12">
        <f t="shared" si="254"/>
        <v>-3068</v>
      </c>
      <c r="I599" s="12">
        <f t="shared" si="254"/>
        <v>-214</v>
      </c>
      <c r="J599" s="12">
        <f t="shared" si="254"/>
        <v>-19154</v>
      </c>
      <c r="K599" s="12">
        <f t="shared" si="254"/>
        <v>-8148.9702848977322</v>
      </c>
      <c r="L599" s="12">
        <f t="shared" si="254"/>
        <v>4505.7576053203084</v>
      </c>
      <c r="M599" s="12">
        <f t="shared" si="254"/>
        <v>18605.338022873271</v>
      </c>
      <c r="N599" s="12">
        <f t="shared" si="254"/>
        <v>34203.699500889648</v>
      </c>
      <c r="O599" s="12">
        <f t="shared" si="254"/>
        <v>51394.03293417432</v>
      </c>
    </row>
    <row r="600" spans="2:15" outlineLevel="1" x14ac:dyDescent="0.3">
      <c r="B600" s="8"/>
    </row>
    <row r="601" spans="2:15" outlineLevel="1" x14ac:dyDescent="0.3">
      <c r="B601" s="8" t="s">
        <v>199</v>
      </c>
    </row>
    <row r="602" spans="2:15" outlineLevel="1" x14ac:dyDescent="0.3">
      <c r="B602" s="3" t="s">
        <v>191</v>
      </c>
      <c r="E602" s="10">
        <v>-3454</v>
      </c>
      <c r="F602" s="10">
        <f>E605</f>
        <v>-584</v>
      </c>
      <c r="G602" s="10">
        <f t="shared" ref="G602:O602" si="255">F605</f>
        <v>-406</v>
      </c>
      <c r="H602" s="10">
        <f t="shared" si="255"/>
        <v>163</v>
      </c>
      <c r="I602" s="10">
        <f t="shared" si="255"/>
        <v>-11109</v>
      </c>
      <c r="J602" s="10">
        <f t="shared" si="255"/>
        <v>-11452</v>
      </c>
      <c r="K602" s="10">
        <f t="shared" si="255"/>
        <v>-7172</v>
      </c>
      <c r="L602" s="10">
        <f t="shared" si="255"/>
        <v>-6410</v>
      </c>
      <c r="M602" s="10">
        <f t="shared" si="255"/>
        <v>-5648</v>
      </c>
      <c r="N602" s="10">
        <f t="shared" si="255"/>
        <v>-4886</v>
      </c>
      <c r="O602" s="10">
        <f t="shared" si="255"/>
        <v>-4124</v>
      </c>
    </row>
    <row r="603" spans="2:15" outlineLevel="1" x14ac:dyDescent="0.3">
      <c r="B603" s="3" t="s">
        <v>200</v>
      </c>
      <c r="E603" s="10">
        <v>2781</v>
      </c>
      <c r="F603" s="10">
        <v>42</v>
      </c>
      <c r="G603" s="10">
        <v>569</v>
      </c>
      <c r="H603" s="10">
        <v>-11272</v>
      </c>
      <c r="I603" s="10">
        <v>-343</v>
      </c>
      <c r="J603" s="10">
        <v>4280</v>
      </c>
      <c r="K603" s="10">
        <f>K63</f>
        <v>762</v>
      </c>
      <c r="L603" s="10">
        <f>L63</f>
        <v>762</v>
      </c>
      <c r="M603" s="10">
        <f>M63</f>
        <v>762</v>
      </c>
      <c r="N603" s="10">
        <f>N63</f>
        <v>762</v>
      </c>
      <c r="O603" s="10">
        <f>O63</f>
        <v>762</v>
      </c>
    </row>
    <row r="604" spans="2:15" outlineLevel="1" x14ac:dyDescent="0.3">
      <c r="B604" s="3" t="s">
        <v>205</v>
      </c>
      <c r="E604" s="10">
        <v>89</v>
      </c>
      <c r="F604" s="10">
        <v>136</v>
      </c>
      <c r="G604" s="10">
        <v>0</v>
      </c>
      <c r="H604" s="10">
        <v>0</v>
      </c>
      <c r="I604" s="10">
        <v>0</v>
      </c>
      <c r="J604" s="10">
        <v>0</v>
      </c>
      <c r="K604" s="10">
        <v>0</v>
      </c>
      <c r="L604" s="10">
        <v>0</v>
      </c>
      <c r="M604" s="10">
        <v>0</v>
      </c>
      <c r="N604" s="10">
        <v>0</v>
      </c>
      <c r="O604" s="10">
        <v>0</v>
      </c>
    </row>
    <row r="605" spans="2:15" outlineLevel="1" x14ac:dyDescent="0.3">
      <c r="B605" s="11" t="s">
        <v>195</v>
      </c>
      <c r="E605" s="12">
        <f>SUM(E602:E604)</f>
        <v>-584</v>
      </c>
      <c r="F605" s="12">
        <f t="shared" ref="F605:O605" si="256">SUM(F602:F604)</f>
        <v>-406</v>
      </c>
      <c r="G605" s="12">
        <f t="shared" si="256"/>
        <v>163</v>
      </c>
      <c r="H605" s="12">
        <f t="shared" si="256"/>
        <v>-11109</v>
      </c>
      <c r="I605" s="12">
        <f t="shared" si="256"/>
        <v>-11452</v>
      </c>
      <c r="J605" s="12">
        <f t="shared" si="256"/>
        <v>-7172</v>
      </c>
      <c r="K605" s="12">
        <f t="shared" si="256"/>
        <v>-6410</v>
      </c>
      <c r="L605" s="12">
        <f t="shared" si="256"/>
        <v>-5648</v>
      </c>
      <c r="M605" s="12">
        <f t="shared" si="256"/>
        <v>-4886</v>
      </c>
      <c r="N605" s="12">
        <f t="shared" si="256"/>
        <v>-4124</v>
      </c>
      <c r="O605" s="12">
        <f t="shared" si="256"/>
        <v>-3362</v>
      </c>
    </row>
    <row r="606" spans="2:15" outlineLevel="1" x14ac:dyDescent="0.3">
      <c r="B606" s="8"/>
    </row>
    <row r="607" spans="2:15" outlineLevel="1" x14ac:dyDescent="0.3">
      <c r="B607" s="8" t="s">
        <v>201</v>
      </c>
      <c r="E607" s="14">
        <f>E590+E599+E605</f>
        <v>90488</v>
      </c>
      <c r="F607" s="14">
        <f t="shared" ref="F607:O607" si="257">F590+F599+F605</f>
        <v>65339</v>
      </c>
      <c r="G607" s="14">
        <f t="shared" si="257"/>
        <v>63090</v>
      </c>
      <c r="H607" s="14">
        <f t="shared" si="257"/>
        <v>50672</v>
      </c>
      <c r="I607" s="14">
        <f t="shared" si="257"/>
        <v>62146</v>
      </c>
      <c r="J607" s="14">
        <f t="shared" si="257"/>
        <v>56950</v>
      </c>
      <c r="K607" s="14">
        <f t="shared" si="257"/>
        <v>77622.156459093778</v>
      </c>
      <c r="L607" s="14">
        <f t="shared" si="257"/>
        <v>100149.75848493393</v>
      </c>
      <c r="M607" s="14">
        <f t="shared" si="257"/>
        <v>124280.58379963605</v>
      </c>
      <c r="N607" s="14">
        <f t="shared" si="257"/>
        <v>150100.51885936724</v>
      </c>
      <c r="O607" s="14">
        <f t="shared" si="257"/>
        <v>177712.34514995996</v>
      </c>
    </row>
    <row r="609" spans="2:15" x14ac:dyDescent="0.3">
      <c r="B609" s="278" t="s">
        <v>256</v>
      </c>
      <c r="C609" s="74"/>
      <c r="D609" s="74"/>
      <c r="E609" s="74"/>
      <c r="F609" s="74"/>
      <c r="G609" s="74"/>
      <c r="H609" s="74"/>
      <c r="I609" s="74"/>
      <c r="J609" s="74"/>
      <c r="K609" s="74"/>
      <c r="L609" s="74"/>
      <c r="M609" s="74"/>
      <c r="N609" s="74"/>
      <c r="O609" s="74"/>
    </row>
    <row r="610" spans="2:15" outlineLevel="1" x14ac:dyDescent="0.3"/>
    <row r="611" spans="2:15" ht="15" outlineLevel="1" thickBot="1" x14ac:dyDescent="0.35">
      <c r="B611" s="279" t="s">
        <v>127</v>
      </c>
      <c r="E611" s="78">
        <v>2019</v>
      </c>
      <c r="F611" s="78">
        <v>2020</v>
      </c>
      <c r="G611" s="78">
        <v>2021</v>
      </c>
      <c r="H611" s="78">
        <v>2022</v>
      </c>
      <c r="I611" s="78">
        <v>2023</v>
      </c>
      <c r="J611" s="78">
        <v>2024</v>
      </c>
      <c r="K611" s="131">
        <f>J611+1</f>
        <v>2025</v>
      </c>
      <c r="L611" s="131">
        <f>K611+1</f>
        <v>2026</v>
      </c>
      <c r="M611" s="131">
        <f>L611+1</f>
        <v>2027</v>
      </c>
      <c r="N611" s="131">
        <f>M611+1</f>
        <v>2028</v>
      </c>
      <c r="O611" s="131">
        <f>N611+1</f>
        <v>2029</v>
      </c>
    </row>
    <row r="612" spans="2:15" outlineLevel="1" x14ac:dyDescent="0.3"/>
    <row r="613" spans="2:15" outlineLevel="1" x14ac:dyDescent="0.3">
      <c r="B613" s="3" t="s">
        <v>96</v>
      </c>
      <c r="E613" s="10">
        <f t="shared" ref="E613:O613" si="258">E247</f>
        <v>260174</v>
      </c>
      <c r="F613" s="10">
        <f t="shared" si="258"/>
        <v>274515</v>
      </c>
      <c r="G613" s="10">
        <f t="shared" si="258"/>
        <v>365817</v>
      </c>
      <c r="H613" s="10">
        <f t="shared" si="258"/>
        <v>394328</v>
      </c>
      <c r="I613" s="10">
        <f t="shared" si="258"/>
        <v>383285</v>
      </c>
      <c r="J613" s="10">
        <f t="shared" si="258"/>
        <v>391035</v>
      </c>
      <c r="K613" s="10">
        <f t="shared" si="258"/>
        <v>399722.00499999995</v>
      </c>
      <c r="L613" s="10">
        <f t="shared" si="258"/>
        <v>408957.33227499994</v>
      </c>
      <c r="M613" s="10">
        <f t="shared" si="258"/>
        <v>417114.56047074986</v>
      </c>
      <c r="N613" s="10">
        <f t="shared" si="258"/>
        <v>425679.3212995411</v>
      </c>
      <c r="O613" s="10">
        <f t="shared" si="258"/>
        <v>434675.65721406252</v>
      </c>
    </row>
    <row r="614" spans="2:15" outlineLevel="1" x14ac:dyDescent="0.3">
      <c r="B614" s="3"/>
    </row>
    <row r="615" spans="2:15" outlineLevel="1" x14ac:dyDescent="0.3">
      <c r="B615" s="11" t="s">
        <v>265</v>
      </c>
    </row>
    <row r="616" spans="2:15" outlineLevel="1" x14ac:dyDescent="0.3">
      <c r="B616" s="3" t="s">
        <v>258</v>
      </c>
      <c r="E616" s="264">
        <f t="shared" ref="E616:O616" si="259">E28</f>
        <v>4.7475919961256698E-2</v>
      </c>
      <c r="F616" s="264">
        <f t="shared" si="259"/>
        <v>4.1032366173068865E-2</v>
      </c>
      <c r="G616" s="264">
        <f t="shared" si="259"/>
        <v>3.8573931774630484E-2</v>
      </c>
      <c r="H616" s="264">
        <f t="shared" si="259"/>
        <v>5.3820677202734778E-2</v>
      </c>
      <c r="I616" s="264">
        <f t="shared" si="259"/>
        <v>3.8339616734283891E-2</v>
      </c>
      <c r="J616" s="264">
        <f t="shared" si="259"/>
        <v>3.6536371424552787E-2</v>
      </c>
      <c r="K616" s="265">
        <f t="shared" si="259"/>
        <v>4.0500000000000001E-2</v>
      </c>
      <c r="L616" s="265">
        <f t="shared" si="259"/>
        <v>4.0399999999999998E-2</v>
      </c>
      <c r="M616" s="265">
        <f t="shared" si="259"/>
        <v>4.07E-2</v>
      </c>
      <c r="N616" s="265">
        <f t="shared" si="259"/>
        <v>4.4999999999999998E-2</v>
      </c>
      <c r="O616" s="265">
        <f t="shared" si="259"/>
        <v>4.4999999999999998E-2</v>
      </c>
    </row>
    <row r="617" spans="2:15" outlineLevel="1" x14ac:dyDescent="0.3">
      <c r="B617" s="3" t="s">
        <v>257</v>
      </c>
      <c r="E617" s="10">
        <f t="shared" ref="E617:J617" si="260">E281</f>
        <v>12352</v>
      </c>
      <c r="F617" s="10">
        <f t="shared" si="260"/>
        <v>11264</v>
      </c>
      <c r="G617" s="10">
        <f t="shared" si="260"/>
        <v>14111</v>
      </c>
      <c r="H617" s="10">
        <f t="shared" si="260"/>
        <v>21223</v>
      </c>
      <c r="I617" s="10">
        <f t="shared" si="260"/>
        <v>14695</v>
      </c>
      <c r="J617" s="10">
        <f t="shared" si="260"/>
        <v>14287</v>
      </c>
      <c r="K617" s="10">
        <f>K616*K613</f>
        <v>16188.741202499998</v>
      </c>
      <c r="L617" s="10">
        <f>L616*L613</f>
        <v>16521.876223909996</v>
      </c>
      <c r="M617" s="10">
        <f>M616*M613</f>
        <v>16976.562611159519</v>
      </c>
      <c r="N617" s="10">
        <f>N616*N613</f>
        <v>19155.569458479349</v>
      </c>
      <c r="O617" s="10">
        <f>O616*O613</f>
        <v>19560.404574632812</v>
      </c>
    </row>
    <row r="618" spans="2:15" outlineLevel="1" x14ac:dyDescent="0.3">
      <c r="B618" s="3"/>
    </row>
    <row r="619" spans="2:15" outlineLevel="1" x14ac:dyDescent="0.3">
      <c r="B619" s="266"/>
      <c r="C619" s="68"/>
      <c r="D619" s="68"/>
      <c r="E619" s="68"/>
      <c r="F619" s="68"/>
      <c r="G619" s="68"/>
      <c r="H619" s="68"/>
      <c r="I619" s="68"/>
      <c r="J619" s="68"/>
      <c r="K619" s="68"/>
      <c r="L619" s="68"/>
      <c r="M619" s="68"/>
      <c r="N619" s="68"/>
      <c r="O619" s="68"/>
    </row>
    <row r="620" spans="2:15" outlineLevel="1" x14ac:dyDescent="0.3">
      <c r="B620" s="11" t="s">
        <v>259</v>
      </c>
    </row>
    <row r="621" spans="2:15" outlineLevel="1" x14ac:dyDescent="0.3">
      <c r="B621" s="3" t="s">
        <v>263</v>
      </c>
      <c r="E621" s="264"/>
      <c r="F621" s="264"/>
      <c r="G621" s="264"/>
      <c r="H621" s="264">
        <f>H624/H613</f>
        <v>3.8990383640015419E-2</v>
      </c>
      <c r="I621" s="264">
        <f>I624/I613</f>
        <v>4.6576307447460767E-2</v>
      </c>
      <c r="J621" s="264">
        <f>J624/J613</f>
        <v>4.9865101589371796E-2</v>
      </c>
      <c r="K621" s="265">
        <v>4.4999999999999998E-2</v>
      </c>
      <c r="L621" s="265">
        <v>4.4999999999999998E-2</v>
      </c>
      <c r="M621" s="265">
        <v>4.4999999999999998E-2</v>
      </c>
      <c r="N621" s="265">
        <v>4.4999999999999998E-2</v>
      </c>
      <c r="O621" s="265">
        <v>4.4999999999999998E-2</v>
      </c>
    </row>
    <row r="622" spans="2:15" outlineLevel="1" x14ac:dyDescent="0.3">
      <c r="B622" s="3" t="s">
        <v>32</v>
      </c>
      <c r="E622" s="264"/>
      <c r="F622" s="264"/>
      <c r="G622" s="264"/>
      <c r="H622" s="264">
        <f>H626/H613</f>
        <v>7.2619748027023187E-2</v>
      </c>
      <c r="I622" s="264">
        <f>I626/I613</f>
        <v>9.4564097212257198E-2</v>
      </c>
      <c r="J622" s="264">
        <f>J626/J613</f>
        <v>0.11533750175815465</v>
      </c>
      <c r="K622" s="265">
        <v>0.09</v>
      </c>
      <c r="L622" s="265">
        <v>0.09</v>
      </c>
      <c r="M622" s="265">
        <v>0.09</v>
      </c>
      <c r="N622" s="265">
        <v>0.09</v>
      </c>
      <c r="O622" s="265">
        <v>0.09</v>
      </c>
    </row>
    <row r="623" spans="2:15" outlineLevel="1" x14ac:dyDescent="0.3">
      <c r="B623" s="11"/>
    </row>
    <row r="624" spans="2:15" outlineLevel="1" x14ac:dyDescent="0.3">
      <c r="B624" s="3" t="s">
        <v>261</v>
      </c>
      <c r="F624" s="10"/>
      <c r="G624" s="10"/>
      <c r="H624" s="10">
        <v>15375</v>
      </c>
      <c r="I624" s="10">
        <v>17852</v>
      </c>
      <c r="J624" s="10">
        <v>19499</v>
      </c>
      <c r="K624" s="10">
        <f>K621*K613</f>
        <v>17987.490224999998</v>
      </c>
      <c r="L624" s="10">
        <f>L621*L613</f>
        <v>18403.079952374996</v>
      </c>
      <c r="M624" s="10">
        <f>M621*M613</f>
        <v>18770.155221183744</v>
      </c>
      <c r="N624" s="10">
        <f>N621*N613</f>
        <v>19155.569458479349</v>
      </c>
      <c r="O624" s="10">
        <f>O621*O613</f>
        <v>19560.404574632812</v>
      </c>
    </row>
    <row r="625" spans="2:15" outlineLevel="1" x14ac:dyDescent="0.3">
      <c r="B625" s="3" t="s">
        <v>170</v>
      </c>
      <c r="F625" s="10"/>
      <c r="G625" s="10"/>
      <c r="H625" s="10">
        <f t="shared" ref="H625:O625" si="261">H527</f>
        <v>10417</v>
      </c>
      <c r="I625" s="10">
        <f t="shared" si="261"/>
        <v>10661</v>
      </c>
      <c r="J625" s="10">
        <f t="shared" si="261"/>
        <v>10234</v>
      </c>
      <c r="K625" s="10">
        <f t="shared" si="261"/>
        <v>10912.410736499998</v>
      </c>
      <c r="L625" s="10">
        <f t="shared" si="261"/>
        <v>11164.535171107498</v>
      </c>
      <c r="M625" s="10">
        <f t="shared" si="261"/>
        <v>11387.227500851472</v>
      </c>
      <c r="N625" s="10">
        <f t="shared" si="261"/>
        <v>11621.045471477471</v>
      </c>
      <c r="O625" s="10">
        <f t="shared" si="261"/>
        <v>11866.645441943907</v>
      </c>
    </row>
    <row r="626" spans="2:15" outlineLevel="1" x14ac:dyDescent="0.3">
      <c r="B626" s="3" t="s">
        <v>260</v>
      </c>
      <c r="F626" s="10"/>
      <c r="G626" s="10"/>
      <c r="H626" s="10">
        <f>H627-SUM(H624:H625)</f>
        <v>28636</v>
      </c>
      <c r="I626" s="10">
        <f t="shared" ref="I626:J626" si="262">I627-SUM(I624:I625)</f>
        <v>36245</v>
      </c>
      <c r="J626" s="10">
        <f t="shared" si="262"/>
        <v>45101</v>
      </c>
      <c r="K626" s="10">
        <f>K622*K613</f>
        <v>35974.980449999995</v>
      </c>
      <c r="L626" s="10">
        <f>L622*L613</f>
        <v>36806.159904749991</v>
      </c>
      <c r="M626" s="10">
        <f>M622*M613</f>
        <v>37540.310442367489</v>
      </c>
      <c r="N626" s="10">
        <f>N622*N613</f>
        <v>38311.138916958698</v>
      </c>
      <c r="O626" s="10">
        <f>O622*O613</f>
        <v>39120.809149265624</v>
      </c>
    </row>
    <row r="627" spans="2:15" outlineLevel="1" x14ac:dyDescent="0.3">
      <c r="B627" s="3" t="s">
        <v>262</v>
      </c>
      <c r="E627" s="12">
        <f t="shared" ref="E627:J627" si="263">E287</f>
        <v>32978</v>
      </c>
      <c r="F627" s="12">
        <f t="shared" si="263"/>
        <v>42522</v>
      </c>
      <c r="G627" s="12">
        <f t="shared" si="263"/>
        <v>48849</v>
      </c>
      <c r="H627" s="12">
        <f t="shared" si="263"/>
        <v>54428</v>
      </c>
      <c r="I627" s="12">
        <f t="shared" si="263"/>
        <v>64758</v>
      </c>
      <c r="J627" s="12">
        <f t="shared" si="263"/>
        <v>74834</v>
      </c>
      <c r="K627" s="12">
        <f>SUM(K624:K626)</f>
        <v>64874.881411499991</v>
      </c>
      <c r="L627" s="12">
        <f t="shared" ref="L627:O627" si="264">SUM(L624:L626)</f>
        <v>66373.775028232485</v>
      </c>
      <c r="M627" s="12">
        <f t="shared" si="264"/>
        <v>67697.693164402706</v>
      </c>
      <c r="N627" s="12">
        <f t="shared" si="264"/>
        <v>69087.753846915526</v>
      </c>
      <c r="O627" s="12">
        <f t="shared" si="264"/>
        <v>70547.859165842339</v>
      </c>
    </row>
    <row r="628" spans="2:15" outlineLevel="1" x14ac:dyDescent="0.3"/>
    <row r="629" spans="2:15" outlineLevel="1" x14ac:dyDescent="0.3">
      <c r="B629" s="3" t="s">
        <v>266</v>
      </c>
      <c r="E629" s="159">
        <f t="shared" ref="E629:O629" si="265">E44</f>
        <v>3.3554467394897262E-3</v>
      </c>
      <c r="F629" s="159">
        <f t="shared" si="265"/>
        <v>-3.4927053166493631E-2</v>
      </c>
      <c r="G629" s="159">
        <f t="shared" si="265"/>
        <v>-2.1983669430343588E-2</v>
      </c>
      <c r="H629" s="159">
        <f t="shared" si="265"/>
        <v>-1.6481203465135624E-2</v>
      </c>
      <c r="I629" s="159">
        <f t="shared" si="265"/>
        <v>-1.4829695918180988E-2</v>
      </c>
      <c r="J629" s="159">
        <f t="shared" si="265"/>
        <v>-2.9999872134207937E-2</v>
      </c>
      <c r="K629" s="79">
        <f t="shared" si="265"/>
        <v>-0.02</v>
      </c>
      <c r="L629" s="79">
        <f t="shared" si="265"/>
        <v>-0.02</v>
      </c>
      <c r="M629" s="79">
        <f t="shared" si="265"/>
        <v>-0.02</v>
      </c>
      <c r="N629" s="79">
        <f t="shared" si="265"/>
        <v>-0.02</v>
      </c>
      <c r="O629" s="79">
        <f t="shared" si="265"/>
        <v>-0.02</v>
      </c>
    </row>
    <row r="630" spans="2:15" outlineLevel="1" x14ac:dyDescent="0.3">
      <c r="B630" s="3" t="s">
        <v>264</v>
      </c>
      <c r="E630" s="10">
        <f t="shared" ref="E630:J630" si="266">E330</f>
        <v>873</v>
      </c>
      <c r="F630" s="10">
        <f t="shared" si="266"/>
        <v>-9588</v>
      </c>
      <c r="G630" s="10">
        <f t="shared" si="266"/>
        <v>-8042</v>
      </c>
      <c r="H630" s="10">
        <f t="shared" si="266"/>
        <v>-6499</v>
      </c>
      <c r="I630" s="10">
        <f t="shared" si="266"/>
        <v>-5684</v>
      </c>
      <c r="J630" s="10">
        <f t="shared" si="266"/>
        <v>-11731</v>
      </c>
      <c r="K630" s="10">
        <f>K629*K613</f>
        <v>-7994.4400999999989</v>
      </c>
      <c r="L630" s="10">
        <f t="shared" ref="L630:O630" si="267">L629*L613</f>
        <v>-8179.1466454999991</v>
      </c>
      <c r="M630" s="10">
        <f t="shared" si="267"/>
        <v>-8342.2912094149979</v>
      </c>
      <c r="N630" s="10">
        <f t="shared" si="267"/>
        <v>-8513.586425990823</v>
      </c>
      <c r="O630" s="10">
        <f t="shared" si="267"/>
        <v>-8693.5131442812508</v>
      </c>
    </row>
    <row r="631" spans="2:15" outlineLevel="1" x14ac:dyDescent="0.3"/>
    <row r="632" spans="2:15" outlineLevel="1" x14ac:dyDescent="0.3">
      <c r="B632" s="266"/>
      <c r="C632" s="68"/>
      <c r="D632" s="68"/>
      <c r="E632" s="68"/>
      <c r="F632" s="68"/>
      <c r="G632" s="68"/>
      <c r="H632" s="68"/>
      <c r="I632" s="68"/>
      <c r="J632" s="68"/>
      <c r="K632" s="68"/>
      <c r="L632" s="68"/>
      <c r="M632" s="68"/>
      <c r="N632" s="68"/>
      <c r="O632" s="68"/>
    </row>
    <row r="633" spans="2:15" outlineLevel="1" x14ac:dyDescent="0.3">
      <c r="B633" s="11" t="s">
        <v>267</v>
      </c>
    </row>
    <row r="634" spans="2:15" outlineLevel="1" x14ac:dyDescent="0.3">
      <c r="B634" s="3" t="s">
        <v>270</v>
      </c>
      <c r="E634" s="159"/>
      <c r="F634" s="159"/>
      <c r="G634" s="159"/>
      <c r="H634" s="159">
        <f>H637/H613</f>
        <v>1.6615609340447545E-2</v>
      </c>
      <c r="I634" s="159">
        <f t="shared" ref="I634:J634" si="268">I637/I613</f>
        <v>2.3008988089802628E-2</v>
      </c>
      <c r="J634" s="159">
        <f t="shared" si="268"/>
        <v>6.8027158694234535E-2</v>
      </c>
      <c r="K634" s="265">
        <v>3.5999999999999997E-2</v>
      </c>
      <c r="L634" s="265">
        <v>3.5999999999999997E-2</v>
      </c>
      <c r="M634" s="265">
        <v>3.5999999999999997E-2</v>
      </c>
      <c r="N634" s="265">
        <v>3.5999999999999997E-2</v>
      </c>
      <c r="O634" s="265">
        <v>3.5999999999999997E-2</v>
      </c>
    </row>
    <row r="635" spans="2:15" outlineLevel="1" x14ac:dyDescent="0.3">
      <c r="B635" s="3" t="s">
        <v>271</v>
      </c>
      <c r="E635" s="159"/>
      <c r="F635" s="159"/>
      <c r="G635" s="159"/>
      <c r="H635" s="159">
        <f>H640/H613</f>
        <v>0.13346757014465116</v>
      </c>
      <c r="I635" s="159">
        <f t="shared" ref="I635:J635" si="269">I640/I613</f>
        <v>0.12636810728309222</v>
      </c>
      <c r="J635" s="159">
        <f t="shared" si="269"/>
        <v>0.12804736148938076</v>
      </c>
      <c r="K635" s="265">
        <f>AVERAGE(H635:J635)</f>
        <v>0.12929434630570805</v>
      </c>
      <c r="L635" s="265">
        <f t="shared" ref="L635:O635" si="270">AVERAGE(I635:K635)</f>
        <v>0.127903271692727</v>
      </c>
      <c r="M635" s="265">
        <f t="shared" si="270"/>
        <v>0.12841499316260527</v>
      </c>
      <c r="N635" s="265">
        <f t="shared" si="270"/>
        <v>0.1285375370536801</v>
      </c>
      <c r="O635" s="265">
        <f t="shared" si="270"/>
        <v>0.12828526730300413</v>
      </c>
    </row>
    <row r="636" spans="2:15" outlineLevel="1" x14ac:dyDescent="0.3">
      <c r="B636" s="3"/>
    </row>
    <row r="637" spans="2:15" outlineLevel="1" x14ac:dyDescent="0.3">
      <c r="B637" s="3" t="s">
        <v>268</v>
      </c>
      <c r="H637" s="10">
        <v>6552</v>
      </c>
      <c r="I637" s="10">
        <v>8819</v>
      </c>
      <c r="J637" s="10">
        <v>26601</v>
      </c>
      <c r="K637" s="10">
        <f>K634*K613</f>
        <v>14389.992179999997</v>
      </c>
      <c r="L637" s="10">
        <f t="shared" ref="L637:O637" si="271">L634*L613</f>
        <v>14722.463961899997</v>
      </c>
      <c r="M637" s="10">
        <f t="shared" si="271"/>
        <v>15016.124176946994</v>
      </c>
      <c r="N637" s="10">
        <f t="shared" si="271"/>
        <v>15324.455566783479</v>
      </c>
      <c r="O637" s="10">
        <f t="shared" si="271"/>
        <v>15648.32365970625</v>
      </c>
    </row>
    <row r="638" spans="2:15" outlineLevel="1" x14ac:dyDescent="0.3">
      <c r="B638" s="3" t="s">
        <v>168</v>
      </c>
      <c r="H638" s="10">
        <f t="shared" ref="H638:O638" si="272">H532</f>
        <v>129</v>
      </c>
      <c r="I638" s="10">
        <f t="shared" si="272"/>
        <v>165</v>
      </c>
      <c r="J638" s="10">
        <f t="shared" si="272"/>
        <v>144</v>
      </c>
      <c r="K638" s="10">
        <f t="shared" si="272"/>
        <v>127.91104159999999</v>
      </c>
      <c r="L638" s="10">
        <f t="shared" si="272"/>
        <v>130.86634632799999</v>
      </c>
      <c r="M638" s="10">
        <f t="shared" si="272"/>
        <v>133.47665935063998</v>
      </c>
      <c r="N638" s="10">
        <f t="shared" si="272"/>
        <v>136.21738281585317</v>
      </c>
      <c r="O638" s="10">
        <f t="shared" si="272"/>
        <v>139.09621030850002</v>
      </c>
    </row>
    <row r="639" spans="2:15" outlineLevel="1" x14ac:dyDescent="0.3">
      <c r="B639" s="3" t="s">
        <v>166</v>
      </c>
      <c r="H639" s="10">
        <f t="shared" ref="H639:O639" si="273">H537</f>
        <v>1534</v>
      </c>
      <c r="I639" s="10">
        <f t="shared" si="273"/>
        <v>1410</v>
      </c>
      <c r="J639" s="10">
        <f t="shared" si="273"/>
        <v>1488</v>
      </c>
      <c r="K639" s="10">
        <f t="shared" si="273"/>
        <v>1558.9158194999998</v>
      </c>
      <c r="L639" s="10">
        <f t="shared" si="273"/>
        <v>1594.9335958724998</v>
      </c>
      <c r="M639" s="10">
        <f t="shared" si="273"/>
        <v>1626.7467858359244</v>
      </c>
      <c r="N639" s="10">
        <f t="shared" si="273"/>
        <v>1660.1493530682103</v>
      </c>
      <c r="O639" s="10">
        <f t="shared" si="273"/>
        <v>1695.2350631348438</v>
      </c>
    </row>
    <row r="640" spans="2:15" outlineLevel="1" x14ac:dyDescent="0.3">
      <c r="B640" s="3" t="s">
        <v>37</v>
      </c>
      <c r="H640" s="10">
        <f>H641-SUM(H637:H639)</f>
        <v>52630</v>
      </c>
      <c r="I640" s="10">
        <f t="shared" ref="I640:J640" si="274">I641-SUM(I637:I639)</f>
        <v>48435</v>
      </c>
      <c r="J640" s="10">
        <f t="shared" si="274"/>
        <v>50071</v>
      </c>
      <c r="K640" s="10">
        <f>K635*K613</f>
        <v>51681.795340481956</v>
      </c>
      <c r="L640" s="10">
        <f t="shared" ref="L640:O640" si="275">L635*L613</f>
        <v>52306.98078070215</v>
      </c>
      <c r="M640" s="10">
        <f t="shared" si="275"/>
        <v>53563.763430874445</v>
      </c>
      <c r="N640" s="10">
        <f t="shared" si="275"/>
        <v>54715.771534525156</v>
      </c>
      <c r="O640" s="10">
        <f t="shared" si="275"/>
        <v>55762.482875815003</v>
      </c>
    </row>
    <row r="641" spans="2:15" outlineLevel="1" x14ac:dyDescent="0.3">
      <c r="B641" s="3" t="s">
        <v>269</v>
      </c>
      <c r="E641" s="12">
        <f t="shared" ref="E641:J641" si="276">E294</f>
        <v>37720</v>
      </c>
      <c r="F641" s="12">
        <f t="shared" si="276"/>
        <v>42684</v>
      </c>
      <c r="G641" s="12">
        <f t="shared" si="276"/>
        <v>47493</v>
      </c>
      <c r="H641" s="12">
        <f t="shared" si="276"/>
        <v>60845</v>
      </c>
      <c r="I641" s="12">
        <f t="shared" si="276"/>
        <v>58829</v>
      </c>
      <c r="J641" s="12">
        <f t="shared" si="276"/>
        <v>78304</v>
      </c>
      <c r="K641" s="12">
        <f>SUM(K637:K640)</f>
        <v>67758.614381581952</v>
      </c>
      <c r="L641" s="12">
        <f t="shared" ref="L641:O641" si="277">SUM(L637:L640)</f>
        <v>68755.244684802645</v>
      </c>
      <c r="M641" s="12">
        <f t="shared" si="277"/>
        <v>70340.111053008004</v>
      </c>
      <c r="N641" s="12">
        <f t="shared" si="277"/>
        <v>71836.593837192704</v>
      </c>
      <c r="O641" s="12">
        <f t="shared" si="277"/>
        <v>73245.137808964602</v>
      </c>
    </row>
    <row r="642" spans="2:15" outlineLevel="1" x14ac:dyDescent="0.3"/>
    <row r="643" spans="2:15" outlineLevel="1" x14ac:dyDescent="0.3">
      <c r="B643" s="11" t="s">
        <v>272</v>
      </c>
    </row>
    <row r="644" spans="2:15" outlineLevel="1" x14ac:dyDescent="0.3">
      <c r="B644" s="3" t="s">
        <v>270</v>
      </c>
      <c r="E644" s="159"/>
      <c r="F644" s="159"/>
      <c r="G644" s="159"/>
      <c r="H644" s="159">
        <f>H647/H613</f>
        <v>4.2241484246617028E-2</v>
      </c>
      <c r="I644" s="159">
        <f t="shared" ref="I644:J644" si="278">I647/I613</f>
        <v>4.0327693491788094E-2</v>
      </c>
      <c r="J644" s="159">
        <f t="shared" si="278"/>
        <v>2.3665400795325225E-2</v>
      </c>
      <c r="K644" s="79">
        <v>3.5000000000000003E-2</v>
      </c>
      <c r="L644" s="79">
        <v>3.5000000000000003E-2</v>
      </c>
      <c r="M644" s="79">
        <v>3.5000000000000003E-2</v>
      </c>
      <c r="N644" s="79">
        <v>3.5000000000000003E-2</v>
      </c>
      <c r="O644" s="79">
        <v>3.5000000000000003E-2</v>
      </c>
    </row>
    <row r="645" spans="2:15" outlineLevel="1" x14ac:dyDescent="0.3">
      <c r="B645" s="3" t="s">
        <v>274</v>
      </c>
      <c r="E645" s="159"/>
      <c r="F645" s="159"/>
      <c r="G645" s="159"/>
      <c r="H645" s="159">
        <f>H650/H613</f>
        <v>5.5124160597269281E-2</v>
      </c>
      <c r="I645" s="159">
        <f t="shared" ref="I645:J645" si="279">I650/I613</f>
        <v>6.0331085223789084E-2</v>
      </c>
      <c r="J645" s="159">
        <f t="shared" si="279"/>
        <v>6.6070812075645399E-2</v>
      </c>
      <c r="K645" s="79">
        <v>6.0999999999999999E-2</v>
      </c>
      <c r="L645" s="79">
        <v>6.0999999999999999E-2</v>
      </c>
      <c r="M645" s="79">
        <v>6.0999999999999999E-2</v>
      </c>
      <c r="N645" s="79">
        <v>6.0999999999999999E-2</v>
      </c>
      <c r="O645" s="79">
        <v>6.0999999999999999E-2</v>
      </c>
    </row>
    <row r="646" spans="2:15" outlineLevel="1" x14ac:dyDescent="0.3"/>
    <row r="647" spans="2:15" outlineLevel="1" x14ac:dyDescent="0.3">
      <c r="B647" s="3" t="s">
        <v>268</v>
      </c>
      <c r="E647" s="10"/>
      <c r="F647" s="10"/>
      <c r="G647" s="10"/>
      <c r="H647" s="10">
        <v>16657</v>
      </c>
      <c r="I647" s="10">
        <v>15457</v>
      </c>
      <c r="J647" s="10">
        <v>9254</v>
      </c>
      <c r="K647" s="10">
        <f>K644*K613</f>
        <v>13990.270175</v>
      </c>
      <c r="L647" s="10">
        <f t="shared" ref="L647:O647" si="280">L644*L613</f>
        <v>14313.506629624999</v>
      </c>
      <c r="M647" s="10">
        <f t="shared" si="280"/>
        <v>14599.009616476247</v>
      </c>
      <c r="N647" s="10">
        <f t="shared" si="280"/>
        <v>14898.776245483939</v>
      </c>
      <c r="O647" s="10">
        <f t="shared" si="280"/>
        <v>15213.648002492189</v>
      </c>
    </row>
    <row r="648" spans="2:15" outlineLevel="1" x14ac:dyDescent="0.3">
      <c r="B648" s="3" t="s">
        <v>169</v>
      </c>
      <c r="E648" s="10"/>
      <c r="F648" s="10"/>
      <c r="G648" s="10"/>
      <c r="H648" s="10">
        <f t="shared" ref="H648:O648" si="281">H533</f>
        <v>812</v>
      </c>
      <c r="I648" s="10">
        <f t="shared" si="281"/>
        <v>859</v>
      </c>
      <c r="J648" s="10">
        <f t="shared" si="281"/>
        <v>752</v>
      </c>
      <c r="K648" s="10">
        <f t="shared" si="281"/>
        <v>671.53296839999996</v>
      </c>
      <c r="L648" s="10">
        <f t="shared" si="281"/>
        <v>687.04831822199992</v>
      </c>
      <c r="M648" s="10">
        <f t="shared" si="281"/>
        <v>700.75246159085975</v>
      </c>
      <c r="N648" s="10">
        <f t="shared" si="281"/>
        <v>715.14125978322909</v>
      </c>
      <c r="O648" s="10">
        <f t="shared" si="281"/>
        <v>730.255104119625</v>
      </c>
    </row>
    <row r="649" spans="2:15" outlineLevel="1" x14ac:dyDescent="0.3">
      <c r="B649" s="3" t="s">
        <v>167</v>
      </c>
      <c r="E649" s="10"/>
      <c r="F649" s="10"/>
      <c r="G649" s="10"/>
      <c r="H649" s="10">
        <f t="shared" ref="H649:O649" si="282">H538</f>
        <v>9936</v>
      </c>
      <c r="I649" s="10">
        <f t="shared" si="282"/>
        <v>10408</v>
      </c>
      <c r="J649" s="10">
        <f t="shared" si="282"/>
        <v>10046</v>
      </c>
      <c r="K649" s="10">
        <f t="shared" si="282"/>
        <v>10432.744330499998</v>
      </c>
      <c r="L649" s="10">
        <f t="shared" si="282"/>
        <v>10673.786372377497</v>
      </c>
      <c r="M649" s="10">
        <f t="shared" si="282"/>
        <v>10886.69002828657</v>
      </c>
      <c r="N649" s="10">
        <f t="shared" si="282"/>
        <v>11110.230285918022</v>
      </c>
      <c r="O649" s="10">
        <f t="shared" si="282"/>
        <v>11345.034653287032</v>
      </c>
    </row>
    <row r="650" spans="2:15" outlineLevel="1" x14ac:dyDescent="0.3">
      <c r="B650" s="3" t="s">
        <v>40</v>
      </c>
      <c r="E650" s="10"/>
      <c r="F650" s="10"/>
      <c r="G650" s="10"/>
      <c r="H650" s="10">
        <f>H651-SUM(H647:H649)</f>
        <v>21737</v>
      </c>
      <c r="I650" s="10">
        <f t="shared" ref="I650:J650" si="283">I651-SUM(I647:I649)</f>
        <v>23124</v>
      </c>
      <c r="J650" s="10">
        <f t="shared" si="283"/>
        <v>25836</v>
      </c>
      <c r="K650" s="10">
        <f>K645*K613</f>
        <v>24383.042304999995</v>
      </c>
      <c r="L650" s="10">
        <f t="shared" ref="L650:O650" si="284">L645*L613</f>
        <v>24946.397268774996</v>
      </c>
      <c r="M650" s="10">
        <f t="shared" si="284"/>
        <v>25443.988188715739</v>
      </c>
      <c r="N650" s="10">
        <f t="shared" si="284"/>
        <v>25966.438599272005</v>
      </c>
      <c r="O650" s="10">
        <f t="shared" si="284"/>
        <v>26515.215090057813</v>
      </c>
    </row>
    <row r="651" spans="2:15" outlineLevel="1" x14ac:dyDescent="0.3">
      <c r="B651" s="3" t="s">
        <v>273</v>
      </c>
      <c r="E651" s="12">
        <f t="shared" ref="E651:J651" si="285">E302</f>
        <v>50503</v>
      </c>
      <c r="F651" s="12">
        <f t="shared" si="285"/>
        <v>54490</v>
      </c>
      <c r="G651" s="12">
        <f t="shared" si="285"/>
        <v>53325</v>
      </c>
      <c r="H651" s="12">
        <f t="shared" si="285"/>
        <v>49142</v>
      </c>
      <c r="I651" s="12">
        <f t="shared" si="285"/>
        <v>49848</v>
      </c>
      <c r="J651" s="12">
        <f t="shared" si="285"/>
        <v>45888</v>
      </c>
      <c r="K651" s="12">
        <f>SUM(K647:K650)</f>
        <v>49477.589778899994</v>
      </c>
      <c r="L651" s="12">
        <f t="shared" ref="L651:O651" si="286">SUM(L647:L650)</f>
        <v>50620.738588999491</v>
      </c>
      <c r="M651" s="12">
        <f t="shared" si="286"/>
        <v>51630.44029506942</v>
      </c>
      <c r="N651" s="12">
        <f t="shared" si="286"/>
        <v>52690.586390457196</v>
      </c>
      <c r="O651" s="12">
        <f t="shared" si="286"/>
        <v>53804.152849956663</v>
      </c>
    </row>
    <row r="652" spans="2:15" outlineLevel="1" x14ac:dyDescent="0.3"/>
    <row r="653" spans="2:15" outlineLevel="1" x14ac:dyDescent="0.3">
      <c r="B653" s="3" t="s">
        <v>276</v>
      </c>
      <c r="E653" s="159">
        <f>E654/E613</f>
        <v>-1.8064833534480771E-2</v>
      </c>
      <c r="F653" s="159">
        <f t="shared" ref="F653:J653" si="287">F654/F613</f>
        <v>3.2479099502759415E-2</v>
      </c>
      <c r="G653" s="159">
        <f t="shared" si="287"/>
        <v>1.5852188389276607E-2</v>
      </c>
      <c r="H653" s="159">
        <f t="shared" si="287"/>
        <v>1.5494715059544339E-2</v>
      </c>
      <c r="I653" s="159">
        <f t="shared" si="287"/>
        <v>7.9079536115423243E-3</v>
      </c>
      <c r="J653" s="159">
        <f t="shared" si="287"/>
        <v>3.9771375963788408E-2</v>
      </c>
      <c r="K653" s="79">
        <v>2.1000000000000001E-2</v>
      </c>
      <c r="L653" s="79">
        <v>2.1000000000000001E-2</v>
      </c>
      <c r="M653" s="79">
        <v>2.1000000000000001E-2</v>
      </c>
      <c r="N653" s="79">
        <v>2.1000000000000001E-2</v>
      </c>
      <c r="O653" s="79">
        <v>2.1000000000000001E-2</v>
      </c>
    </row>
    <row r="654" spans="2:15" outlineLevel="1" x14ac:dyDescent="0.3">
      <c r="B654" s="3" t="s">
        <v>275</v>
      </c>
      <c r="E654" s="10">
        <f t="shared" ref="E654:J654" si="288">E333</f>
        <v>-4700</v>
      </c>
      <c r="F654" s="10">
        <f t="shared" si="288"/>
        <v>8916</v>
      </c>
      <c r="G654" s="10">
        <f t="shared" si="288"/>
        <v>5799</v>
      </c>
      <c r="H654" s="10">
        <f t="shared" si="288"/>
        <v>6110</v>
      </c>
      <c r="I654" s="10">
        <f t="shared" si="288"/>
        <v>3031</v>
      </c>
      <c r="J654" s="10">
        <f t="shared" si="288"/>
        <v>15552</v>
      </c>
      <c r="K654" s="10">
        <f>K653*K613</f>
        <v>8394.1621049999994</v>
      </c>
      <c r="L654" s="10">
        <f t="shared" ref="L654:O654" si="289">L653*L613</f>
        <v>8588.1039777749993</v>
      </c>
      <c r="M654" s="10">
        <f t="shared" si="289"/>
        <v>8759.4057698857468</v>
      </c>
      <c r="N654" s="10">
        <f t="shared" si="289"/>
        <v>8939.2657472903629</v>
      </c>
      <c r="O654" s="10">
        <f t="shared" si="289"/>
        <v>9128.1888014953129</v>
      </c>
    </row>
  </sheetData>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6145" r:id="rId4" name="Drop Down 1">
              <controlPr defaultSize="0" autoLine="0" autoPict="0">
                <anchor moveWithCells="1">
                  <from>
                    <xdr:col>2</xdr:col>
                    <xdr:colOff>0</xdr:colOff>
                    <xdr:row>2</xdr:row>
                    <xdr:rowOff>0</xdr:rowOff>
                  </from>
                  <to>
                    <xdr:col>3</xdr:col>
                    <xdr:colOff>457200</xdr:colOff>
                    <xdr:row>3</xdr:row>
                    <xdr:rowOff>0</xdr:rowOff>
                  </to>
                </anchor>
              </controlPr>
            </control>
          </mc:Choice>
        </mc:AlternateContent>
      </controls>
    </mc:Choice>
  </mc:AlternateConten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Cover Page</vt:lpstr>
      <vt:lpstr>Dashboard</vt:lpstr>
      <vt:lpstr>WACC</vt:lpstr>
      <vt:lpstr>DCF</vt:lpstr>
      <vt:lpstr>Comparable Companyn Analysis</vt:lpstr>
      <vt:lpstr>Financial 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2025-04-05T13:49:31Z</dcterms:created>
  <dcterms:modified xsi:type="dcterms:W3CDTF">2025-04-12T06:03:26Z</dcterms:modified>
</cp:coreProperties>
</file>