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ctrlProps/ctrlProp3.xml" ContentType="application/vnd.ms-excel.controlproperties+xml"/>
  <Override PartName="/xl/drawings/drawing5.xml" ContentType="application/vnd.openxmlformats-officedocument.drawing+xml"/>
  <Override PartName="/xl/drawings/drawing6.xml" ContentType="application/vnd.openxmlformats-officedocument.drawing+xml"/>
  <Override PartName="/xl/ctrlProps/ctrlProp4.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filterPrivacy="1"/>
  <xr:revisionPtr revIDLastSave="0" documentId="13_ncr:1_{500BB7D2-134C-4548-959C-01801C7AAB98}" xr6:coauthVersionLast="47" xr6:coauthVersionMax="47" xr10:uidLastSave="{00000000-0000-0000-0000-000000000000}"/>
  <bookViews>
    <workbookView xWindow="-108" yWindow="-108" windowWidth="23256" windowHeight="12456" firstSheet="1" activeTab="1" xr2:uid="{96EB6C4B-2AB1-4C4D-89B5-E27DCE5F4557}"/>
  </bookViews>
  <sheets>
    <sheet name="Cover Page" sheetId="1" r:id="rId1"/>
    <sheet name="Dashboard" sheetId="2" r:id="rId2"/>
    <sheet name="WACC" sheetId="3" r:id="rId3"/>
    <sheet name="DCF" sheetId="4" r:id="rId4"/>
    <sheet name="Comparable Companyn Analysis" sheetId="5" r:id="rId5"/>
    <sheet name="Financial Model" sheetId="6" r:id="rId6"/>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2" l="1"/>
  <c r="G68" i="2"/>
  <c r="G69" i="2" s="1"/>
  <c r="H68" i="2"/>
  <c r="H69" i="2" s="1"/>
  <c r="F68" i="2"/>
  <c r="F69" i="2" s="1"/>
  <c r="K9" i="2"/>
  <c r="L9" i="2"/>
  <c r="J9" i="2"/>
  <c r="G37" i="4"/>
  <c r="H25" i="4"/>
  <c r="I25" i="4"/>
  <c r="G25" i="4"/>
  <c r="H23" i="4"/>
  <c r="I23" i="4"/>
  <c r="I26" i="4" s="1"/>
  <c r="H24" i="4"/>
  <c r="I24" i="4"/>
  <c r="G24" i="4"/>
  <c r="G23" i="4"/>
  <c r="G20" i="4"/>
  <c r="G19" i="4"/>
  <c r="H16" i="4"/>
  <c r="I16" i="4"/>
  <c r="G16" i="4"/>
  <c r="G15" i="4"/>
  <c r="J19" i="3"/>
  <c r="J14" i="3"/>
  <c r="J15" i="3" s="1"/>
  <c r="H7" i="4"/>
  <c r="I7" i="4" s="1"/>
  <c r="J7" i="4" s="1"/>
  <c r="K7" i="4" s="1"/>
  <c r="L7" i="4" s="1"/>
  <c r="M7" i="4" s="1"/>
  <c r="N7" i="4" s="1"/>
  <c r="E314" i="6"/>
  <c r="E224" i="6"/>
  <c r="E134" i="6"/>
  <c r="G38" i="6"/>
  <c r="G314" i="6" s="1"/>
  <c r="F38" i="6"/>
  <c r="F314" i="6" s="1"/>
  <c r="F75" i="6"/>
  <c r="G75" i="6"/>
  <c r="E75" i="6"/>
  <c r="F30" i="6"/>
  <c r="F216" i="6" s="1"/>
  <c r="G30" i="6"/>
  <c r="G216" i="6" s="1"/>
  <c r="E30" i="6"/>
  <c r="E126" i="6" s="1"/>
  <c r="G27" i="6"/>
  <c r="G213" i="6" s="1"/>
  <c r="F27" i="6"/>
  <c r="F123" i="6" s="1"/>
  <c r="E27" i="6"/>
  <c r="E303" i="6" s="1"/>
  <c r="G26" i="6"/>
  <c r="F26" i="6"/>
  <c r="E26" i="6"/>
  <c r="F29" i="6"/>
  <c r="F125" i="6" s="1"/>
  <c r="G29" i="6"/>
  <c r="G125" i="6" s="1"/>
  <c r="E29" i="6"/>
  <c r="E215" i="6" s="1"/>
  <c r="F25" i="6"/>
  <c r="F301" i="6" s="1"/>
  <c r="G25" i="6"/>
  <c r="G301" i="6" s="1"/>
  <c r="E25" i="6"/>
  <c r="E301" i="6" s="1"/>
  <c r="F81" i="6"/>
  <c r="F357" i="6" s="1"/>
  <c r="G81" i="6"/>
  <c r="G267" i="6" s="1"/>
  <c r="E81" i="6"/>
  <c r="E357" i="6" s="1"/>
  <c r="F79" i="6"/>
  <c r="F175" i="6" s="1"/>
  <c r="F265" i="6" s="1"/>
  <c r="G79" i="6"/>
  <c r="G175" i="6" s="1"/>
  <c r="G265" i="6" s="1"/>
  <c r="E79" i="6"/>
  <c r="E175" i="6" s="1"/>
  <c r="E265" i="6" s="1"/>
  <c r="F78" i="6"/>
  <c r="F264" i="6" s="1"/>
  <c r="G78" i="6"/>
  <c r="G174" i="6" s="1"/>
  <c r="E78" i="6"/>
  <c r="E354" i="6" s="1"/>
  <c r="H26" i="4" l="1"/>
  <c r="G26" i="4"/>
  <c r="F224" i="6"/>
  <c r="F134" i="6"/>
  <c r="G224" i="6"/>
  <c r="G134" i="6"/>
  <c r="F126" i="6"/>
  <c r="E305" i="6"/>
  <c r="E213" i="6"/>
  <c r="G305" i="6"/>
  <c r="F305" i="6"/>
  <c r="F215" i="6"/>
  <c r="G303" i="6"/>
  <c r="G215" i="6"/>
  <c r="G126" i="6"/>
  <c r="F213" i="6"/>
  <c r="G121" i="6"/>
  <c r="G306" i="6"/>
  <c r="G211" i="6"/>
  <c r="F303" i="6"/>
  <c r="E211" i="6"/>
  <c r="F121" i="6"/>
  <c r="F306" i="6"/>
  <c r="F211" i="6"/>
  <c r="E216" i="6"/>
  <c r="E121" i="6"/>
  <c r="E123" i="6"/>
  <c r="E125" i="6"/>
  <c r="G123" i="6"/>
  <c r="E306" i="6"/>
  <c r="F177" i="6"/>
  <c r="E267" i="6"/>
  <c r="E177" i="6"/>
  <c r="G357" i="6"/>
  <c r="G177" i="6"/>
  <c r="F267" i="6"/>
  <c r="E355" i="6"/>
  <c r="G355" i="6"/>
  <c r="F355" i="6"/>
  <c r="G264" i="6"/>
  <c r="G354" i="6"/>
  <c r="F354" i="6"/>
  <c r="F174" i="6"/>
  <c r="E174" i="6"/>
  <c r="E264" i="6"/>
  <c r="F74" i="6"/>
  <c r="F260" i="6" s="1"/>
  <c r="G74" i="6"/>
  <c r="G350" i="6" s="1"/>
  <c r="E74" i="6"/>
  <c r="E350" i="6" s="1"/>
  <c r="F62" i="6"/>
  <c r="G62" i="6"/>
  <c r="E62" i="6"/>
  <c r="F61" i="6"/>
  <c r="F157" i="6" s="1"/>
  <c r="G61" i="6"/>
  <c r="G157" i="6" s="1"/>
  <c r="E61" i="6"/>
  <c r="E247" i="6" s="1"/>
  <c r="F76" i="6"/>
  <c r="F262" i="6" s="1"/>
  <c r="G76" i="6"/>
  <c r="G172" i="6" s="1"/>
  <c r="G352" i="6" s="1"/>
  <c r="E76" i="6"/>
  <c r="E172" i="6" s="1"/>
  <c r="E352" i="6" s="1"/>
  <c r="F735" i="6"/>
  <c r="G730" i="6" s="1"/>
  <c r="G735" i="6" s="1"/>
  <c r="H730" i="6" s="1"/>
  <c r="E735" i="6"/>
  <c r="F94" i="6"/>
  <c r="F370" i="6" s="1"/>
  <c r="G94" i="6"/>
  <c r="G370" i="6" s="1"/>
  <c r="E94" i="6"/>
  <c r="E370" i="6" s="1"/>
  <c r="F90" i="6"/>
  <c r="F186" i="6" s="1"/>
  <c r="G90" i="6"/>
  <c r="G366" i="6" s="1"/>
  <c r="E90" i="6"/>
  <c r="E186" i="6" s="1"/>
  <c r="E722" i="6"/>
  <c r="F720" i="6" s="1"/>
  <c r="F722" i="6" s="1"/>
  <c r="G720" i="6" s="1"/>
  <c r="G722" i="6" s="1"/>
  <c r="H720" i="6" s="1"/>
  <c r="E714" i="6"/>
  <c r="F710" i="6" s="1"/>
  <c r="F714" i="6" s="1"/>
  <c r="G710" i="6" s="1"/>
  <c r="G714" i="6" s="1"/>
  <c r="H710" i="6" s="1"/>
  <c r="E703" i="6"/>
  <c r="F699" i="6" s="1"/>
  <c r="F703" i="6" s="1"/>
  <c r="G699" i="6" s="1"/>
  <c r="G703" i="6" s="1"/>
  <c r="H699" i="6" s="1"/>
  <c r="G739" i="6"/>
  <c r="F739" i="6"/>
  <c r="E739" i="6"/>
  <c r="G337" i="6" l="1"/>
  <c r="F350" i="6"/>
  <c r="G247" i="6"/>
  <c r="F247" i="6"/>
  <c r="E337" i="6"/>
  <c r="F337" i="6"/>
  <c r="G170" i="6"/>
  <c r="F170" i="6"/>
  <c r="E260" i="6"/>
  <c r="E170" i="6"/>
  <c r="E157" i="6"/>
  <c r="G260" i="6"/>
  <c r="F172" i="6"/>
  <c r="F352" i="6" s="1"/>
  <c r="E262" i="6"/>
  <c r="G262" i="6"/>
  <c r="E276" i="6"/>
  <c r="E727" i="6"/>
  <c r="E707" i="6"/>
  <c r="G707" i="6"/>
  <c r="F707" i="6"/>
  <c r="F727" i="6"/>
  <c r="G186" i="6"/>
  <c r="E190" i="6"/>
  <c r="G727" i="6"/>
  <c r="G190" i="6"/>
  <c r="F276" i="6"/>
  <c r="G276" i="6"/>
  <c r="E280" i="6"/>
  <c r="F366" i="6"/>
  <c r="G280" i="6"/>
  <c r="E366" i="6"/>
  <c r="F190" i="6"/>
  <c r="F280" i="6"/>
  <c r="F58" i="6" l="1"/>
  <c r="F691" i="6" s="1"/>
  <c r="G58" i="6"/>
  <c r="G691" i="6" s="1"/>
  <c r="E58" i="6"/>
  <c r="E691" i="6" s="1"/>
  <c r="F692" i="6"/>
  <c r="G692" i="6"/>
  <c r="E692" i="6"/>
  <c r="F745" i="6"/>
  <c r="G745" i="6"/>
  <c r="E745" i="6"/>
  <c r="F66" i="6"/>
  <c r="F252" i="6" s="1"/>
  <c r="G66" i="6"/>
  <c r="G162" i="6" s="1"/>
  <c r="E66" i="6"/>
  <c r="E342" i="6" s="1"/>
  <c r="F64" i="6"/>
  <c r="F160" i="6" s="1"/>
  <c r="G64" i="6"/>
  <c r="G160" i="6" s="1"/>
  <c r="E64" i="6"/>
  <c r="E250" i="6" s="1"/>
  <c r="F760" i="6"/>
  <c r="G760" i="6"/>
  <c r="E760" i="6"/>
  <c r="F752" i="6"/>
  <c r="G752" i="6"/>
  <c r="E752" i="6"/>
  <c r="F759" i="6"/>
  <c r="G759" i="6"/>
  <c r="E759" i="6"/>
  <c r="F685" i="6"/>
  <c r="G685" i="6"/>
  <c r="E685" i="6"/>
  <c r="F751" i="6"/>
  <c r="G751" i="6"/>
  <c r="E751" i="6"/>
  <c r="F31" i="6"/>
  <c r="F756" i="6" s="1"/>
  <c r="G31" i="6"/>
  <c r="G756" i="6" s="1"/>
  <c r="E31" i="6"/>
  <c r="E127" i="6" s="1"/>
  <c r="F28" i="6"/>
  <c r="F124" i="6" s="1"/>
  <c r="G28" i="6"/>
  <c r="G124" i="6" s="1"/>
  <c r="E28" i="6"/>
  <c r="E124" i="6" s="1"/>
  <c r="F63" i="6"/>
  <c r="F598" i="6" s="1"/>
  <c r="G63" i="6"/>
  <c r="G339" i="6" s="1"/>
  <c r="E63" i="6"/>
  <c r="E339" i="6" s="1"/>
  <c r="E560" i="6"/>
  <c r="F560" i="6"/>
  <c r="G560" i="6"/>
  <c r="D560" i="6"/>
  <c r="F24" i="6"/>
  <c r="F597" i="6" s="1"/>
  <c r="G24" i="6"/>
  <c r="G597" i="6" s="1"/>
  <c r="E24" i="6"/>
  <c r="E597" i="6" s="1"/>
  <c r="F601" i="6"/>
  <c r="G601" i="6"/>
  <c r="E601" i="6"/>
  <c r="F600" i="6"/>
  <c r="G600" i="6"/>
  <c r="E600" i="6"/>
  <c r="G642" i="6"/>
  <c r="E642" i="6"/>
  <c r="F610" i="6"/>
  <c r="G610" i="6"/>
  <c r="E610" i="6"/>
  <c r="F609" i="6"/>
  <c r="G609" i="6"/>
  <c r="E609" i="6"/>
  <c r="F642" i="6"/>
  <c r="F645" i="6"/>
  <c r="G645" i="6"/>
  <c r="E645" i="6"/>
  <c r="E607" i="6"/>
  <c r="F607" i="6"/>
  <c r="G607" i="6"/>
  <c r="D607" i="6"/>
  <c r="F42" i="6"/>
  <c r="G42" i="6"/>
  <c r="E42" i="6"/>
  <c r="F41" i="6"/>
  <c r="F614" i="6" s="1"/>
  <c r="G41" i="6"/>
  <c r="G614" i="6" s="1"/>
  <c r="E41" i="6"/>
  <c r="E614" i="6" s="1"/>
  <c r="F625" i="6"/>
  <c r="F626" i="6" s="1"/>
  <c r="G625" i="6"/>
  <c r="G626" i="6" s="1"/>
  <c r="E620" i="6"/>
  <c r="E622" i="6" s="1"/>
  <c r="G635" i="6" l="1"/>
  <c r="G54" i="6"/>
  <c r="E633" i="6"/>
  <c r="E52" i="6"/>
  <c r="G633" i="6"/>
  <c r="G52" i="6"/>
  <c r="F633" i="6"/>
  <c r="F52" i="6"/>
  <c r="E634" i="6"/>
  <c r="E53" i="6"/>
  <c r="G634" i="6"/>
  <c r="G53" i="6"/>
  <c r="F634" i="6"/>
  <c r="F53" i="6"/>
  <c r="F635" i="6"/>
  <c r="F54" i="6"/>
  <c r="E635" i="6"/>
  <c r="E54" i="6"/>
  <c r="G34" i="6"/>
  <c r="G35" i="6"/>
  <c r="G36" i="6"/>
  <c r="F34" i="6"/>
  <c r="F35" i="6"/>
  <c r="F36" i="6"/>
  <c r="E35" i="6"/>
  <c r="E34" i="6"/>
  <c r="E36" i="6"/>
  <c r="F615" i="6"/>
  <c r="F138" i="6"/>
  <c r="F318" i="6"/>
  <c r="F228" i="6"/>
  <c r="G615" i="6"/>
  <c r="G138" i="6"/>
  <c r="G228" i="6"/>
  <c r="G318" i="6"/>
  <c r="E615" i="6"/>
  <c r="E138" i="6"/>
  <c r="E228" i="6"/>
  <c r="E318" i="6"/>
  <c r="E261" i="6"/>
  <c r="E351" i="6"/>
  <c r="E171" i="6"/>
  <c r="E738" i="6"/>
  <c r="G351" i="6"/>
  <c r="G171" i="6"/>
  <c r="G261" i="6"/>
  <c r="G738" i="6"/>
  <c r="F738" i="6"/>
  <c r="F171" i="6"/>
  <c r="F351" i="6"/>
  <c r="F261" i="6"/>
  <c r="E85" i="6"/>
  <c r="E696" i="6" s="1"/>
  <c r="E89" i="6"/>
  <c r="E726" i="6" s="1"/>
  <c r="E97" i="6"/>
  <c r="E717" i="6" s="1"/>
  <c r="G93" i="6"/>
  <c r="G706" i="6" s="1"/>
  <c r="G88" i="6"/>
  <c r="G725" i="6" s="1"/>
  <c r="G84" i="6"/>
  <c r="G695" i="6" s="1"/>
  <c r="F85" i="6"/>
  <c r="F696" i="6" s="1"/>
  <c r="F97" i="6"/>
  <c r="F717" i="6" s="1"/>
  <c r="F89" i="6"/>
  <c r="F726" i="6" s="1"/>
  <c r="G85" i="6"/>
  <c r="G696" i="6" s="1"/>
  <c r="G97" i="6"/>
  <c r="G717" i="6" s="1"/>
  <c r="G89" i="6"/>
  <c r="G726" i="6" s="1"/>
  <c r="E88" i="6"/>
  <c r="E725" i="6" s="1"/>
  <c r="E93" i="6"/>
  <c r="E706" i="6" s="1"/>
  <c r="E84" i="6"/>
  <c r="E695" i="6" s="1"/>
  <c r="F93" i="6"/>
  <c r="F706" i="6" s="1"/>
  <c r="F84" i="6"/>
  <c r="F695" i="6" s="1"/>
  <c r="F88" i="6"/>
  <c r="F725" i="6" s="1"/>
  <c r="F250" i="6"/>
  <c r="G252" i="6"/>
  <c r="F342" i="6"/>
  <c r="G342" i="6"/>
  <c r="E757" i="6"/>
  <c r="G757" i="6"/>
  <c r="F757" i="6"/>
  <c r="E749" i="6"/>
  <c r="G749" i="6"/>
  <c r="F749" i="6"/>
  <c r="G250" i="6"/>
  <c r="E340" i="6"/>
  <c r="G340" i="6"/>
  <c r="E162" i="6"/>
  <c r="F340" i="6"/>
  <c r="F162" i="6"/>
  <c r="E160" i="6"/>
  <c r="E252" i="6"/>
  <c r="G307" i="6"/>
  <c r="G217" i="6"/>
  <c r="F307" i="6"/>
  <c r="E217" i="6"/>
  <c r="E756" i="6"/>
  <c r="F217" i="6"/>
  <c r="F748" i="6"/>
  <c r="G127" i="6"/>
  <c r="F127" i="6"/>
  <c r="E307" i="6"/>
  <c r="G748" i="6"/>
  <c r="E748" i="6"/>
  <c r="E159" i="6"/>
  <c r="G159" i="6"/>
  <c r="E249" i="6"/>
  <c r="G249" i="6"/>
  <c r="G598" i="6"/>
  <c r="F159" i="6"/>
  <c r="E598" i="6"/>
  <c r="F249" i="6"/>
  <c r="F339" i="6"/>
  <c r="F616" i="6"/>
  <c r="G616" i="6"/>
  <c r="F618" i="6"/>
  <c r="G149" i="6" l="1"/>
  <c r="G239" i="6"/>
  <c r="G329" i="6"/>
  <c r="E239" i="6"/>
  <c r="E329" i="6"/>
  <c r="E149" i="6"/>
  <c r="F328" i="6"/>
  <c r="F238" i="6"/>
  <c r="F148" i="6"/>
  <c r="E150" i="6"/>
  <c r="E240" i="6"/>
  <c r="E330" i="6"/>
  <c r="G328" i="6"/>
  <c r="G238" i="6"/>
  <c r="G148" i="6"/>
  <c r="F150" i="6"/>
  <c r="F330" i="6"/>
  <c r="F240" i="6"/>
  <c r="E328" i="6"/>
  <c r="E238" i="6"/>
  <c r="E148" i="6"/>
  <c r="F239" i="6"/>
  <c r="F329" i="6"/>
  <c r="F149" i="6"/>
  <c r="G150" i="6"/>
  <c r="G330" i="6"/>
  <c r="G240" i="6"/>
  <c r="E312" i="6"/>
  <c r="E222" i="6"/>
  <c r="E132" i="6"/>
  <c r="E130" i="6"/>
  <c r="E310" i="6"/>
  <c r="E220" i="6"/>
  <c r="E221" i="6"/>
  <c r="E131" i="6"/>
  <c r="E311" i="6"/>
  <c r="F132" i="6"/>
  <c r="F222" i="6"/>
  <c r="F312" i="6"/>
  <c r="F221" i="6"/>
  <c r="F131" i="6"/>
  <c r="F311" i="6"/>
  <c r="F130" i="6"/>
  <c r="F310" i="6"/>
  <c r="F220" i="6"/>
  <c r="G132" i="6"/>
  <c r="G222" i="6"/>
  <c r="G312" i="6"/>
  <c r="G221" i="6"/>
  <c r="G131" i="6"/>
  <c r="G311" i="6"/>
  <c r="G310" i="6"/>
  <c r="G220" i="6"/>
  <c r="G130" i="6"/>
  <c r="G365" i="6"/>
  <c r="G275" i="6"/>
  <c r="G185" i="6"/>
  <c r="F365" i="6"/>
  <c r="F275" i="6"/>
  <c r="F185" i="6"/>
  <c r="G373" i="6"/>
  <c r="G283" i="6"/>
  <c r="G193" i="6"/>
  <c r="F373" i="6"/>
  <c r="F283" i="6"/>
  <c r="F193" i="6"/>
  <c r="F181" i="6"/>
  <c r="F361" i="6"/>
  <c r="F271" i="6"/>
  <c r="F364" i="6"/>
  <c r="F274" i="6"/>
  <c r="F184" i="6"/>
  <c r="G364" i="6"/>
  <c r="G274" i="6"/>
  <c r="G184" i="6"/>
  <c r="G369" i="6"/>
  <c r="G279" i="6"/>
  <c r="G189" i="6"/>
  <c r="E365" i="6"/>
  <c r="E275" i="6"/>
  <c r="E185" i="6"/>
  <c r="G361" i="6"/>
  <c r="G271" i="6"/>
  <c r="G181" i="6"/>
  <c r="G270" i="6"/>
  <c r="G360" i="6"/>
  <c r="G180" i="6"/>
  <c r="F360" i="6"/>
  <c r="F270" i="6"/>
  <c r="F180" i="6"/>
  <c r="F189" i="6"/>
  <c r="F279" i="6"/>
  <c r="F369" i="6"/>
  <c r="E180" i="6"/>
  <c r="E270" i="6"/>
  <c r="E360" i="6"/>
  <c r="E373" i="6"/>
  <c r="E283" i="6"/>
  <c r="E193" i="6"/>
  <c r="E189" i="6"/>
  <c r="E369" i="6"/>
  <c r="E279" i="6"/>
  <c r="E364" i="6"/>
  <c r="E274" i="6"/>
  <c r="E184" i="6"/>
  <c r="E271" i="6"/>
  <c r="E361" i="6"/>
  <c r="E181" i="6"/>
  <c r="F620" i="6"/>
  <c r="F622" i="6" l="1"/>
  <c r="G618" i="6"/>
  <c r="H618" i="6" l="1"/>
  <c r="G620" i="6"/>
  <c r="G622" i="6" s="1"/>
  <c r="F652" i="6" l="1"/>
  <c r="G652" i="6"/>
  <c r="E652" i="6"/>
  <c r="F677" i="6"/>
  <c r="G677" i="6"/>
  <c r="F678" i="6"/>
  <c r="G678" i="6"/>
  <c r="E678" i="6"/>
  <c r="E677" i="6"/>
  <c r="F667" i="6"/>
  <c r="G667" i="6"/>
  <c r="E667" i="6"/>
  <c r="F72" i="6"/>
  <c r="F348" i="6" s="1"/>
  <c r="G72" i="6"/>
  <c r="G348" i="6" s="1"/>
  <c r="E72" i="6"/>
  <c r="E348" i="6" s="1"/>
  <c r="F592" i="6"/>
  <c r="G592" i="6"/>
  <c r="E592" i="6"/>
  <c r="F71" i="6"/>
  <c r="F257" i="6" s="1"/>
  <c r="G71" i="6"/>
  <c r="G257" i="6" s="1"/>
  <c r="E71" i="6"/>
  <c r="E257" i="6" s="1"/>
  <c r="F69" i="6"/>
  <c r="F585" i="6" s="1"/>
  <c r="G69" i="6"/>
  <c r="G585" i="6" s="1"/>
  <c r="F70" i="6"/>
  <c r="F256" i="6" s="1"/>
  <c r="G70" i="6"/>
  <c r="G586" i="6" s="1"/>
  <c r="E70" i="6"/>
  <c r="E586" i="6" s="1"/>
  <c r="E69" i="6"/>
  <c r="E585" i="6" s="1"/>
  <c r="F591" i="6"/>
  <c r="G591" i="6"/>
  <c r="E591" i="6"/>
  <c r="F590" i="6"/>
  <c r="G590" i="6"/>
  <c r="E590" i="6"/>
  <c r="F23" i="6"/>
  <c r="G23" i="6"/>
  <c r="E23" i="6"/>
  <c r="F589" i="6"/>
  <c r="G589" i="6"/>
  <c r="E589" i="6"/>
  <c r="F517" i="6"/>
  <c r="G517" i="6"/>
  <c r="C527" i="6"/>
  <c r="E515" i="6"/>
  <c r="F519" i="6"/>
  <c r="G519" i="6"/>
  <c r="E519" i="6"/>
  <c r="F523" i="6"/>
  <c r="G523" i="6"/>
  <c r="E523" i="6"/>
  <c r="G568" i="6"/>
  <c r="F568" i="6"/>
  <c r="F561" i="6"/>
  <c r="G561" i="6"/>
  <c r="E561" i="6"/>
  <c r="F562" i="6"/>
  <c r="G562" i="6"/>
  <c r="E562" i="6"/>
  <c r="F68" i="6"/>
  <c r="G68" i="6"/>
  <c r="E68" i="6"/>
  <c r="E578" i="6"/>
  <c r="E580" i="6" s="1"/>
  <c r="F578" i="6"/>
  <c r="F580" i="6" s="1"/>
  <c r="G578" i="6"/>
  <c r="G580" i="6" s="1"/>
  <c r="F22" i="6"/>
  <c r="G22" i="6"/>
  <c r="E22" i="6"/>
  <c r="F21" i="6"/>
  <c r="G21" i="6"/>
  <c r="E21" i="6"/>
  <c r="G494" i="6"/>
  <c r="F494" i="6"/>
  <c r="E494" i="6"/>
  <c r="G493" i="6"/>
  <c r="F493" i="6"/>
  <c r="E493" i="6"/>
  <c r="F12" i="6"/>
  <c r="F288" i="6" s="1"/>
  <c r="G12" i="6"/>
  <c r="G288" i="6" s="1"/>
  <c r="F13" i="6"/>
  <c r="F199" i="6" s="1"/>
  <c r="G13" i="6"/>
  <c r="G199" i="6" s="1"/>
  <c r="F14" i="6"/>
  <c r="F110" i="6" s="1"/>
  <c r="G14" i="6"/>
  <c r="G110" i="6" s="1"/>
  <c r="F15" i="6"/>
  <c r="F291" i="6" s="1"/>
  <c r="G15" i="6"/>
  <c r="G291" i="6" s="1"/>
  <c r="F16" i="6"/>
  <c r="F202" i="6" s="1"/>
  <c r="G16" i="6"/>
  <c r="G292" i="6" s="1"/>
  <c r="F17" i="6"/>
  <c r="F113" i="6" s="1"/>
  <c r="G17" i="6"/>
  <c r="G113" i="6" s="1"/>
  <c r="E17" i="6"/>
  <c r="E113" i="6" s="1"/>
  <c r="E16" i="6"/>
  <c r="E292" i="6" s="1"/>
  <c r="E15" i="6"/>
  <c r="E291" i="6" s="1"/>
  <c r="E14" i="6"/>
  <c r="E110" i="6" s="1"/>
  <c r="E13" i="6"/>
  <c r="E289" i="6" s="1"/>
  <c r="E12" i="6"/>
  <c r="E288" i="6" s="1"/>
  <c r="D589" i="6"/>
  <c r="E7" i="6"/>
  <c r="E101" i="6"/>
  <c r="E377" i="6"/>
  <c r="F483" i="6"/>
  <c r="G78" i="2" s="1"/>
  <c r="E483" i="6"/>
  <c r="F78" i="2" s="1"/>
  <c r="G483" i="6"/>
  <c r="H78" i="2" s="1"/>
  <c r="E381" i="6"/>
  <c r="F381" i="6"/>
  <c r="G381" i="6"/>
  <c r="G55" i="2"/>
  <c r="H55" i="2" s="1"/>
  <c r="I55" i="2" s="1"/>
  <c r="J55" i="2" s="1"/>
  <c r="K55" i="2" s="1"/>
  <c r="L55" i="2" s="1"/>
  <c r="M55" i="2" s="1"/>
  <c r="E13" i="2"/>
  <c r="E12" i="2"/>
  <c r="E9" i="2"/>
  <c r="E11" i="2"/>
  <c r="K7" i="2"/>
  <c r="L7" i="2" s="1"/>
  <c r="M7" i="2" s="1"/>
  <c r="N7" i="2" s="1"/>
  <c r="O7" i="2" s="1"/>
  <c r="P7" i="2" s="1"/>
  <c r="Q7" i="2" s="1"/>
  <c r="L11" i="2" l="1"/>
  <c r="H59" i="2"/>
  <c r="K11" i="2"/>
  <c r="G59" i="2"/>
  <c r="J11" i="2"/>
  <c r="F59" i="2"/>
  <c r="F567" i="6"/>
  <c r="F37" i="6"/>
  <c r="G567" i="6"/>
  <c r="G37" i="6"/>
  <c r="E567" i="6"/>
  <c r="E37" i="6"/>
  <c r="G255" i="6"/>
  <c r="F255" i="6"/>
  <c r="F168" i="6"/>
  <c r="G168" i="6"/>
  <c r="G256" i="6"/>
  <c r="E168" i="6"/>
  <c r="E258" i="6"/>
  <c r="G258" i="6"/>
  <c r="G587" i="6"/>
  <c r="F258" i="6"/>
  <c r="E587" i="6"/>
  <c r="F587" i="6"/>
  <c r="F167" i="6"/>
  <c r="E167" i="6"/>
  <c r="G167" i="6"/>
  <c r="F586" i="6"/>
  <c r="G518" i="6"/>
  <c r="F518" i="6"/>
  <c r="E109" i="6"/>
  <c r="E201" i="6"/>
  <c r="E112" i="6"/>
  <c r="E290" i="6"/>
  <c r="E198" i="6"/>
  <c r="E108" i="6"/>
  <c r="G108" i="6"/>
  <c r="F292" i="6"/>
  <c r="G200" i="6"/>
  <c r="G203" i="6"/>
  <c r="E293" i="6"/>
  <c r="F108" i="6"/>
  <c r="F109" i="6"/>
  <c r="F289" i="6"/>
  <c r="E200" i="6"/>
  <c r="G289" i="6"/>
  <c r="F200" i="6"/>
  <c r="E111" i="6"/>
  <c r="E203" i="6"/>
  <c r="F111" i="6"/>
  <c r="F290" i="6"/>
  <c r="F203" i="6"/>
  <c r="G111" i="6"/>
  <c r="F293" i="6"/>
  <c r="F112" i="6"/>
  <c r="F198" i="6"/>
  <c r="F201" i="6"/>
  <c r="G290" i="6"/>
  <c r="G293" i="6"/>
  <c r="G109" i="6"/>
  <c r="G112" i="6"/>
  <c r="G198" i="6"/>
  <c r="G201" i="6"/>
  <c r="E199" i="6"/>
  <c r="E202" i="6"/>
  <c r="G202" i="6"/>
  <c r="D115" i="2"/>
  <c r="E115" i="2" s="1"/>
  <c r="F115" i="2" s="1"/>
  <c r="G115" i="2" s="1"/>
  <c r="H115" i="2" s="1"/>
  <c r="I115" i="2" s="1"/>
  <c r="J115" i="2" s="1"/>
  <c r="E223" i="6" l="1"/>
  <c r="E313" i="6"/>
  <c r="E133" i="6"/>
  <c r="G133" i="6"/>
  <c r="G313" i="6"/>
  <c r="G223" i="6"/>
  <c r="F133" i="6"/>
  <c r="F223" i="6"/>
  <c r="F313" i="6"/>
  <c r="D584" i="6"/>
  <c r="K27" i="5"/>
  <c r="I27" i="5" s="1"/>
  <c r="E19" i="2" s="1"/>
  <c r="K26" i="5"/>
  <c r="I26" i="5" s="1"/>
  <c r="E18" i="2" s="1"/>
  <c r="K25" i="5"/>
  <c r="I25" i="5" s="1"/>
  <c r="K24" i="5"/>
  <c r="I24" i="5" s="1"/>
  <c r="E20" i="2" s="1"/>
  <c r="C3" i="3"/>
  <c r="C3" i="4"/>
  <c r="C3" i="6"/>
  <c r="N104" i="2"/>
  <c r="O104" i="2" s="1"/>
  <c r="P104" i="2" s="1"/>
  <c r="N93" i="2"/>
  <c r="M93" i="2" s="1"/>
  <c r="L93" i="2" s="1"/>
  <c r="F104" i="2"/>
  <c r="E104" i="2" s="1"/>
  <c r="D104" i="2" s="1"/>
  <c r="F93" i="2"/>
  <c r="G93" i="2" s="1"/>
  <c r="H93" i="2" s="1"/>
  <c r="H37" i="4"/>
  <c r="N57" i="4"/>
  <c r="J62" i="4"/>
  <c r="I87" i="2"/>
  <c r="I86" i="2"/>
  <c r="I83" i="2"/>
  <c r="I20" i="4"/>
  <c r="H20" i="4"/>
  <c r="I19" i="4"/>
  <c r="H19" i="4"/>
  <c r="H15" i="4"/>
  <c r="I15" i="4"/>
  <c r="G12" i="4"/>
  <c r="H12" i="4"/>
  <c r="I12" i="4"/>
  <c r="G52" i="4"/>
  <c r="G45" i="4"/>
  <c r="I50" i="6" l="1"/>
  <c r="I631" i="6" s="1"/>
  <c r="I53" i="6"/>
  <c r="I634" i="6" s="1"/>
  <c r="H50" i="6"/>
  <c r="H631" i="6" s="1"/>
  <c r="J53" i="6"/>
  <c r="J634" i="6" s="1"/>
  <c r="K53" i="6"/>
  <c r="K634" i="6" s="1"/>
  <c r="J52" i="6"/>
  <c r="J633" i="6" s="1"/>
  <c r="H52" i="6"/>
  <c r="H633" i="6" s="1"/>
  <c r="J50" i="6"/>
  <c r="J631" i="6" s="1"/>
  <c r="K50" i="6"/>
  <c r="K631" i="6" s="1"/>
  <c r="L50" i="6"/>
  <c r="L631" i="6" s="1"/>
  <c r="L53" i="6"/>
  <c r="L634" i="6" s="1"/>
  <c r="J54" i="6"/>
  <c r="J635" i="6" s="1"/>
  <c r="K51" i="6"/>
  <c r="K632" i="6" s="1"/>
  <c r="L54" i="6"/>
  <c r="L635" i="6" s="1"/>
  <c r="I52" i="6"/>
  <c r="I633" i="6" s="1"/>
  <c r="L52" i="6"/>
  <c r="L633" i="6" s="1"/>
  <c r="I51" i="6"/>
  <c r="I632" i="6" s="1"/>
  <c r="I54" i="6"/>
  <c r="I635" i="6" s="1"/>
  <c r="K54" i="6"/>
  <c r="K635" i="6" s="1"/>
  <c r="L51" i="6"/>
  <c r="L632" i="6" s="1"/>
  <c r="H54" i="6"/>
  <c r="H635" i="6" s="1"/>
  <c r="H53" i="6"/>
  <c r="H634" i="6" s="1"/>
  <c r="H51" i="6"/>
  <c r="H632" i="6" s="1"/>
  <c r="J51" i="6"/>
  <c r="J632" i="6" s="1"/>
  <c r="K52" i="6"/>
  <c r="K633" i="6" s="1"/>
  <c r="H46" i="6"/>
  <c r="H654" i="6" s="1"/>
  <c r="L45" i="6"/>
  <c r="L653" i="6" s="1"/>
  <c r="K45" i="6"/>
  <c r="K653" i="6" s="1"/>
  <c r="L47" i="6"/>
  <c r="L655" i="6" s="1"/>
  <c r="J45" i="6"/>
  <c r="J653" i="6" s="1"/>
  <c r="K47" i="6"/>
  <c r="K655" i="6" s="1"/>
  <c r="I45" i="6"/>
  <c r="I653" i="6" s="1"/>
  <c r="J47" i="6"/>
  <c r="J655" i="6" s="1"/>
  <c r="H45" i="6"/>
  <c r="H653" i="6" s="1"/>
  <c r="I47" i="6"/>
  <c r="I655" i="6" s="1"/>
  <c r="H47" i="6"/>
  <c r="H655" i="6" s="1"/>
  <c r="L46" i="6"/>
  <c r="L654" i="6" s="1"/>
  <c r="J46" i="6"/>
  <c r="J654" i="6" s="1"/>
  <c r="K46" i="6"/>
  <c r="K654" i="6" s="1"/>
  <c r="I46" i="6"/>
  <c r="I654" i="6" s="1"/>
  <c r="L38" i="6"/>
  <c r="L568" i="6" s="1"/>
  <c r="J36" i="6"/>
  <c r="J566" i="6" s="1"/>
  <c r="H34" i="6"/>
  <c r="H564" i="6" s="1"/>
  <c r="I36" i="6"/>
  <c r="I566" i="6" s="1"/>
  <c r="J38" i="6"/>
  <c r="J568" i="6" s="1"/>
  <c r="L35" i="6"/>
  <c r="L565" i="6" s="1"/>
  <c r="K38" i="6"/>
  <c r="K568" i="6" s="1"/>
  <c r="H36" i="6"/>
  <c r="H566" i="6" s="1"/>
  <c r="I38" i="6"/>
  <c r="I568" i="6" s="1"/>
  <c r="H38" i="6"/>
  <c r="H568" i="6" s="1"/>
  <c r="K35" i="6"/>
  <c r="K565" i="6" s="1"/>
  <c r="I37" i="6"/>
  <c r="I567" i="6" s="1"/>
  <c r="J34" i="6"/>
  <c r="J564" i="6" s="1"/>
  <c r="L37" i="6"/>
  <c r="L567" i="6" s="1"/>
  <c r="J35" i="6"/>
  <c r="J565" i="6" s="1"/>
  <c r="K34" i="6"/>
  <c r="K564" i="6" s="1"/>
  <c r="I34" i="6"/>
  <c r="I564" i="6" s="1"/>
  <c r="K37" i="6"/>
  <c r="K567" i="6" s="1"/>
  <c r="I35" i="6"/>
  <c r="I565" i="6" s="1"/>
  <c r="H35" i="6"/>
  <c r="H565" i="6" s="1"/>
  <c r="L34" i="6"/>
  <c r="L564" i="6" s="1"/>
  <c r="L36" i="6"/>
  <c r="L566" i="6" s="1"/>
  <c r="J37" i="6"/>
  <c r="J567" i="6" s="1"/>
  <c r="H37" i="6"/>
  <c r="H567" i="6" s="1"/>
  <c r="K36" i="6"/>
  <c r="K566" i="6" s="1"/>
  <c r="I41" i="6"/>
  <c r="I614" i="6" s="1"/>
  <c r="K26" i="6"/>
  <c r="K458" i="6" s="1"/>
  <c r="H41" i="6"/>
  <c r="H614" i="6" s="1"/>
  <c r="J26" i="6"/>
  <c r="J458" i="6" s="1"/>
  <c r="I26" i="6"/>
  <c r="I458" i="6" s="1"/>
  <c r="H26" i="6"/>
  <c r="H458" i="6" s="1"/>
  <c r="L26" i="6"/>
  <c r="L458" i="6" s="1"/>
  <c r="L29" i="6"/>
  <c r="L466" i="6" s="1"/>
  <c r="N24" i="4" s="1"/>
  <c r="L42" i="6"/>
  <c r="L615" i="6" s="1"/>
  <c r="L25" i="6"/>
  <c r="L455" i="6" s="1"/>
  <c r="K29" i="6"/>
  <c r="K466" i="6" s="1"/>
  <c r="M24" i="4" s="1"/>
  <c r="L81" i="6"/>
  <c r="L436" i="6" s="1"/>
  <c r="J81" i="6"/>
  <c r="J436" i="6" s="1"/>
  <c r="I42" i="6"/>
  <c r="I615" i="6" s="1"/>
  <c r="J30" i="6"/>
  <c r="I81" i="6"/>
  <c r="I436" i="6" s="1"/>
  <c r="H25" i="6"/>
  <c r="H455" i="6" s="1"/>
  <c r="H27" i="6"/>
  <c r="H459" i="6" s="1"/>
  <c r="H30" i="6"/>
  <c r="L27" i="6"/>
  <c r="L459" i="6" s="1"/>
  <c r="K42" i="6"/>
  <c r="K615" i="6" s="1"/>
  <c r="K25" i="6"/>
  <c r="K455" i="6" s="1"/>
  <c r="J29" i="6"/>
  <c r="J466" i="6" s="1"/>
  <c r="L24" i="4" s="1"/>
  <c r="L30" i="6"/>
  <c r="K81" i="6"/>
  <c r="K436" i="6" s="1"/>
  <c r="H29" i="6"/>
  <c r="H466" i="6" s="1"/>
  <c r="J24" i="4" s="1"/>
  <c r="H42" i="6"/>
  <c r="H615" i="6" s="1"/>
  <c r="I30" i="6"/>
  <c r="L41" i="6"/>
  <c r="L614" i="6" s="1"/>
  <c r="K27" i="6"/>
  <c r="K459" i="6" s="1"/>
  <c r="J42" i="6"/>
  <c r="J615" i="6" s="1"/>
  <c r="J25" i="6"/>
  <c r="J455" i="6" s="1"/>
  <c r="I29" i="6"/>
  <c r="I466" i="6" s="1"/>
  <c r="K24" i="4" s="1"/>
  <c r="K30" i="6"/>
  <c r="I25" i="6"/>
  <c r="I455" i="6" s="1"/>
  <c r="H81" i="6"/>
  <c r="H436" i="6" s="1"/>
  <c r="J27" i="6"/>
  <c r="J459" i="6" s="1"/>
  <c r="K41" i="6"/>
  <c r="K614" i="6" s="1"/>
  <c r="I27" i="6"/>
  <c r="I459" i="6" s="1"/>
  <c r="J41" i="6"/>
  <c r="J614" i="6" s="1"/>
  <c r="L79" i="6"/>
  <c r="L433" i="6" s="1"/>
  <c r="J79" i="6"/>
  <c r="J433" i="6" s="1"/>
  <c r="K79" i="6"/>
  <c r="K433" i="6" s="1"/>
  <c r="I79" i="6"/>
  <c r="I433" i="6" s="1"/>
  <c r="H79" i="6"/>
  <c r="H433" i="6" s="1"/>
  <c r="I78" i="6"/>
  <c r="J78" i="6"/>
  <c r="K78" i="6"/>
  <c r="L78" i="6"/>
  <c r="H78" i="6"/>
  <c r="K62" i="6"/>
  <c r="K409" i="6" s="1"/>
  <c r="J74" i="6"/>
  <c r="H74" i="6"/>
  <c r="J62" i="6"/>
  <c r="J409" i="6" s="1"/>
  <c r="I62" i="6"/>
  <c r="I409" i="6" s="1"/>
  <c r="L62" i="6"/>
  <c r="L409" i="6" s="1"/>
  <c r="H62" i="6"/>
  <c r="H409" i="6" s="1"/>
  <c r="I74" i="6"/>
  <c r="L74" i="6"/>
  <c r="K74" i="6"/>
  <c r="L60" i="6"/>
  <c r="K60" i="6"/>
  <c r="L75" i="6"/>
  <c r="L738" i="6" s="1"/>
  <c r="H75" i="6"/>
  <c r="H738" i="6" s="1"/>
  <c r="J60" i="6"/>
  <c r="J75" i="6"/>
  <c r="J738" i="6" s="1"/>
  <c r="I60" i="6"/>
  <c r="H60" i="6"/>
  <c r="I75" i="6"/>
  <c r="I738" i="6" s="1"/>
  <c r="K75" i="6"/>
  <c r="K738" i="6" s="1"/>
  <c r="L76" i="6"/>
  <c r="L430" i="6" s="1"/>
  <c r="K76" i="6"/>
  <c r="K430" i="6" s="1"/>
  <c r="J76" i="6"/>
  <c r="J430" i="6" s="1"/>
  <c r="I76" i="6"/>
  <c r="I430" i="6" s="1"/>
  <c r="H76" i="6"/>
  <c r="H430" i="6" s="1"/>
  <c r="L97" i="6"/>
  <c r="L717" i="6" s="1"/>
  <c r="J93" i="6"/>
  <c r="J706" i="6" s="1"/>
  <c r="H89" i="6"/>
  <c r="H726" i="6" s="1"/>
  <c r="J84" i="6"/>
  <c r="J695" i="6" s="1"/>
  <c r="J90" i="6"/>
  <c r="J727" i="6" s="1"/>
  <c r="J733" i="6" s="1"/>
  <c r="H85" i="6"/>
  <c r="H696" i="6" s="1"/>
  <c r="K97" i="6"/>
  <c r="K717" i="6" s="1"/>
  <c r="I93" i="6"/>
  <c r="I706" i="6" s="1"/>
  <c r="L88" i="6"/>
  <c r="L725" i="6" s="1"/>
  <c r="K84" i="6"/>
  <c r="K695" i="6" s="1"/>
  <c r="L94" i="6"/>
  <c r="L707" i="6" s="1"/>
  <c r="L713" i="6" s="1"/>
  <c r="J89" i="6"/>
  <c r="J726" i="6" s="1"/>
  <c r="J97" i="6"/>
  <c r="J717" i="6" s="1"/>
  <c r="H93" i="6"/>
  <c r="H706" i="6" s="1"/>
  <c r="K88" i="6"/>
  <c r="K725" i="6" s="1"/>
  <c r="L84" i="6"/>
  <c r="L695" i="6" s="1"/>
  <c r="I90" i="6"/>
  <c r="I727" i="6" s="1"/>
  <c r="I733" i="6" s="1"/>
  <c r="I97" i="6"/>
  <c r="I717" i="6" s="1"/>
  <c r="L90" i="6"/>
  <c r="L727" i="6" s="1"/>
  <c r="L733" i="6" s="1"/>
  <c r="J88" i="6"/>
  <c r="J725" i="6" s="1"/>
  <c r="H84" i="6"/>
  <c r="H695" i="6" s="1"/>
  <c r="K90" i="6"/>
  <c r="K727" i="6" s="1"/>
  <c r="K733" i="6" s="1"/>
  <c r="H88" i="6"/>
  <c r="H725" i="6" s="1"/>
  <c r="K94" i="6"/>
  <c r="K707" i="6" s="1"/>
  <c r="K713" i="6" s="1"/>
  <c r="L93" i="6"/>
  <c r="L706" i="6" s="1"/>
  <c r="H97" i="6"/>
  <c r="H717" i="6" s="1"/>
  <c r="I88" i="6"/>
  <c r="I725" i="6" s="1"/>
  <c r="L85" i="6"/>
  <c r="L696" i="6" s="1"/>
  <c r="K89" i="6"/>
  <c r="K726" i="6" s="1"/>
  <c r="K93" i="6"/>
  <c r="K706" i="6" s="1"/>
  <c r="J94" i="6"/>
  <c r="J707" i="6" s="1"/>
  <c r="J713" i="6" s="1"/>
  <c r="H90" i="6"/>
  <c r="H727" i="6" s="1"/>
  <c r="H733" i="6" s="1"/>
  <c r="K85" i="6"/>
  <c r="K696" i="6" s="1"/>
  <c r="I94" i="6"/>
  <c r="I707" i="6" s="1"/>
  <c r="I713" i="6" s="1"/>
  <c r="L89" i="6"/>
  <c r="L726" i="6" s="1"/>
  <c r="J85" i="6"/>
  <c r="J696" i="6" s="1"/>
  <c r="I85" i="6"/>
  <c r="I696" i="6" s="1"/>
  <c r="I89" i="6"/>
  <c r="I726" i="6" s="1"/>
  <c r="H94" i="6"/>
  <c r="H707" i="6" s="1"/>
  <c r="H713" i="6" s="1"/>
  <c r="I84" i="6"/>
  <c r="I695" i="6" s="1"/>
  <c r="J58" i="6"/>
  <c r="J691" i="6" s="1"/>
  <c r="I58" i="6"/>
  <c r="I691" i="6" s="1"/>
  <c r="L58" i="6"/>
  <c r="L691" i="6" s="1"/>
  <c r="K58" i="6"/>
  <c r="K691" i="6" s="1"/>
  <c r="H58" i="6"/>
  <c r="H691" i="6" s="1"/>
  <c r="L64" i="6"/>
  <c r="L749" i="6" s="1"/>
  <c r="K64" i="6"/>
  <c r="K749" i="6" s="1"/>
  <c r="I66" i="6"/>
  <c r="I757" i="6" s="1"/>
  <c r="J64" i="6"/>
  <c r="J749" i="6" s="1"/>
  <c r="I64" i="6"/>
  <c r="I749" i="6" s="1"/>
  <c r="H64" i="6"/>
  <c r="H749" i="6" s="1"/>
  <c r="L66" i="6"/>
  <c r="L757" i="6" s="1"/>
  <c r="K66" i="6"/>
  <c r="K757" i="6" s="1"/>
  <c r="J66" i="6"/>
  <c r="J757" i="6" s="1"/>
  <c r="H66" i="6"/>
  <c r="H757" i="6" s="1"/>
  <c r="L31" i="6"/>
  <c r="L756" i="6" s="1"/>
  <c r="K31" i="6"/>
  <c r="K756" i="6" s="1"/>
  <c r="J31" i="6"/>
  <c r="J756" i="6" s="1"/>
  <c r="I31" i="6"/>
  <c r="I756" i="6" s="1"/>
  <c r="H31" i="6"/>
  <c r="H756" i="6" s="1"/>
  <c r="I28" i="6"/>
  <c r="I748" i="6" s="1"/>
  <c r="J28" i="6"/>
  <c r="J748" i="6" s="1"/>
  <c r="K28" i="6"/>
  <c r="K748" i="6" s="1"/>
  <c r="L28" i="6"/>
  <c r="L748" i="6" s="1"/>
  <c r="H28" i="6"/>
  <c r="H748" i="6" s="1"/>
  <c r="I63" i="6"/>
  <c r="I598" i="6" s="1"/>
  <c r="H63" i="6"/>
  <c r="H598" i="6" s="1"/>
  <c r="L24" i="6"/>
  <c r="L597" i="6" s="1"/>
  <c r="K63" i="6"/>
  <c r="K598" i="6" s="1"/>
  <c r="I24" i="6"/>
  <c r="I597" i="6" s="1"/>
  <c r="K24" i="6"/>
  <c r="K597" i="6" s="1"/>
  <c r="L63" i="6"/>
  <c r="L598" i="6" s="1"/>
  <c r="J24" i="6"/>
  <c r="J597" i="6" s="1"/>
  <c r="J63" i="6"/>
  <c r="J598" i="6" s="1"/>
  <c r="H24" i="6"/>
  <c r="H597" i="6" s="1"/>
  <c r="I65" i="6"/>
  <c r="I644" i="6" s="1"/>
  <c r="K65" i="6"/>
  <c r="K644" i="6" s="1"/>
  <c r="L65" i="6"/>
  <c r="L644" i="6" s="1"/>
  <c r="H65" i="6"/>
  <c r="H644" i="6" s="1"/>
  <c r="J65" i="6"/>
  <c r="J644" i="6" s="1"/>
  <c r="H68" i="6"/>
  <c r="I68" i="6"/>
  <c r="J68" i="6"/>
  <c r="K68" i="6"/>
  <c r="L68" i="6"/>
  <c r="H18" i="6"/>
  <c r="K15" i="6"/>
  <c r="I13" i="6"/>
  <c r="K17" i="6"/>
  <c r="L12" i="6"/>
  <c r="H15" i="6"/>
  <c r="H12" i="6"/>
  <c r="H379" i="6" s="1"/>
  <c r="L18" i="6"/>
  <c r="K18" i="6"/>
  <c r="H16" i="6"/>
  <c r="L17" i="6"/>
  <c r="J15" i="6"/>
  <c r="H13" i="6"/>
  <c r="I15" i="6"/>
  <c r="J17" i="6"/>
  <c r="K12" i="6"/>
  <c r="K16" i="6"/>
  <c r="J16" i="6"/>
  <c r="L13" i="6"/>
  <c r="K13" i="6"/>
  <c r="J13" i="6"/>
  <c r="H14" i="6"/>
  <c r="I17" i="6"/>
  <c r="L14" i="6"/>
  <c r="J12" i="6"/>
  <c r="H17" i="6"/>
  <c r="K14" i="6"/>
  <c r="I12" i="6"/>
  <c r="L16" i="6"/>
  <c r="J14" i="6"/>
  <c r="J18" i="6"/>
  <c r="I14" i="6"/>
  <c r="L15" i="6"/>
  <c r="I18" i="6"/>
  <c r="I16" i="6"/>
  <c r="M104" i="2"/>
  <c r="L104" i="2" s="1"/>
  <c r="G104" i="2"/>
  <c r="H104" i="2" s="1"/>
  <c r="E93" i="2"/>
  <c r="D93" i="2" s="1"/>
  <c r="O93" i="2"/>
  <c r="P93" i="2" s="1"/>
  <c r="G21" i="4"/>
  <c r="I21" i="4"/>
  <c r="H21" i="4"/>
  <c r="I37" i="4"/>
  <c r="H47" i="4"/>
  <c r="M9" i="2" l="1"/>
  <c r="H391" i="6"/>
  <c r="H380" i="6"/>
  <c r="H561" i="6" s="1"/>
  <c r="H384" i="6"/>
  <c r="H386" i="6"/>
  <c r="I379" i="6"/>
  <c r="H745" i="6"/>
  <c r="H760" i="6" s="1"/>
  <c r="H416" i="6" s="1"/>
  <c r="H560" i="6"/>
  <c r="H601" i="6" s="1"/>
  <c r="H412" i="6" s="1"/>
  <c r="H607" i="6"/>
  <c r="H621" i="6" s="1"/>
  <c r="H685" i="6"/>
  <c r="H759" i="6" s="1"/>
  <c r="H475" i="6" s="1"/>
  <c r="H493" i="6"/>
  <c r="H385" i="6"/>
  <c r="H420" i="6"/>
  <c r="G28" i="4"/>
  <c r="I28" i="4"/>
  <c r="H28" i="4"/>
  <c r="J37" i="4"/>
  <c r="I47" i="4"/>
  <c r="N9" i="2" l="1"/>
  <c r="H609" i="6"/>
  <c r="H639" i="6" s="1"/>
  <c r="J16" i="4"/>
  <c r="H732" i="6"/>
  <c r="I386" i="6"/>
  <c r="I391" i="6"/>
  <c r="H494" i="6"/>
  <c r="I380" i="6"/>
  <c r="I494" i="6" s="1"/>
  <c r="H739" i="6"/>
  <c r="H429" i="6" s="1"/>
  <c r="H751" i="6"/>
  <c r="H460" i="6" s="1"/>
  <c r="H619" i="6"/>
  <c r="H624" i="6" s="1"/>
  <c r="H702" i="6"/>
  <c r="I385" i="6"/>
  <c r="H752" i="6"/>
  <c r="H413" i="6" s="1"/>
  <c r="I384" i="6"/>
  <c r="H600" i="6"/>
  <c r="H451" i="6" s="1"/>
  <c r="H692" i="6"/>
  <c r="I420" i="6"/>
  <c r="H641" i="6"/>
  <c r="H626" i="6"/>
  <c r="J379" i="6"/>
  <c r="I745" i="6"/>
  <c r="I560" i="6"/>
  <c r="I685" i="6"/>
  <c r="I732" i="6" s="1"/>
  <c r="I607" i="6"/>
  <c r="I493" i="6"/>
  <c r="H562" i="6"/>
  <c r="H523" i="6"/>
  <c r="H29" i="4"/>
  <c r="G29" i="4"/>
  <c r="I29" i="4"/>
  <c r="K37" i="4"/>
  <c r="J47" i="4"/>
  <c r="J391" i="6" l="1"/>
  <c r="O9" i="2"/>
  <c r="I609" i="6"/>
  <c r="I639" i="6" s="1"/>
  <c r="K16" i="4"/>
  <c r="I574" i="6"/>
  <c r="I572" i="6"/>
  <c r="I523" i="6"/>
  <c r="H625" i="6"/>
  <c r="H431" i="6" s="1"/>
  <c r="I562" i="6"/>
  <c r="I577" i="6" s="1"/>
  <c r="I561" i="6"/>
  <c r="H620" i="6"/>
  <c r="H622" i="6" s="1"/>
  <c r="H473" i="6" s="1"/>
  <c r="I618" i="6"/>
  <c r="K379" i="6"/>
  <c r="J685" i="6"/>
  <c r="J493" i="6"/>
  <c r="J745" i="6"/>
  <c r="J607" i="6"/>
  <c r="J560" i="6"/>
  <c r="J420" i="6"/>
  <c r="L16" i="4" s="1"/>
  <c r="J380" i="6"/>
  <c r="J384" i="6"/>
  <c r="J386" i="6"/>
  <c r="J385" i="6"/>
  <c r="I626" i="6"/>
  <c r="I641" i="6"/>
  <c r="I619" i="6"/>
  <c r="I624" i="6" s="1"/>
  <c r="I621" i="6"/>
  <c r="I751" i="6"/>
  <c r="I460" i="6" s="1"/>
  <c r="I692" i="6"/>
  <c r="I759" i="6"/>
  <c r="I475" i="6" s="1"/>
  <c r="I702" i="6"/>
  <c r="I739" i="6"/>
  <c r="I429" i="6" s="1"/>
  <c r="H711" i="6"/>
  <c r="H700" i="6"/>
  <c r="H405" i="6"/>
  <c r="H428" i="6" s="1"/>
  <c r="H701" i="6"/>
  <c r="H712" i="6"/>
  <c r="H731" i="6"/>
  <c r="H721" i="6"/>
  <c r="H722" i="6" s="1"/>
  <c r="I601" i="6"/>
  <c r="I412" i="6" s="1"/>
  <c r="I600" i="6"/>
  <c r="I451" i="6" s="1"/>
  <c r="I760" i="6"/>
  <c r="I416" i="6" s="1"/>
  <c r="I752" i="6"/>
  <c r="I413" i="6" s="1"/>
  <c r="L37" i="4"/>
  <c r="K47" i="4"/>
  <c r="K391" i="6" l="1"/>
  <c r="P9" i="2"/>
  <c r="J574" i="6"/>
  <c r="J572" i="6"/>
  <c r="I620" i="6"/>
  <c r="I622" i="6" s="1"/>
  <c r="I473" i="6" s="1"/>
  <c r="J618" i="6"/>
  <c r="H714" i="6"/>
  <c r="H480" i="6" s="1"/>
  <c r="J494" i="6"/>
  <c r="J561" i="6"/>
  <c r="I700" i="6"/>
  <c r="I701" i="6"/>
  <c r="I731" i="6"/>
  <c r="I405" i="6"/>
  <c r="I428" i="6" s="1"/>
  <c r="I712" i="6"/>
  <c r="I721" i="6"/>
  <c r="I711" i="6"/>
  <c r="J609" i="6"/>
  <c r="J639" i="6" s="1"/>
  <c r="J523" i="6"/>
  <c r="J562" i="6"/>
  <c r="J577" i="6" s="1"/>
  <c r="I720" i="6"/>
  <c r="H481" i="6"/>
  <c r="J601" i="6"/>
  <c r="J412" i="6" s="1"/>
  <c r="J600" i="6"/>
  <c r="J451" i="6" s="1"/>
  <c r="I625" i="6"/>
  <c r="I431" i="6" s="1"/>
  <c r="J641" i="6"/>
  <c r="J626" i="6"/>
  <c r="J619" i="6"/>
  <c r="J624" i="6" s="1"/>
  <c r="J621" i="6"/>
  <c r="J752" i="6"/>
  <c r="J413" i="6" s="1"/>
  <c r="J760" i="6"/>
  <c r="J416" i="6" s="1"/>
  <c r="J759" i="6"/>
  <c r="J475" i="6" s="1"/>
  <c r="J702" i="6"/>
  <c r="J732" i="6"/>
  <c r="J739" i="6"/>
  <c r="J429" i="6" s="1"/>
  <c r="J692" i="6"/>
  <c r="J751" i="6"/>
  <c r="J460" i="6" s="1"/>
  <c r="H703" i="6"/>
  <c r="L379" i="6"/>
  <c r="K386" i="6"/>
  <c r="K385" i="6"/>
  <c r="K745" i="6"/>
  <c r="K493" i="6"/>
  <c r="K420" i="6"/>
  <c r="M16" i="4" s="1"/>
  <c r="K380" i="6"/>
  <c r="K384" i="6"/>
  <c r="K607" i="6"/>
  <c r="K560" i="6"/>
  <c r="K685" i="6"/>
  <c r="M37" i="4"/>
  <c r="L47" i="4"/>
  <c r="L391" i="6" l="1"/>
  <c r="Q9" i="2"/>
  <c r="K574" i="6"/>
  <c r="K572" i="6"/>
  <c r="J625" i="6"/>
  <c r="J431" i="6" s="1"/>
  <c r="I710" i="6"/>
  <c r="I714" i="6" s="1"/>
  <c r="J620" i="6"/>
  <c r="J622" i="6" s="1"/>
  <c r="J473" i="6" s="1"/>
  <c r="I722" i="6"/>
  <c r="I481" i="6" s="1"/>
  <c r="K760" i="6"/>
  <c r="K416" i="6" s="1"/>
  <c r="K752" i="6"/>
  <c r="K413" i="6" s="1"/>
  <c r="K702" i="6"/>
  <c r="K759" i="6"/>
  <c r="K475" i="6" s="1"/>
  <c r="K692" i="6"/>
  <c r="K732" i="6"/>
  <c r="K751" i="6"/>
  <c r="K460" i="6" s="1"/>
  <c r="K739" i="6"/>
  <c r="K429" i="6" s="1"/>
  <c r="K609" i="6"/>
  <c r="K639" i="6" s="1"/>
  <c r="K562" i="6"/>
  <c r="K577" i="6" s="1"/>
  <c r="K523" i="6"/>
  <c r="J700" i="6"/>
  <c r="J721" i="6"/>
  <c r="J701" i="6"/>
  <c r="J405" i="6"/>
  <c r="J428" i="6" s="1"/>
  <c r="J712" i="6"/>
  <c r="J731" i="6"/>
  <c r="J711" i="6"/>
  <c r="L745" i="6"/>
  <c r="L380" i="6"/>
  <c r="L685" i="6"/>
  <c r="L493" i="6"/>
  <c r="L560" i="6"/>
  <c r="L385" i="6"/>
  <c r="L607" i="6"/>
  <c r="L420" i="6"/>
  <c r="N16" i="4" s="1"/>
  <c r="L384" i="6"/>
  <c r="L386" i="6"/>
  <c r="K600" i="6"/>
  <c r="K451" i="6" s="1"/>
  <c r="K601" i="6"/>
  <c r="K412" i="6" s="1"/>
  <c r="K618" i="6"/>
  <c r="K626" i="6"/>
  <c r="K619" i="6"/>
  <c r="K624" i="6" s="1"/>
  <c r="K621" i="6"/>
  <c r="K641" i="6"/>
  <c r="I699" i="6"/>
  <c r="I703" i="6" s="1"/>
  <c r="H479" i="6"/>
  <c r="K561" i="6"/>
  <c r="K494" i="6"/>
  <c r="D21" i="3"/>
  <c r="N15" i="3" s="1"/>
  <c r="D16" i="3"/>
  <c r="L572" i="6" l="1"/>
  <c r="L574" i="6"/>
  <c r="K625" i="6"/>
  <c r="K431" i="6" s="1"/>
  <c r="J720" i="6"/>
  <c r="J722" i="6" s="1"/>
  <c r="I480" i="6"/>
  <c r="J710" i="6"/>
  <c r="J714" i="6" s="1"/>
  <c r="K620" i="6"/>
  <c r="K622" i="6" s="1"/>
  <c r="K473" i="6" s="1"/>
  <c r="L618" i="6"/>
  <c r="L739" i="6"/>
  <c r="L429" i="6" s="1"/>
  <c r="L759" i="6"/>
  <c r="L475" i="6" s="1"/>
  <c r="L751" i="6"/>
  <c r="L460" i="6" s="1"/>
  <c r="L692" i="6"/>
  <c r="L732" i="6"/>
  <c r="L702" i="6"/>
  <c r="L752" i="6"/>
  <c r="L413" i="6" s="1"/>
  <c r="L760" i="6"/>
  <c r="L416" i="6" s="1"/>
  <c r="L494" i="6"/>
  <c r="L561" i="6"/>
  <c r="K405" i="6"/>
  <c r="K428" i="6" s="1"/>
  <c r="K712" i="6"/>
  <c r="K721" i="6"/>
  <c r="K711" i="6"/>
  <c r="K700" i="6"/>
  <c r="K701" i="6"/>
  <c r="K731" i="6"/>
  <c r="J699" i="6"/>
  <c r="J703" i="6" s="1"/>
  <c r="I479" i="6"/>
  <c r="L626" i="6"/>
  <c r="L641" i="6"/>
  <c r="L619" i="6"/>
  <c r="L624" i="6" s="1"/>
  <c r="L621" i="6"/>
  <c r="L609" i="6"/>
  <c r="L639" i="6" s="1"/>
  <c r="L523" i="6"/>
  <c r="L562" i="6"/>
  <c r="L577" i="6" s="1"/>
  <c r="L600" i="6"/>
  <c r="L451" i="6" s="1"/>
  <c r="L601" i="6"/>
  <c r="L412" i="6" s="1"/>
  <c r="H23" i="6"/>
  <c r="H584" i="6" s="1"/>
  <c r="I23" i="6"/>
  <c r="I584" i="6" s="1"/>
  <c r="J23" i="6"/>
  <c r="J584" i="6" s="1"/>
  <c r="K23" i="6"/>
  <c r="K584" i="6" s="1"/>
  <c r="L23" i="6"/>
  <c r="L584" i="6" s="1"/>
  <c r="L57" i="6"/>
  <c r="K57" i="6"/>
  <c r="J57" i="6"/>
  <c r="I57" i="6"/>
  <c r="H57" i="6"/>
  <c r="L61" i="6"/>
  <c r="L408" i="6" s="1"/>
  <c r="K61" i="6"/>
  <c r="K408" i="6" s="1"/>
  <c r="J61" i="6"/>
  <c r="J408" i="6" s="1"/>
  <c r="I61" i="6"/>
  <c r="I408" i="6" s="1"/>
  <c r="H61" i="6"/>
  <c r="H408" i="6" s="1"/>
  <c r="H743" i="6"/>
  <c r="I743" i="6" s="1"/>
  <c r="J743" i="6" s="1"/>
  <c r="K743" i="6" s="1"/>
  <c r="L743" i="6" s="1"/>
  <c r="H605" i="6"/>
  <c r="I605" i="6" s="1"/>
  <c r="J605" i="6" s="1"/>
  <c r="K605" i="6" s="1"/>
  <c r="L605" i="6" s="1"/>
  <c r="H558" i="6"/>
  <c r="I558" i="6" s="1"/>
  <c r="J558" i="6" s="1"/>
  <c r="K558" i="6" s="1"/>
  <c r="L558" i="6" s="1"/>
  <c r="L620" i="6" l="1"/>
  <c r="L622" i="6" s="1"/>
  <c r="L473" i="6" s="1"/>
  <c r="J480" i="6"/>
  <c r="K710" i="6"/>
  <c r="K714" i="6" s="1"/>
  <c r="L710" i="6" s="1"/>
  <c r="K720" i="6"/>
  <c r="K722" i="6" s="1"/>
  <c r="J481" i="6"/>
  <c r="K699" i="6"/>
  <c r="K703" i="6" s="1"/>
  <c r="J479" i="6"/>
  <c r="L405" i="6"/>
  <c r="L428" i="6" s="1"/>
  <c r="L700" i="6"/>
  <c r="L731" i="6"/>
  <c r="L701" i="6"/>
  <c r="L711" i="6"/>
  <c r="L721" i="6"/>
  <c r="L712" i="6"/>
  <c r="L625" i="6"/>
  <c r="L431" i="6" s="1"/>
  <c r="L714" i="6" l="1"/>
  <c r="L480" i="6" s="1"/>
  <c r="K480" i="6"/>
  <c r="L699" i="6"/>
  <c r="L703" i="6" s="1"/>
  <c r="L479" i="6" s="1"/>
  <c r="K479" i="6"/>
  <c r="K481" i="6"/>
  <c r="L720" i="6"/>
  <c r="L722" i="6" s="1"/>
  <c r="L481" i="6" s="1"/>
  <c r="E494" i="5"/>
  <c r="F487" i="5"/>
  <c r="F494" i="5" s="1"/>
  <c r="G487" i="5"/>
  <c r="G494" i="5" s="1"/>
  <c r="H487" i="5"/>
  <c r="H494" i="5" s="1"/>
  <c r="I487" i="5"/>
  <c r="I494" i="5" s="1"/>
  <c r="J487" i="5"/>
  <c r="J494" i="5" s="1"/>
  <c r="K487" i="5"/>
  <c r="L487" i="5"/>
  <c r="M487" i="5"/>
  <c r="N487" i="5"/>
  <c r="O487" i="5"/>
  <c r="E487" i="5"/>
  <c r="H683" i="6"/>
  <c r="I683" i="6" s="1"/>
  <c r="J683" i="6" s="1"/>
  <c r="K683" i="6" s="1"/>
  <c r="L683" i="6" s="1"/>
  <c r="H650" i="6" l="1"/>
  <c r="I650" i="6" s="1"/>
  <c r="J650" i="6" s="1"/>
  <c r="K650" i="6" s="1"/>
  <c r="L650" i="6" s="1"/>
  <c r="F536" i="6" l="1"/>
  <c r="F537" i="6" s="1"/>
  <c r="F538" i="6" s="1"/>
  <c r="F539" i="6" s="1"/>
  <c r="F540" i="6" s="1"/>
  <c r="I59" i="6"/>
  <c r="J59" i="6"/>
  <c r="K59" i="6"/>
  <c r="L59" i="6"/>
  <c r="H59" i="6"/>
  <c r="H532" i="6"/>
  <c r="H536" i="6" l="1"/>
  <c r="I537" i="6" s="1"/>
  <c r="J538" i="6" s="1"/>
  <c r="H540" i="6"/>
  <c r="H539" i="6"/>
  <c r="H538" i="6"/>
  <c r="I539" i="6" s="1"/>
  <c r="H537" i="6"/>
  <c r="I538" i="6" s="1"/>
  <c r="I532" i="6"/>
  <c r="J532" i="6" s="1"/>
  <c r="K532" i="6" s="1"/>
  <c r="L532" i="6" s="1"/>
  <c r="L536" i="6" s="1"/>
  <c r="I531" i="6"/>
  <c r="J531" i="6" s="1"/>
  <c r="K531" i="6" s="1"/>
  <c r="L531" i="6" s="1"/>
  <c r="I526" i="6"/>
  <c r="J526" i="6" s="1"/>
  <c r="K526" i="6" s="1"/>
  <c r="L526" i="6" s="1"/>
  <c r="H527" i="6"/>
  <c r="H552" i="6" s="1"/>
  <c r="I527" i="6" l="1"/>
  <c r="I536" i="6"/>
  <c r="J537" i="6" s="1"/>
  <c r="K538" i="6" s="1"/>
  <c r="L539" i="6" s="1"/>
  <c r="J536" i="6"/>
  <c r="K537" i="6" s="1"/>
  <c r="L538" i="6" s="1"/>
  <c r="K536" i="6"/>
  <c r="L537" i="6" s="1"/>
  <c r="J539" i="6"/>
  <c r="K539" i="6"/>
  <c r="J540" i="6"/>
  <c r="I540" i="6"/>
  <c r="J527" i="6" l="1"/>
  <c r="J552" i="6" s="1"/>
  <c r="I552" i="6"/>
  <c r="L540" i="6"/>
  <c r="K540" i="6"/>
  <c r="K527" i="6" l="1"/>
  <c r="L527" i="6" l="1"/>
  <c r="L552" i="6" s="1"/>
  <c r="K552" i="6"/>
  <c r="H512" i="6" l="1"/>
  <c r="I512" i="6" l="1"/>
  <c r="H543" i="6"/>
  <c r="H535" i="6"/>
  <c r="E536" i="6"/>
  <c r="L22" i="6"/>
  <c r="L497" i="6" s="1"/>
  <c r="K22" i="6"/>
  <c r="K497" i="6" s="1"/>
  <c r="J22" i="6"/>
  <c r="J497" i="6" s="1"/>
  <c r="I22" i="6"/>
  <c r="I497" i="6" s="1"/>
  <c r="H22" i="6"/>
  <c r="H497" i="6" s="1"/>
  <c r="L21" i="6"/>
  <c r="L496" i="6" s="1"/>
  <c r="K21" i="6"/>
  <c r="K496" i="6" s="1"/>
  <c r="J21" i="6"/>
  <c r="J496" i="6" s="1"/>
  <c r="I21" i="6"/>
  <c r="I496" i="6" s="1"/>
  <c r="H21" i="6"/>
  <c r="H496" i="6" s="1"/>
  <c r="E508" i="6"/>
  <c r="F508" i="6"/>
  <c r="G508" i="6"/>
  <c r="E504" i="6"/>
  <c r="F504" i="6"/>
  <c r="G504" i="6"/>
  <c r="E501" i="6"/>
  <c r="F501" i="6"/>
  <c r="G501" i="6"/>
  <c r="E500" i="6"/>
  <c r="F500" i="6"/>
  <c r="G500" i="6"/>
  <c r="L72" i="6"/>
  <c r="L424" i="6" s="1"/>
  <c r="K72" i="6"/>
  <c r="K424" i="6" s="1"/>
  <c r="J72" i="6"/>
  <c r="J424" i="6" s="1"/>
  <c r="I72" i="6"/>
  <c r="I424" i="6" s="1"/>
  <c r="H72" i="6"/>
  <c r="H424" i="6" s="1"/>
  <c r="L71" i="6"/>
  <c r="K71" i="6"/>
  <c r="J71" i="6"/>
  <c r="I71" i="6"/>
  <c r="H71" i="6"/>
  <c r="L70" i="6"/>
  <c r="K70" i="6"/>
  <c r="J70" i="6"/>
  <c r="I70" i="6"/>
  <c r="H70" i="6"/>
  <c r="L69" i="6"/>
  <c r="K69" i="6"/>
  <c r="J69" i="6"/>
  <c r="I69" i="6"/>
  <c r="H69" i="6"/>
  <c r="N9" i="4"/>
  <c r="M9" i="4"/>
  <c r="L9" i="4"/>
  <c r="K9" i="4"/>
  <c r="J9" i="4"/>
  <c r="H587" i="6" l="1"/>
  <c r="I587" i="6"/>
  <c r="J587" i="6"/>
  <c r="K587" i="6"/>
  <c r="L587" i="6"/>
  <c r="H585" i="6"/>
  <c r="K585" i="6"/>
  <c r="L585" i="6"/>
  <c r="I586" i="6"/>
  <c r="K586" i="6"/>
  <c r="I585" i="6"/>
  <c r="J585" i="6"/>
  <c r="H586" i="6"/>
  <c r="J586" i="6"/>
  <c r="L586" i="6"/>
  <c r="F507" i="6"/>
  <c r="E507" i="6"/>
  <c r="G507" i="6"/>
  <c r="H381" i="6"/>
  <c r="E537" i="6"/>
  <c r="E544" i="6"/>
  <c r="J512" i="6"/>
  <c r="I535" i="6"/>
  <c r="I543" i="6"/>
  <c r="F7" i="6"/>
  <c r="G7" i="6" s="1"/>
  <c r="H7" i="6" s="1"/>
  <c r="I7" i="6" s="1"/>
  <c r="J7" i="6" s="1"/>
  <c r="K7" i="6" s="1"/>
  <c r="L7" i="6" s="1"/>
  <c r="M11" i="2" l="1"/>
  <c r="I59" i="2"/>
  <c r="H507" i="6"/>
  <c r="I507" i="6" s="1"/>
  <c r="I381" i="6"/>
  <c r="K512" i="6"/>
  <c r="J535" i="6"/>
  <c r="J543" i="6"/>
  <c r="E538" i="6"/>
  <c r="E545" i="6"/>
  <c r="N11" i="2" l="1"/>
  <c r="J59" i="2"/>
  <c r="I508" i="6"/>
  <c r="I414" i="6" s="1"/>
  <c r="J507" i="6"/>
  <c r="K507" i="6" s="1"/>
  <c r="H508" i="6"/>
  <c r="H414" i="6" s="1"/>
  <c r="J381" i="6"/>
  <c r="L512" i="6"/>
  <c r="K543" i="6"/>
  <c r="K535" i="6"/>
  <c r="E539" i="6"/>
  <c r="E546" i="6"/>
  <c r="O11" i="2" l="1"/>
  <c r="K59" i="2"/>
  <c r="L507" i="6"/>
  <c r="K508" i="6"/>
  <c r="K414" i="6" s="1"/>
  <c r="J508" i="6"/>
  <c r="J414" i="6" s="1"/>
  <c r="K381" i="6"/>
  <c r="L535" i="6"/>
  <c r="L543" i="6"/>
  <c r="E540" i="6"/>
  <c r="E548" i="6" s="1"/>
  <c r="E547" i="6"/>
  <c r="P11" i="2" l="1"/>
  <c r="L59" i="2"/>
  <c r="L508" i="6"/>
  <c r="L414" i="6" s="1"/>
  <c r="L381" i="6"/>
  <c r="L492" i="6"/>
  <c r="K492" i="6"/>
  <c r="J492" i="6"/>
  <c r="I492" i="6"/>
  <c r="H492" i="6"/>
  <c r="G492" i="6"/>
  <c r="F492" i="6"/>
  <c r="E492" i="6"/>
  <c r="H490" i="6"/>
  <c r="Q11" i="2" l="1"/>
  <c r="M59" i="2"/>
  <c r="I490" i="6"/>
  <c r="J490" i="6" l="1"/>
  <c r="K490" i="6" s="1"/>
  <c r="L490" i="6" l="1"/>
  <c r="E434" i="6" l="1"/>
  <c r="F434" i="6"/>
  <c r="G434" i="6"/>
  <c r="E120" i="2" s="1"/>
  <c r="G425" i="6"/>
  <c r="E119" i="2" s="1"/>
  <c r="F425" i="6"/>
  <c r="D119" i="2" s="1"/>
  <c r="E425" i="6"/>
  <c r="C119" i="2" s="1"/>
  <c r="H399" i="6"/>
  <c r="I399" i="6" s="1"/>
  <c r="J399" i="6" s="1"/>
  <c r="K399" i="6" s="1"/>
  <c r="L399" i="6" s="1"/>
  <c r="G469" i="6"/>
  <c r="F469" i="6"/>
  <c r="E469" i="6"/>
  <c r="G452" i="6"/>
  <c r="F452" i="6"/>
  <c r="E452" i="6"/>
  <c r="H444" i="6"/>
  <c r="I444" i="6" s="1"/>
  <c r="J444" i="6" s="1"/>
  <c r="K444" i="6" s="1"/>
  <c r="L444" i="6" s="1"/>
  <c r="G387" i="6"/>
  <c r="F387" i="6"/>
  <c r="E387" i="6"/>
  <c r="F377" i="6"/>
  <c r="G377" i="6" s="1"/>
  <c r="H377" i="6" s="1"/>
  <c r="I377" i="6" s="1"/>
  <c r="J377" i="6" s="1"/>
  <c r="K377" i="6" s="1"/>
  <c r="L377" i="6" s="1"/>
  <c r="F101" i="6"/>
  <c r="G101" i="6" s="1"/>
  <c r="H101" i="6" s="1"/>
  <c r="I101" i="6" s="1"/>
  <c r="J101" i="6" s="1"/>
  <c r="K101" i="6" s="1"/>
  <c r="L101" i="6" s="1"/>
  <c r="G461" i="6" l="1"/>
  <c r="H73" i="2"/>
  <c r="H74" i="2"/>
  <c r="F461" i="6"/>
  <c r="G73" i="2"/>
  <c r="G74" i="2"/>
  <c r="F74" i="2"/>
  <c r="F73" i="2"/>
  <c r="F65" i="6"/>
  <c r="F644" i="6" s="1"/>
  <c r="F60" i="6"/>
  <c r="G65" i="6"/>
  <c r="G644" i="6" s="1"/>
  <c r="G60" i="6"/>
  <c r="E65" i="6"/>
  <c r="E644" i="6" s="1"/>
  <c r="E60" i="6"/>
  <c r="E389" i="6"/>
  <c r="E608" i="6"/>
  <c r="G389" i="6"/>
  <c r="G608" i="6"/>
  <c r="F389" i="6"/>
  <c r="F608" i="6"/>
  <c r="E476" i="6"/>
  <c r="E484" i="6" s="1"/>
  <c r="G476" i="6"/>
  <c r="G484" i="6" s="1"/>
  <c r="F476" i="6"/>
  <c r="F484" i="6" s="1"/>
  <c r="E461" i="6"/>
  <c r="D120" i="2"/>
  <c r="C120" i="2"/>
  <c r="F514" i="6"/>
  <c r="F515" i="6" s="1"/>
  <c r="G514" i="6"/>
  <c r="G515" i="6" s="1"/>
  <c r="E514" i="6"/>
  <c r="L514" i="6"/>
  <c r="L518" i="6" s="1"/>
  <c r="H514" i="6"/>
  <c r="H518" i="6" s="1"/>
  <c r="K514" i="6"/>
  <c r="K518" i="6" s="1"/>
  <c r="J514" i="6"/>
  <c r="J518" i="6" s="1"/>
  <c r="I514" i="6"/>
  <c r="I518" i="6" s="1"/>
  <c r="F158" i="6"/>
  <c r="E338" i="6"/>
  <c r="G248" i="6"/>
  <c r="H501" i="6"/>
  <c r="H465" i="6" s="1"/>
  <c r="J23" i="4" s="1"/>
  <c r="N20" i="4"/>
  <c r="K501" i="6"/>
  <c r="K465" i="6" s="1"/>
  <c r="M23" i="4" s="1"/>
  <c r="E584" i="6"/>
  <c r="F584" i="6"/>
  <c r="G584" i="6"/>
  <c r="I592" i="6"/>
  <c r="I423" i="6" s="1"/>
  <c r="H592" i="6"/>
  <c r="H423" i="6" s="1"/>
  <c r="L592" i="6"/>
  <c r="L423" i="6" s="1"/>
  <c r="K592" i="6"/>
  <c r="K423" i="6" s="1"/>
  <c r="J592" i="6"/>
  <c r="J423" i="6" s="1"/>
  <c r="I652" i="6"/>
  <c r="H652" i="6"/>
  <c r="L652" i="6"/>
  <c r="K652" i="6"/>
  <c r="J652" i="6"/>
  <c r="G496" i="6"/>
  <c r="F496" i="6"/>
  <c r="E496" i="6"/>
  <c r="G497" i="6"/>
  <c r="F497" i="6"/>
  <c r="E497" i="6"/>
  <c r="K500" i="6"/>
  <c r="K450" i="6" s="1"/>
  <c r="I500" i="6"/>
  <c r="I450" i="6" s="1"/>
  <c r="L500" i="6"/>
  <c r="J500" i="6"/>
  <c r="J450" i="6" s="1"/>
  <c r="H500" i="6"/>
  <c r="H450" i="6" s="1"/>
  <c r="L12" i="2"/>
  <c r="K12" i="2"/>
  <c r="J12" i="2"/>
  <c r="L68" i="2" l="1"/>
  <c r="L69" i="2" s="1"/>
  <c r="H67" i="2"/>
  <c r="G67" i="2"/>
  <c r="F67" i="2"/>
  <c r="K14" i="2"/>
  <c r="G79" i="2"/>
  <c r="G60" i="2"/>
  <c r="L14" i="2"/>
  <c r="H79" i="2"/>
  <c r="H60" i="2"/>
  <c r="J14" i="2"/>
  <c r="F79" i="2"/>
  <c r="F60" i="2"/>
  <c r="I68" i="2"/>
  <c r="I69" i="2" s="1"/>
  <c r="J68" i="2"/>
  <c r="J69" i="2" s="1"/>
  <c r="K68" i="2"/>
  <c r="K69" i="2" s="1"/>
  <c r="G50" i="6"/>
  <c r="G51" i="6"/>
  <c r="F50" i="6"/>
  <c r="F51" i="6"/>
  <c r="E51" i="6"/>
  <c r="E50" i="6"/>
  <c r="F341" i="6"/>
  <c r="F161" i="6"/>
  <c r="F251" i="6"/>
  <c r="E341" i="6"/>
  <c r="G161" i="6"/>
  <c r="G341" i="6"/>
  <c r="E251" i="6"/>
  <c r="G251" i="6"/>
  <c r="E246" i="6"/>
  <c r="E336" i="6"/>
  <c r="E156" i="6"/>
  <c r="G246" i="6"/>
  <c r="G156" i="6"/>
  <c r="G336" i="6"/>
  <c r="E161" i="6"/>
  <c r="F156" i="6"/>
  <c r="F246" i="6"/>
  <c r="F336" i="6"/>
  <c r="E632" i="6"/>
  <c r="E631" i="6"/>
  <c r="F631" i="6"/>
  <c r="F632" i="6"/>
  <c r="G631" i="6"/>
  <c r="G632" i="6"/>
  <c r="H591" i="6"/>
  <c r="H422" i="6" s="1"/>
  <c r="H590" i="6"/>
  <c r="H421" i="6" s="1"/>
  <c r="I590" i="6"/>
  <c r="I421" i="6" s="1"/>
  <c r="I591" i="6"/>
  <c r="I422" i="6" s="1"/>
  <c r="K591" i="6"/>
  <c r="K422" i="6" s="1"/>
  <c r="K590" i="6"/>
  <c r="K421" i="6" s="1"/>
  <c r="L591" i="6"/>
  <c r="L422" i="6" s="1"/>
  <c r="L590" i="6"/>
  <c r="L421" i="6" s="1"/>
  <c r="J590" i="6"/>
  <c r="J421" i="6" s="1"/>
  <c r="J591" i="6"/>
  <c r="J422" i="6" s="1"/>
  <c r="L450" i="6"/>
  <c r="N19" i="4" s="1"/>
  <c r="K575" i="6"/>
  <c r="F564" i="6"/>
  <c r="F565" i="6"/>
  <c r="F566" i="6"/>
  <c r="G565" i="6"/>
  <c r="G564" i="6"/>
  <c r="G566" i="6"/>
  <c r="J575" i="6"/>
  <c r="L575" i="6"/>
  <c r="E564" i="6"/>
  <c r="E566" i="6"/>
  <c r="E565" i="6"/>
  <c r="I575" i="6"/>
  <c r="H504" i="6"/>
  <c r="H411" i="6" s="1"/>
  <c r="M12" i="2"/>
  <c r="O12" i="2"/>
  <c r="N12" i="2"/>
  <c r="Q12" i="2"/>
  <c r="P12" i="2"/>
  <c r="G227" i="6"/>
  <c r="G317" i="6"/>
  <c r="G137" i="6"/>
  <c r="E317" i="6"/>
  <c r="E137" i="6"/>
  <c r="E227" i="6"/>
  <c r="F317" i="6"/>
  <c r="F137" i="6"/>
  <c r="F227" i="6"/>
  <c r="F338" i="6"/>
  <c r="E248" i="6"/>
  <c r="E158" i="6"/>
  <c r="F248" i="6"/>
  <c r="G243" i="6"/>
  <c r="G333" i="6"/>
  <c r="G153" i="6"/>
  <c r="G158" i="6"/>
  <c r="G338" i="6"/>
  <c r="E243" i="6"/>
  <c r="E333" i="6"/>
  <c r="E153" i="6"/>
  <c r="F243" i="6"/>
  <c r="F333" i="6"/>
  <c r="F153" i="6"/>
  <c r="E304" i="6"/>
  <c r="E214" i="6"/>
  <c r="F214" i="6"/>
  <c r="F304" i="6"/>
  <c r="G214" i="6"/>
  <c r="G304" i="6"/>
  <c r="E346" i="6"/>
  <c r="E256" i="6"/>
  <c r="E166" i="6"/>
  <c r="E347" i="6"/>
  <c r="F346" i="6"/>
  <c r="F166" i="6"/>
  <c r="F347" i="6"/>
  <c r="G346" i="6"/>
  <c r="G166" i="6"/>
  <c r="G347" i="6"/>
  <c r="J501" i="6"/>
  <c r="J465" i="6" s="1"/>
  <c r="L23" i="4" s="1"/>
  <c r="I501" i="6"/>
  <c r="I465" i="6" s="1"/>
  <c r="K23" i="4" s="1"/>
  <c r="L501" i="6"/>
  <c r="F300" i="6"/>
  <c r="F210" i="6"/>
  <c r="G120" i="6"/>
  <c r="G300" i="6"/>
  <c r="G210" i="6"/>
  <c r="E120" i="6"/>
  <c r="E300" i="6"/>
  <c r="E210" i="6"/>
  <c r="F120" i="6"/>
  <c r="J20" i="4"/>
  <c r="F302" i="6"/>
  <c r="G302" i="6"/>
  <c r="E302" i="6"/>
  <c r="L589" i="6"/>
  <c r="L449" i="6" s="1"/>
  <c r="I589" i="6"/>
  <c r="I449" i="6" s="1"/>
  <c r="J589" i="6"/>
  <c r="J449" i="6" s="1"/>
  <c r="K589" i="6"/>
  <c r="K449" i="6" s="1"/>
  <c r="F122" i="6"/>
  <c r="F212" i="6"/>
  <c r="G119" i="6"/>
  <c r="G299" i="6"/>
  <c r="G209" i="6"/>
  <c r="E119" i="6"/>
  <c r="E299" i="6"/>
  <c r="E209" i="6"/>
  <c r="F119" i="6"/>
  <c r="F299" i="6"/>
  <c r="F209" i="6"/>
  <c r="G122" i="6"/>
  <c r="G212" i="6"/>
  <c r="E122" i="6"/>
  <c r="E212" i="6"/>
  <c r="G244" i="6"/>
  <c r="G154" i="6"/>
  <c r="G334" i="6"/>
  <c r="E244" i="6"/>
  <c r="E154" i="6"/>
  <c r="E334" i="6"/>
  <c r="F334" i="6"/>
  <c r="F244" i="6"/>
  <c r="F154" i="6"/>
  <c r="J674" i="6"/>
  <c r="J679" i="6"/>
  <c r="J669" i="6"/>
  <c r="K669" i="6"/>
  <c r="K674" i="6"/>
  <c r="K679" i="6"/>
  <c r="L669" i="6"/>
  <c r="L674" i="6"/>
  <c r="L679" i="6"/>
  <c r="H669" i="6"/>
  <c r="H674" i="6"/>
  <c r="H679" i="6"/>
  <c r="I674" i="6"/>
  <c r="I679" i="6"/>
  <c r="I669" i="6"/>
  <c r="M19" i="4"/>
  <c r="L19" i="4"/>
  <c r="K20" i="4"/>
  <c r="K19" i="4"/>
  <c r="L20" i="4"/>
  <c r="J19" i="4"/>
  <c r="G297" i="6"/>
  <c r="G207" i="6"/>
  <c r="E297" i="6"/>
  <c r="F117" i="6"/>
  <c r="F297" i="6"/>
  <c r="F207" i="6"/>
  <c r="E117" i="6"/>
  <c r="E207" i="6"/>
  <c r="G117" i="6"/>
  <c r="E208" i="6"/>
  <c r="E298" i="6"/>
  <c r="E118" i="6"/>
  <c r="F208" i="6"/>
  <c r="F298" i="6"/>
  <c r="F118" i="6"/>
  <c r="G298" i="6"/>
  <c r="G118" i="6"/>
  <c r="G208" i="6"/>
  <c r="F486" i="6"/>
  <c r="G486" i="6"/>
  <c r="E486" i="6"/>
  <c r="H387" i="6"/>
  <c r="H407" i="6" s="1"/>
  <c r="M68" i="2" l="1"/>
  <c r="M69" i="2" s="1"/>
  <c r="E146" i="6"/>
  <c r="E326" i="6"/>
  <c r="E236" i="6"/>
  <c r="E147" i="6"/>
  <c r="E327" i="6"/>
  <c r="E237" i="6"/>
  <c r="F147" i="6"/>
  <c r="F327" i="6"/>
  <c r="F237" i="6"/>
  <c r="F146" i="6"/>
  <c r="F236" i="6"/>
  <c r="F326" i="6"/>
  <c r="G327" i="6"/>
  <c r="G237" i="6"/>
  <c r="G147" i="6"/>
  <c r="G146" i="6"/>
  <c r="G326" i="6"/>
  <c r="G236" i="6"/>
  <c r="H389" i="6"/>
  <c r="H608" i="6"/>
  <c r="N21" i="4"/>
  <c r="L504" i="6"/>
  <c r="L411" i="6" s="1"/>
  <c r="L465" i="6"/>
  <c r="N23" i="4" s="1"/>
  <c r="J504" i="6"/>
  <c r="J411" i="6" s="1"/>
  <c r="K504" i="6"/>
  <c r="K411" i="6" s="1"/>
  <c r="I504" i="6"/>
  <c r="I411" i="6" s="1"/>
  <c r="L17" i="2"/>
  <c r="L18" i="2" s="1"/>
  <c r="L15" i="2"/>
  <c r="J17" i="2"/>
  <c r="J18" i="2" s="1"/>
  <c r="J15" i="2"/>
  <c r="K17" i="2"/>
  <c r="K18" i="2" s="1"/>
  <c r="K15" i="2"/>
  <c r="L21" i="4"/>
  <c r="G392" i="6"/>
  <c r="I11" i="4"/>
  <c r="I13" i="4" s="1"/>
  <c r="I31" i="4" s="1"/>
  <c r="F392" i="6"/>
  <c r="F59" i="6" s="1"/>
  <c r="H11" i="4"/>
  <c r="H13" i="4" s="1"/>
  <c r="H31" i="4" s="1"/>
  <c r="E392" i="6"/>
  <c r="G11" i="4"/>
  <c r="G13" i="4" s="1"/>
  <c r="G31" i="4" s="1"/>
  <c r="K21" i="4"/>
  <c r="J21" i="4"/>
  <c r="M20" i="4"/>
  <c r="M21" i="4" s="1"/>
  <c r="H678" i="6"/>
  <c r="H677" i="6"/>
  <c r="L678" i="6"/>
  <c r="L677" i="6"/>
  <c r="K678" i="6"/>
  <c r="K677" i="6"/>
  <c r="I678" i="6"/>
  <c r="I677" i="6"/>
  <c r="J678" i="6"/>
  <c r="J677" i="6"/>
  <c r="H668" i="6"/>
  <c r="L673" i="6"/>
  <c r="L672" i="6"/>
  <c r="L667" i="6"/>
  <c r="L668" i="6"/>
  <c r="K673" i="6"/>
  <c r="K672" i="6"/>
  <c r="K667" i="6"/>
  <c r="K668" i="6"/>
  <c r="I668" i="6"/>
  <c r="I667" i="6"/>
  <c r="J668" i="6"/>
  <c r="J667" i="6"/>
  <c r="H673" i="6"/>
  <c r="H672" i="6"/>
  <c r="I673" i="6"/>
  <c r="I672" i="6"/>
  <c r="J673" i="6"/>
  <c r="J672" i="6"/>
  <c r="I387" i="6"/>
  <c r="I407" i="6" s="1"/>
  <c r="I60" i="2" l="1"/>
  <c r="I79" i="2"/>
  <c r="M17" i="2"/>
  <c r="M18" i="2" s="1"/>
  <c r="G59" i="6"/>
  <c r="G155" i="6" s="1"/>
  <c r="J21" i="3"/>
  <c r="J576" i="6"/>
  <c r="J578" i="6" s="1"/>
  <c r="J432" i="6"/>
  <c r="K576" i="6"/>
  <c r="K578" i="6" s="1"/>
  <c r="K432" i="6"/>
  <c r="L576" i="6"/>
  <c r="L578" i="6" s="1"/>
  <c r="L432" i="6"/>
  <c r="H576" i="6"/>
  <c r="H432" i="6"/>
  <c r="I576" i="6"/>
  <c r="I578" i="6" s="1"/>
  <c r="I432" i="6"/>
  <c r="E395" i="6"/>
  <c r="E59" i="6"/>
  <c r="F155" i="6"/>
  <c r="F335" i="6"/>
  <c r="F245" i="6"/>
  <c r="H638" i="6"/>
  <c r="H637" i="6"/>
  <c r="I389" i="6"/>
  <c r="I608" i="6"/>
  <c r="H472" i="6"/>
  <c r="H467" i="6"/>
  <c r="J472" i="6"/>
  <c r="L457" i="6"/>
  <c r="J457" i="6"/>
  <c r="J467" i="6"/>
  <c r="I457" i="6"/>
  <c r="I467" i="6"/>
  <c r="I472" i="6"/>
  <c r="K457" i="6"/>
  <c r="K467" i="6"/>
  <c r="K472" i="6"/>
  <c r="L467" i="6"/>
  <c r="L472" i="6"/>
  <c r="F395" i="6"/>
  <c r="F18" i="6"/>
  <c r="H9" i="4" s="1"/>
  <c r="G395" i="6"/>
  <c r="G18" i="6"/>
  <c r="I9" i="4" s="1"/>
  <c r="E18" i="6"/>
  <c r="H392" i="6"/>
  <c r="J11" i="4"/>
  <c r="F165" i="6"/>
  <c r="F345" i="6"/>
  <c r="G165" i="6"/>
  <c r="G345" i="6"/>
  <c r="E345" i="6"/>
  <c r="E165" i="6"/>
  <c r="E255" i="6"/>
  <c r="J387" i="6"/>
  <c r="J407" i="6" s="1"/>
  <c r="H61" i="2" l="1"/>
  <c r="H62" i="2"/>
  <c r="H63" i="2"/>
  <c r="G62" i="2"/>
  <c r="G63" i="2"/>
  <c r="G61" i="2"/>
  <c r="E402" i="6"/>
  <c r="E417" i="6" s="1"/>
  <c r="E439" i="6" s="1"/>
  <c r="E440" i="6" s="1"/>
  <c r="F438" i="6" s="1"/>
  <c r="F62" i="2"/>
  <c r="F63" i="2"/>
  <c r="F61" i="2"/>
  <c r="J60" i="2"/>
  <c r="J79" i="2"/>
  <c r="N17" i="2"/>
  <c r="N18" i="2" s="1"/>
  <c r="G335" i="6"/>
  <c r="G245" i="6"/>
  <c r="E686" i="6"/>
  <c r="J21" i="2"/>
  <c r="J20" i="2"/>
  <c r="E245" i="6"/>
  <c r="E335" i="6"/>
  <c r="E155" i="6"/>
  <c r="H394" i="6"/>
  <c r="H610" i="6" s="1"/>
  <c r="H640" i="6" s="1"/>
  <c r="H642" i="6" s="1"/>
  <c r="H406" i="6"/>
  <c r="G402" i="6"/>
  <c r="G417" i="6" s="1"/>
  <c r="G439" i="6" s="1"/>
  <c r="E121" i="2" s="1"/>
  <c r="F402" i="6"/>
  <c r="F417" i="6" s="1"/>
  <c r="F439" i="6" s="1"/>
  <c r="I638" i="6"/>
  <c r="I637" i="6"/>
  <c r="J389" i="6"/>
  <c r="J608" i="6"/>
  <c r="L21" i="2"/>
  <c r="L20" i="2"/>
  <c r="F686" i="6"/>
  <c r="G294" i="6"/>
  <c r="G204" i="6"/>
  <c r="G114" i="6"/>
  <c r="E114" i="6"/>
  <c r="E294" i="6"/>
  <c r="E204" i="6"/>
  <c r="F294" i="6"/>
  <c r="F114" i="6"/>
  <c r="F204" i="6"/>
  <c r="K21" i="2"/>
  <c r="K20" i="2"/>
  <c r="G686" i="6"/>
  <c r="G9" i="4"/>
  <c r="I392" i="6"/>
  <c r="K11" i="4"/>
  <c r="E344" i="6"/>
  <c r="E164" i="6"/>
  <c r="E254" i="6"/>
  <c r="K387" i="6"/>
  <c r="K407" i="6" s="1"/>
  <c r="C118" i="2" l="1"/>
  <c r="C121" i="2"/>
  <c r="F440" i="6"/>
  <c r="G438" i="6" s="1"/>
  <c r="G440" i="6" s="1"/>
  <c r="H438" i="6" s="1"/>
  <c r="K60" i="2"/>
  <c r="K79" i="2"/>
  <c r="O17" i="2"/>
  <c r="O18" i="2" s="1"/>
  <c r="J12" i="4"/>
  <c r="J13" i="4" s="1"/>
  <c r="H395" i="6"/>
  <c r="I394" i="6"/>
  <c r="I610" i="6" s="1"/>
  <c r="I640" i="6" s="1"/>
  <c r="I642" i="6" s="1"/>
  <c r="I406" i="6"/>
  <c r="D121" i="2"/>
  <c r="D118" i="2"/>
  <c r="E118" i="2"/>
  <c r="H468" i="6"/>
  <c r="H645" i="6"/>
  <c r="H415" i="6" s="1"/>
  <c r="J637" i="6"/>
  <c r="J638" i="6"/>
  <c r="K389" i="6"/>
  <c r="K608" i="6"/>
  <c r="G164" i="6"/>
  <c r="G254" i="6"/>
  <c r="G344" i="6"/>
  <c r="F254" i="6"/>
  <c r="F344" i="6"/>
  <c r="F164" i="6"/>
  <c r="J392" i="6"/>
  <c r="L11" i="4"/>
  <c r="L387" i="6"/>
  <c r="L407" i="6" s="1"/>
  <c r="L60" i="2" l="1"/>
  <c r="L79" i="2"/>
  <c r="M21" i="2"/>
  <c r="I61" i="2"/>
  <c r="P17" i="2"/>
  <c r="P18" i="2" s="1"/>
  <c r="H469" i="6"/>
  <c r="J25" i="4"/>
  <c r="J26" i="4" s="1"/>
  <c r="J28" i="4" s="1"/>
  <c r="J29" i="4" s="1"/>
  <c r="K12" i="4"/>
  <c r="K13" i="4" s="1"/>
  <c r="I395" i="6"/>
  <c r="H402" i="6"/>
  <c r="M20" i="2"/>
  <c r="H686" i="6"/>
  <c r="H734" i="6" s="1"/>
  <c r="H735" i="6" s="1"/>
  <c r="I730" i="6" s="1"/>
  <c r="J394" i="6"/>
  <c r="J610" i="6" s="1"/>
  <c r="J640" i="6" s="1"/>
  <c r="J642" i="6" s="1"/>
  <c r="J406" i="6"/>
  <c r="I468" i="6"/>
  <c r="I645" i="6"/>
  <c r="I415" i="6" s="1"/>
  <c r="K637" i="6"/>
  <c r="K638" i="6"/>
  <c r="L389" i="6"/>
  <c r="L608" i="6"/>
  <c r="H434" i="6"/>
  <c r="F120" i="2" s="1"/>
  <c r="K392" i="6"/>
  <c r="M11" i="4"/>
  <c r="M60" i="2" l="1"/>
  <c r="M79" i="2"/>
  <c r="N20" i="2"/>
  <c r="J61" i="2"/>
  <c r="Q17" i="2"/>
  <c r="Q18" i="2" s="1"/>
  <c r="I469" i="6"/>
  <c r="K25" i="4"/>
  <c r="K26" i="4" s="1"/>
  <c r="K28" i="4" s="1"/>
  <c r="K29" i="4" s="1"/>
  <c r="J395" i="6"/>
  <c r="H482" i="6"/>
  <c r="N21" i="2"/>
  <c r="I686" i="6"/>
  <c r="I734" i="6" s="1"/>
  <c r="I735" i="6" s="1"/>
  <c r="I402" i="6"/>
  <c r="L12" i="4"/>
  <c r="L13" i="4" s="1"/>
  <c r="K394" i="6"/>
  <c r="K610" i="6" s="1"/>
  <c r="K640" i="6" s="1"/>
  <c r="K642" i="6" s="1"/>
  <c r="K406" i="6"/>
  <c r="I434" i="6"/>
  <c r="G120" i="2" s="1"/>
  <c r="J468" i="6"/>
  <c r="J645" i="6"/>
  <c r="J415" i="6" s="1"/>
  <c r="L638" i="6"/>
  <c r="L637" i="6"/>
  <c r="L392" i="6"/>
  <c r="N11" i="4"/>
  <c r="J402" i="6" l="1"/>
  <c r="K61" i="2"/>
  <c r="J469" i="6"/>
  <c r="L25" i="4"/>
  <c r="L26" i="4" s="1"/>
  <c r="L28" i="4" s="1"/>
  <c r="L29" i="4" s="1"/>
  <c r="O20" i="2"/>
  <c r="O21" i="2"/>
  <c r="J686" i="6"/>
  <c r="J734" i="6" s="1"/>
  <c r="M12" i="4"/>
  <c r="M13" i="4" s="1"/>
  <c r="L394" i="6"/>
  <c r="L610" i="6" s="1"/>
  <c r="L640" i="6" s="1"/>
  <c r="L642" i="6" s="1"/>
  <c r="L406" i="6"/>
  <c r="K395" i="6"/>
  <c r="I482" i="6"/>
  <c r="J730" i="6"/>
  <c r="K468" i="6"/>
  <c r="K645" i="6"/>
  <c r="K415" i="6" s="1"/>
  <c r="J434" i="6"/>
  <c r="H120" i="2" s="1"/>
  <c r="K686" i="6" l="1"/>
  <c r="K734" i="6" s="1"/>
  <c r="L61" i="2"/>
  <c r="K469" i="6"/>
  <c r="M25" i="4"/>
  <c r="M26" i="4" s="1"/>
  <c r="M28" i="4" s="1"/>
  <c r="M29" i="4" s="1"/>
  <c r="P20" i="2"/>
  <c r="J735" i="6"/>
  <c r="J482" i="6" s="1"/>
  <c r="P21" i="2"/>
  <c r="L395" i="6"/>
  <c r="K402" i="6"/>
  <c r="N12" i="4"/>
  <c r="N13" i="4" s="1"/>
  <c r="K434" i="6"/>
  <c r="I120" i="2" s="1"/>
  <c r="L468" i="6"/>
  <c r="L645" i="6"/>
  <c r="L415" i="6" s="1"/>
  <c r="Q20" i="2" l="1"/>
  <c r="M61" i="2"/>
  <c r="L469" i="6"/>
  <c r="N25" i="4"/>
  <c r="N26" i="4" s="1"/>
  <c r="N28" i="4" s="1"/>
  <c r="N29" i="4" s="1"/>
  <c r="K730" i="6"/>
  <c r="K735" i="6" s="1"/>
  <c r="Q21" i="2"/>
  <c r="L686" i="6"/>
  <c r="L734" i="6" s="1"/>
  <c r="L402" i="6"/>
  <c r="L434" i="6"/>
  <c r="J120" i="2" s="1"/>
  <c r="L730" i="6" l="1"/>
  <c r="L735" i="6" s="1"/>
  <c r="L482" i="6" s="1"/>
  <c r="K482" i="6"/>
  <c r="H483" i="6"/>
  <c r="I63" i="2" l="1"/>
  <c r="I78" i="2"/>
  <c r="I483" i="6"/>
  <c r="J63" i="2" l="1"/>
  <c r="J78" i="2"/>
  <c r="J483" i="6"/>
  <c r="K63" i="2" l="1"/>
  <c r="K78" i="2"/>
  <c r="K483" i="6"/>
  <c r="E669" i="6"/>
  <c r="E45" i="6" s="1"/>
  <c r="F669" i="6"/>
  <c r="F45" i="6" s="1"/>
  <c r="G669" i="6"/>
  <c r="L63" i="2" l="1"/>
  <c r="L78" i="2"/>
  <c r="E321" i="6"/>
  <c r="E141" i="6"/>
  <c r="E231" i="6"/>
  <c r="F141" i="6"/>
  <c r="F231" i="6"/>
  <c r="F321" i="6"/>
  <c r="G657" i="6"/>
  <c r="G45" i="6"/>
  <c r="L483" i="6"/>
  <c r="F658" i="6"/>
  <c r="F657" i="6"/>
  <c r="E658" i="6"/>
  <c r="E657" i="6"/>
  <c r="G658" i="6"/>
  <c r="F653" i="6"/>
  <c r="E653" i="6"/>
  <c r="G653" i="6"/>
  <c r="E674" i="6"/>
  <c r="F674" i="6"/>
  <c r="G674" i="6"/>
  <c r="G47" i="6" s="1"/>
  <c r="M63" i="2" l="1"/>
  <c r="M78" i="2"/>
  <c r="G323" i="6"/>
  <c r="G143" i="6"/>
  <c r="G233" i="6"/>
  <c r="G141" i="6"/>
  <c r="G321" i="6"/>
  <c r="G231" i="6"/>
  <c r="F655" i="6"/>
  <c r="F47" i="6"/>
  <c r="E661" i="6"/>
  <c r="E47" i="6"/>
  <c r="E660" i="6"/>
  <c r="E655" i="6"/>
  <c r="G661" i="6"/>
  <c r="F661" i="6"/>
  <c r="G660" i="6"/>
  <c r="F660" i="6"/>
  <c r="G655" i="6"/>
  <c r="E679" i="6"/>
  <c r="F679" i="6"/>
  <c r="G679" i="6"/>
  <c r="G46" i="6" s="1"/>
  <c r="E233" i="6" l="1"/>
  <c r="E323" i="6"/>
  <c r="E143" i="6"/>
  <c r="G232" i="6"/>
  <c r="G142" i="6"/>
  <c r="G322" i="6"/>
  <c r="F323" i="6"/>
  <c r="F233" i="6"/>
  <c r="F143" i="6"/>
  <c r="F664" i="6"/>
  <c r="F46" i="6"/>
  <c r="E664" i="6"/>
  <c r="E46" i="6"/>
  <c r="G663" i="6"/>
  <c r="F663" i="6"/>
  <c r="E663" i="6"/>
  <c r="E654" i="6"/>
  <c r="G654" i="6"/>
  <c r="F654" i="6"/>
  <c r="G664" i="6"/>
  <c r="E142" i="6" l="1"/>
  <c r="E232" i="6"/>
  <c r="E322" i="6"/>
  <c r="F232" i="6"/>
  <c r="F322" i="6"/>
  <c r="F142" i="6"/>
  <c r="H589" i="6"/>
  <c r="H449" i="6" s="1"/>
  <c r="H425" i="6" l="1"/>
  <c r="I425" i="6"/>
  <c r="G119" i="2" s="1"/>
  <c r="J425" i="6"/>
  <c r="H119" i="2" s="1"/>
  <c r="K425" i="6"/>
  <c r="I119" i="2" s="1"/>
  <c r="L425" i="6"/>
  <c r="J119" i="2" s="1"/>
  <c r="F546" i="6"/>
  <c r="G546" i="6" s="1"/>
  <c r="F548" i="6"/>
  <c r="G548" i="6" s="1"/>
  <c r="F545" i="6" l="1"/>
  <c r="G545" i="6" s="1"/>
  <c r="K545" i="6" s="1"/>
  <c r="K548" i="6"/>
  <c r="L548" i="6"/>
  <c r="I548" i="6"/>
  <c r="J548" i="6"/>
  <c r="H548" i="6"/>
  <c r="K546" i="6"/>
  <c r="L546" i="6"/>
  <c r="H546" i="6"/>
  <c r="I546" i="6"/>
  <c r="J546" i="6"/>
  <c r="F119" i="2"/>
  <c r="F547" i="6"/>
  <c r="G547" i="6" s="1"/>
  <c r="F544" i="6"/>
  <c r="G544" i="6" s="1"/>
  <c r="J545" i="6" l="1"/>
  <c r="H545" i="6"/>
  <c r="I545" i="6"/>
  <c r="L545" i="6"/>
  <c r="L544" i="6"/>
  <c r="H544" i="6"/>
  <c r="I544" i="6"/>
  <c r="K544" i="6"/>
  <c r="J544" i="6"/>
  <c r="H547" i="6"/>
  <c r="I547" i="6"/>
  <c r="J547" i="6"/>
  <c r="K547" i="6"/>
  <c r="L547" i="6"/>
  <c r="I553" i="6" l="1"/>
  <c r="I554" i="6" s="1"/>
  <c r="I517" i="6" s="1"/>
  <c r="I519" i="6" s="1"/>
  <c r="I404" i="6" s="1"/>
  <c r="N14" i="2" s="1"/>
  <c r="H553" i="6"/>
  <c r="H554" i="6" s="1"/>
  <c r="H517" i="6" s="1"/>
  <c r="K553" i="6"/>
  <c r="K554" i="6" s="1"/>
  <c r="K517" i="6" s="1"/>
  <c r="K519" i="6" s="1"/>
  <c r="K404" i="6" s="1"/>
  <c r="P14" i="2" s="1"/>
  <c r="J553" i="6"/>
  <c r="J554" i="6" s="1"/>
  <c r="L553" i="6"/>
  <c r="L554" i="6" s="1"/>
  <c r="L517" i="6" s="1"/>
  <c r="L519" i="6" s="1"/>
  <c r="L404" i="6" s="1"/>
  <c r="Q14" i="2" s="1"/>
  <c r="L417" i="6" l="1"/>
  <c r="L439" i="6" s="1"/>
  <c r="Q15" i="2"/>
  <c r="N15" i="4"/>
  <c r="N31" i="4" s="1"/>
  <c r="L40" i="4" s="1"/>
  <c r="K417" i="6"/>
  <c r="K439" i="6" s="1"/>
  <c r="M15" i="4"/>
  <c r="M31" i="4" s="1"/>
  <c r="K40" i="4" s="1"/>
  <c r="K43" i="4" s="1"/>
  <c r="P15" i="2"/>
  <c r="N15" i="2"/>
  <c r="K15" i="4"/>
  <c r="K31" i="4" s="1"/>
  <c r="I40" i="4" s="1"/>
  <c r="I43" i="4" s="1"/>
  <c r="I417" i="6"/>
  <c r="I439" i="6" s="1"/>
  <c r="H521" i="6"/>
  <c r="H519" i="6"/>
  <c r="H404" i="6" s="1"/>
  <c r="M14" i="2" s="1"/>
  <c r="J517" i="6"/>
  <c r="G118" i="2" l="1"/>
  <c r="G121" i="2"/>
  <c r="I45" i="4"/>
  <c r="M40" i="4"/>
  <c r="L43" i="4"/>
  <c r="K45" i="4"/>
  <c r="I118" i="2"/>
  <c r="I121" i="2"/>
  <c r="M15" i="2"/>
  <c r="H417" i="6"/>
  <c r="H439" i="6" s="1"/>
  <c r="J15" i="4"/>
  <c r="J31" i="4" s="1"/>
  <c r="H40" i="4" s="1"/>
  <c r="H43" i="4" s="1"/>
  <c r="J118" i="2"/>
  <c r="J121" i="2"/>
  <c r="I521" i="6"/>
  <c r="I579" i="6" s="1"/>
  <c r="I580" i="6" s="1"/>
  <c r="I456" i="6" s="1"/>
  <c r="I474" i="6" s="1"/>
  <c r="I476" i="6" s="1"/>
  <c r="I484" i="6" s="1"/>
  <c r="H579" i="6"/>
  <c r="J519" i="6"/>
  <c r="J404" i="6" s="1"/>
  <c r="O14" i="2" s="1"/>
  <c r="J521" i="6" l="1"/>
  <c r="K521" i="6" s="1"/>
  <c r="J417" i="6"/>
  <c r="J439" i="6" s="1"/>
  <c r="O15" i="2"/>
  <c r="L15" i="4"/>
  <c r="L31" i="4" s="1"/>
  <c r="J40" i="4" s="1"/>
  <c r="J43" i="4" s="1"/>
  <c r="F118" i="2"/>
  <c r="H45" i="4"/>
  <c r="J579" i="6" l="1"/>
  <c r="J580" i="6" s="1"/>
  <c r="J456" i="6" s="1"/>
  <c r="J474" i="6" s="1"/>
  <c r="J476" i="6" s="1"/>
  <c r="J484" i="6" s="1"/>
  <c r="F121" i="2"/>
  <c r="H440" i="6"/>
  <c r="J45" i="4"/>
  <c r="H118" i="2"/>
  <c r="H121" i="2"/>
  <c r="L521" i="6"/>
  <c r="L579" i="6" s="1"/>
  <c r="L580" i="6" s="1"/>
  <c r="L456" i="6" s="1"/>
  <c r="L474" i="6" s="1"/>
  <c r="L476" i="6" s="1"/>
  <c r="L484" i="6" s="1"/>
  <c r="K579" i="6"/>
  <c r="K580" i="6" s="1"/>
  <c r="K456" i="6" s="1"/>
  <c r="K474" i="6" s="1"/>
  <c r="K476" i="6" s="1"/>
  <c r="K484" i="6" s="1"/>
  <c r="H448" i="6" l="1"/>
  <c r="I438" i="6"/>
  <c r="I440" i="6" s="1"/>
  <c r="I448" i="6" l="1"/>
  <c r="J438" i="6"/>
  <c r="J440" i="6" s="1"/>
  <c r="H452" i="6"/>
  <c r="I74" i="2" l="1"/>
  <c r="I73" i="2"/>
  <c r="J448" i="6"/>
  <c r="K438" i="6"/>
  <c r="K440" i="6" s="1"/>
  <c r="I452" i="6"/>
  <c r="J74" i="2" l="1"/>
  <c r="J73" i="2"/>
  <c r="I461" i="6"/>
  <c r="K448" i="6"/>
  <c r="L438" i="6"/>
  <c r="L440" i="6" s="1"/>
  <c r="L448" i="6" s="1"/>
  <c r="J452" i="6"/>
  <c r="K74" i="2" l="1"/>
  <c r="K73" i="2"/>
  <c r="J461" i="6"/>
  <c r="K67" i="2" s="1"/>
  <c r="L452" i="6"/>
  <c r="K452" i="6"/>
  <c r="I487" i="6"/>
  <c r="I486" i="6" s="1"/>
  <c r="L74" i="2" l="1"/>
  <c r="L73" i="2"/>
  <c r="M74" i="2"/>
  <c r="M73" i="2"/>
  <c r="K62" i="2"/>
  <c r="K461" i="6"/>
  <c r="L461" i="6"/>
  <c r="J487" i="6"/>
  <c r="J486" i="6" s="1"/>
  <c r="M67" i="2" l="1"/>
  <c r="L62" i="2"/>
  <c r="L67" i="2"/>
  <c r="M62" i="2"/>
  <c r="L487" i="6"/>
  <c r="L486" i="6" s="1"/>
  <c r="K487" i="6"/>
  <c r="K486" i="6" s="1"/>
  <c r="H667" i="6" l="1"/>
  <c r="H457" i="6" s="1"/>
  <c r="H572" i="6" l="1"/>
  <c r="H574" i="6"/>
  <c r="H575" i="6"/>
  <c r="H577" i="6"/>
  <c r="H578" i="6" l="1"/>
  <c r="H580" i="6" s="1"/>
  <c r="H456" i="6" s="1"/>
  <c r="H461" i="6" s="1"/>
  <c r="I67" i="2" l="1"/>
  <c r="J67" i="2"/>
  <c r="I62" i="2"/>
  <c r="J62" i="2"/>
  <c r="H474" i="6"/>
  <c r="H476" i="6" s="1"/>
  <c r="H484" i="6" s="1"/>
  <c r="H487" i="6" s="1"/>
  <c r="H486" i="6" s="1"/>
  <c r="N56" i="4" l="1"/>
  <c r="N58" i="4" s="1"/>
  <c r="C9" i="3"/>
  <c r="N14" i="3" s="1"/>
  <c r="J20" i="3"/>
  <c r="J22" i="3" s="1"/>
  <c r="N17" i="3" s="1"/>
  <c r="I85" i="2" l="1"/>
  <c r="H109" i="2" s="1"/>
  <c r="P98" i="2" s="1"/>
  <c r="P109" i="2" s="1"/>
  <c r="E62" i="4"/>
  <c r="N16" i="3"/>
  <c r="N18" i="3" s="1"/>
  <c r="H107" i="2" l="1"/>
  <c r="P96" i="2" s="1"/>
  <c r="P107" i="2" s="1"/>
  <c r="E109" i="2"/>
  <c r="M98" i="2" s="1"/>
  <c r="M109" i="2" s="1"/>
  <c r="G105" i="2"/>
  <c r="O94" i="2" s="1"/>
  <c r="O105" i="2" s="1"/>
  <c r="F109" i="2"/>
  <c r="N98" i="2" s="1"/>
  <c r="N109" i="2" s="1"/>
  <c r="F108" i="2"/>
  <c r="N97" i="2" s="1"/>
  <c r="N108" i="2" s="1"/>
  <c r="H106" i="2"/>
  <c r="P95" i="2" s="1"/>
  <c r="P106" i="2" s="1"/>
  <c r="F106" i="2"/>
  <c r="N95" i="2" s="1"/>
  <c r="N106" i="2" s="1"/>
  <c r="F105" i="2"/>
  <c r="N94" i="2" s="1"/>
  <c r="N105" i="2" s="1"/>
  <c r="D109" i="2"/>
  <c r="L98" i="2" s="1"/>
  <c r="L109" i="2" s="1"/>
  <c r="D108" i="2"/>
  <c r="L97" i="2" s="1"/>
  <c r="L108" i="2" s="1"/>
  <c r="D106" i="2"/>
  <c r="L95" i="2" s="1"/>
  <c r="L106" i="2" s="1"/>
  <c r="G107" i="2"/>
  <c r="O96" i="2" s="1"/>
  <c r="O107" i="2" s="1"/>
  <c r="E106" i="2"/>
  <c r="M95" i="2" s="1"/>
  <c r="M106" i="2" s="1"/>
  <c r="D105" i="2"/>
  <c r="L94" i="2" s="1"/>
  <c r="L105" i="2" s="1"/>
  <c r="H108" i="2"/>
  <c r="P97" i="2" s="1"/>
  <c r="P108" i="2" s="1"/>
  <c r="F107" i="2"/>
  <c r="N96" i="2" s="1"/>
  <c r="N107" i="2" s="1"/>
  <c r="H105" i="2"/>
  <c r="P94" i="2" s="1"/>
  <c r="P105" i="2" s="1"/>
  <c r="E107" i="2"/>
  <c r="M96" i="2" s="1"/>
  <c r="M107" i="2" s="1"/>
  <c r="E105" i="2"/>
  <c r="M94" i="2" s="1"/>
  <c r="M105" i="2" s="1"/>
  <c r="G109" i="2"/>
  <c r="O98" i="2" s="1"/>
  <c r="O109" i="2" s="1"/>
  <c r="G108" i="2"/>
  <c r="O97" i="2" s="1"/>
  <c r="O108" i="2" s="1"/>
  <c r="D107" i="2"/>
  <c r="L96" i="2" s="1"/>
  <c r="L107" i="2" s="1"/>
  <c r="E108" i="2"/>
  <c r="M97" i="2" s="1"/>
  <c r="M108" i="2" s="1"/>
  <c r="G106" i="2"/>
  <c r="O95" i="2" s="1"/>
  <c r="O106" i="2" s="1"/>
  <c r="K96" i="2"/>
  <c r="K107" i="2"/>
  <c r="I84" i="2"/>
  <c r="C38" i="4" s="1"/>
  <c r="C107" i="2"/>
  <c r="C96" i="2"/>
  <c r="K106" i="2" l="1"/>
  <c r="K105" i="2" s="1"/>
  <c r="K108" i="2"/>
  <c r="K109" i="2" s="1"/>
  <c r="K95" i="2"/>
  <c r="K94" i="2" s="1"/>
  <c r="K97" i="2"/>
  <c r="K98" i="2" s="1"/>
  <c r="C95" i="2"/>
  <c r="C94" i="2" s="1"/>
  <c r="C97" i="2"/>
  <c r="C98" i="2" s="1"/>
  <c r="C106" i="2"/>
  <c r="C105" i="2" s="1"/>
  <c r="C108" i="2"/>
  <c r="C109" i="2" s="1"/>
  <c r="J50" i="4"/>
  <c r="J52" i="4" s="1"/>
  <c r="K50" i="4"/>
  <c r="K52" i="4" s="1"/>
  <c r="L50" i="4"/>
  <c r="H50" i="4"/>
  <c r="I50" i="4"/>
  <c r="I52" i="4" s="1"/>
  <c r="L44" i="4"/>
  <c r="L51" i="4" l="1"/>
  <c r="J57" i="4" s="1"/>
  <c r="L45" i="4"/>
  <c r="E57" i="4" s="1"/>
  <c r="E16" i="2" s="1"/>
  <c r="H52" i="4"/>
  <c r="J56" i="4"/>
  <c r="D83" i="2" l="1"/>
  <c r="E61" i="4"/>
  <c r="E63" i="4" s="1"/>
  <c r="L52" i="4"/>
  <c r="E56" i="4" s="1"/>
  <c r="J58" i="4"/>
  <c r="I57" i="4" s="1"/>
  <c r="C93" i="2" l="1"/>
  <c r="I56" i="4"/>
  <c r="I58" i="4" s="1"/>
  <c r="D84" i="2"/>
  <c r="J61" i="4"/>
  <c r="J63" i="4" s="1"/>
  <c r="D85" i="2" s="1"/>
</calcChain>
</file>

<file path=xl/sharedStrings.xml><?xml version="1.0" encoding="utf-8"?>
<sst xmlns="http://schemas.openxmlformats.org/spreadsheetml/2006/main" count="803" uniqueCount="405">
  <si>
    <t>Valuation Model</t>
  </si>
  <si>
    <t>Table of Contents</t>
  </si>
  <si>
    <t>Dashboard</t>
  </si>
  <si>
    <t>WACC</t>
  </si>
  <si>
    <t>DCF</t>
  </si>
  <si>
    <t>Comparable Company Analysis</t>
  </si>
  <si>
    <t>Financial Model</t>
  </si>
  <si>
    <t>Days in Period</t>
  </si>
  <si>
    <t>Income Statement</t>
  </si>
  <si>
    <t>Balance Sheet</t>
  </si>
  <si>
    <t>Cash Flow Statement</t>
  </si>
  <si>
    <t>Gross Profit</t>
  </si>
  <si>
    <t>Operarting Expenese</t>
  </si>
  <si>
    <t>Total Operating Expenses</t>
  </si>
  <si>
    <t>Operating Income (EBIT)</t>
  </si>
  <si>
    <t>Income Before Tax (EBT)</t>
  </si>
  <si>
    <t>Net Income (loss)</t>
  </si>
  <si>
    <t>Assets</t>
  </si>
  <si>
    <t>Current assets:</t>
  </si>
  <si>
    <t>Cash and cash equivalents</t>
  </si>
  <si>
    <t>Accounts receivable</t>
  </si>
  <si>
    <t>Total current assets</t>
  </si>
  <si>
    <t>Non-current assets:</t>
  </si>
  <si>
    <t>Property and equipment, net</t>
  </si>
  <si>
    <t>Total assets</t>
  </si>
  <si>
    <t>Liabilities and Shareholders’ Deficit</t>
  </si>
  <si>
    <t>Current liabilities:</t>
  </si>
  <si>
    <t>Accounts payable</t>
  </si>
  <si>
    <t>Other current liabilities</t>
  </si>
  <si>
    <t>Total current liabilities</t>
  </si>
  <si>
    <t>Non-current liabilities:</t>
  </si>
  <si>
    <t>Total liabilities</t>
  </si>
  <si>
    <t>Shareholders’ deficit:</t>
  </si>
  <si>
    <t>Common stock</t>
  </si>
  <si>
    <t>Total shareholders’ deficit</t>
  </si>
  <si>
    <t>Total liabilities and shareholders’ deficit</t>
  </si>
  <si>
    <t>Balance Sheet Check</t>
  </si>
  <si>
    <t>Cash flows from operating activities:</t>
  </si>
  <si>
    <t>Net income</t>
  </si>
  <si>
    <t>Depreciation and amortization</t>
  </si>
  <si>
    <t>Net cash provided by operating activities</t>
  </si>
  <si>
    <t>Cash flows from investing activities:</t>
  </si>
  <si>
    <t>Net cash used in investing activities</t>
  </si>
  <si>
    <t>Cash flows from financing activities:</t>
  </si>
  <si>
    <t>Net cash used in financing activities</t>
  </si>
  <si>
    <t>Cash and cash equivalents, at beginning of period</t>
  </si>
  <si>
    <t>Net (decrease) increase in cash and cash equivalents</t>
  </si>
  <si>
    <t>Cash and cash equivalents, at end of period</t>
  </si>
  <si>
    <t>Research &amp; Development (R&amp;D)</t>
  </si>
  <si>
    <t>Marketable Securities</t>
  </si>
  <si>
    <t>Accounts receivable, net</t>
  </si>
  <si>
    <t>Accumulated other comprehensive income</t>
  </si>
  <si>
    <t>Retained Earnings</t>
  </si>
  <si>
    <t>Adjustments to reconcile net income to cash generated by operating activities:</t>
  </si>
  <si>
    <t>Other</t>
  </si>
  <si>
    <t>Purchases of marketable securities</t>
  </si>
  <si>
    <t>Payments for dividends and dividend equivalents</t>
  </si>
  <si>
    <t>Revenue</t>
  </si>
  <si>
    <t>Cost of Goods Sold</t>
  </si>
  <si>
    <t>Accounts Receivable Days</t>
  </si>
  <si>
    <t>Accounts Payable Days</t>
  </si>
  <si>
    <t>Working Capital</t>
  </si>
  <si>
    <t>Accounts Receivable</t>
  </si>
  <si>
    <t>Accounts Payable</t>
  </si>
  <si>
    <t>Research &amp; Development (R&amp;D) (% of Revenue)</t>
  </si>
  <si>
    <t>Marketable securities, current (% of Revenue)</t>
  </si>
  <si>
    <t>Live Case</t>
  </si>
  <si>
    <t>Case Scenarios</t>
  </si>
  <si>
    <t>Base Case</t>
  </si>
  <si>
    <t>Optimistic Case</t>
  </si>
  <si>
    <t>Pessimistic Case</t>
  </si>
  <si>
    <t>Case Switch</t>
  </si>
  <si>
    <t>Revenue, Product (YoY Growth)</t>
  </si>
  <si>
    <t>Depreciation Schedule</t>
  </si>
  <si>
    <t>All figures in USD millions unless stated</t>
  </si>
  <si>
    <t>Capex</t>
  </si>
  <si>
    <t>EXISTING ASSETS</t>
  </si>
  <si>
    <t>Years</t>
  </si>
  <si>
    <t>Useful Life: Existing Assets</t>
  </si>
  <si>
    <t>PP&amp;E at End of 2024</t>
  </si>
  <si>
    <t>Percent of Full Year</t>
  </si>
  <si>
    <t>First Year Accounting Depreciation</t>
  </si>
  <si>
    <t>Year</t>
  </si>
  <si>
    <t>Life</t>
  </si>
  <si>
    <t>Amounts for Depreciation</t>
  </si>
  <si>
    <t>Per Yr</t>
  </si>
  <si>
    <t>Total Asset Depreciation</t>
  </si>
  <si>
    <t>Existing Assets</t>
  </si>
  <si>
    <t>New Assets</t>
  </si>
  <si>
    <t>Other Amortization Expense</t>
  </si>
  <si>
    <t>Other Amortization Expense (% of Revenue)</t>
  </si>
  <si>
    <t>Total Depreciation, PP&amp;E</t>
  </si>
  <si>
    <t>Weighted Average Useful Life: Existing Assets</t>
  </si>
  <si>
    <t>Right-of-use assets:</t>
  </si>
  <si>
    <t>Operating Lease, Other current liabilities</t>
  </si>
  <si>
    <t>Operating Lease, Other non-current liabilities</t>
  </si>
  <si>
    <t>Finance Lease, Other current liabilities</t>
  </si>
  <si>
    <t>Finance Lease, Other non-current liabilities</t>
  </si>
  <si>
    <t>Total Operating Lease Liability</t>
  </si>
  <si>
    <t>Operating Lease Liabilities:</t>
  </si>
  <si>
    <t>Finance Lease Liabilities:</t>
  </si>
  <si>
    <t>Finance Lease, PP&amp;E</t>
  </si>
  <si>
    <t>Total ROU Assets</t>
  </si>
  <si>
    <t>Operating Lease, other non-current assets (% of Total ROU)</t>
  </si>
  <si>
    <t>Finance Lease, PP&amp;E (% of Total)</t>
  </si>
  <si>
    <t>Operating Lease, Other current liabilities (% of Total)</t>
  </si>
  <si>
    <t>Operating Lease, Other non-current liabilities (% of Total)</t>
  </si>
  <si>
    <t>Finance Lease, Other current liabilities (% of Total)</t>
  </si>
  <si>
    <t>Finance Lease, Other non-current liabilities (% of Total)</t>
  </si>
  <si>
    <t>Total ROU Assets (% of Revenue)</t>
  </si>
  <si>
    <t>Total Finance Lease Liabilities</t>
  </si>
  <si>
    <t>Equity Schedule</t>
  </si>
  <si>
    <t>Net Income</t>
  </si>
  <si>
    <t>Share-based compensation</t>
  </si>
  <si>
    <t>Asset Schedule</t>
  </si>
  <si>
    <t>MARKETABLE SECURITIES</t>
  </si>
  <si>
    <t>Marketable Securities (Current)</t>
  </si>
  <si>
    <t>Marketable Securities (Current; % of Revenue)</t>
  </si>
  <si>
    <t>Cost of Sales</t>
  </si>
  <si>
    <t>Liabilities &amp; Debt Schedule</t>
  </si>
  <si>
    <t>TERM DEBT</t>
  </si>
  <si>
    <t>Other current liabilities (% of Revenue)</t>
  </si>
  <si>
    <t>OTHER NON-CURRENT LIABILITIES</t>
  </si>
  <si>
    <t>Working Capital Schedule</t>
  </si>
  <si>
    <t>Cost of Sales, Services (% of Services Revenue)</t>
  </si>
  <si>
    <t>Weighted Average Cost of Capital (WACC)</t>
  </si>
  <si>
    <t>Total Value</t>
  </si>
  <si>
    <t>Terminal Growth Rate</t>
  </si>
  <si>
    <t>EQUITY</t>
  </si>
  <si>
    <t>DEBT</t>
  </si>
  <si>
    <t>($/sh)</t>
  </si>
  <si>
    <t>Weight of Equity</t>
  </si>
  <si>
    <t>Number of Shares Outstanding</t>
  </si>
  <si>
    <t>Total Debt</t>
  </si>
  <si>
    <t>Cost of Equity</t>
  </si>
  <si>
    <t>Market Value of Equity ($)</t>
  </si>
  <si>
    <t>Weight of Debt</t>
  </si>
  <si>
    <t>Annual Interest Expense</t>
  </si>
  <si>
    <t>After-Tax Cost of Debt</t>
  </si>
  <si>
    <t>Risk-free Rate</t>
  </si>
  <si>
    <t>Before Tax Cost of Debt</t>
  </si>
  <si>
    <t>Beta</t>
  </si>
  <si>
    <t>Tax Rate</t>
  </si>
  <si>
    <t>Equity Risk Premium</t>
  </si>
  <si>
    <t>Market Value of Equity (numbers in millions unless stated)</t>
  </si>
  <si>
    <t>Commercial Paper</t>
  </si>
  <si>
    <t>Unlevered Free Cash Flow</t>
  </si>
  <si>
    <t>Income tax (% of EBIT)</t>
  </si>
  <si>
    <t>Less: Income Taxes</t>
  </si>
  <si>
    <t>Adjusted NOPAT</t>
  </si>
  <si>
    <t>Depreciation &amp; Amortization (D&amp;A)</t>
  </si>
  <si>
    <t>Purchase of Property &amp; Equipment (CAPEX)</t>
  </si>
  <si>
    <t>Change in Net Working Capital</t>
  </si>
  <si>
    <t>Total</t>
  </si>
  <si>
    <t>Net Working Capital (NWC)</t>
  </si>
  <si>
    <t>Unlevered Free Cash Flow (UFCF)</t>
  </si>
  <si>
    <t>Discounted Free Cashflow Schedule (DCF): Perpetuity Method</t>
  </si>
  <si>
    <t>Valuation</t>
  </si>
  <si>
    <t>Discrete Forecast</t>
  </si>
  <si>
    <t>Terminal</t>
  </si>
  <si>
    <t>(YY-MM-DD)</t>
  </si>
  <si>
    <t>Fiscal Year End</t>
  </si>
  <si>
    <t>Unadjusted Cash Flow</t>
  </si>
  <si>
    <t>Terminal Value</t>
  </si>
  <si>
    <t>Total Cash Flow</t>
  </si>
  <si>
    <t>Time Period</t>
  </si>
  <si>
    <t>Manually Discounted Cash Flow</t>
  </si>
  <si>
    <t>ENTERPRISE VALUE</t>
  </si>
  <si>
    <t>Manual Method</t>
  </si>
  <si>
    <t>PV of Discrete</t>
  </si>
  <si>
    <t>Debt</t>
  </si>
  <si>
    <t>XNPV Method</t>
  </si>
  <si>
    <t>PV of Terminal</t>
  </si>
  <si>
    <t>Cash</t>
  </si>
  <si>
    <t>Enterprise Value</t>
  </si>
  <si>
    <t>Net Debt</t>
  </si>
  <si>
    <t>EQUITY VALUE</t>
  </si>
  <si>
    <t>EQUITY VALUE PER SHARE</t>
  </si>
  <si>
    <t>Equity Value</t>
  </si>
  <si>
    <t>Less: Net Debt</t>
  </si>
  <si>
    <t>Shares Outstanding</t>
  </si>
  <si>
    <t>Equity Vaue per Share</t>
  </si>
  <si>
    <t>Sensitivity Analysis</t>
  </si>
  <si>
    <t>Equity Value Per Share</t>
  </si>
  <si>
    <t>Current Share Price</t>
  </si>
  <si>
    <t>Premium (Discount) on Share Price</t>
  </si>
  <si>
    <t>(Based on 2024 Data)</t>
  </si>
  <si>
    <t>NET DEBT (2024 Data)</t>
  </si>
  <si>
    <t>Overview &amp; Key Trends (2019 - 2029)</t>
  </si>
  <si>
    <t>Company Name</t>
  </si>
  <si>
    <t>Ticker</t>
  </si>
  <si>
    <t>P/E Ratio</t>
  </si>
  <si>
    <t>EV/EBITDA Ratio</t>
  </si>
  <si>
    <t>Enterprise Value (DCF)</t>
  </si>
  <si>
    <t>LIQUIDITY RATIOS</t>
  </si>
  <si>
    <t>Current Ratio</t>
  </si>
  <si>
    <t>Quick Ratio</t>
  </si>
  <si>
    <t>Public Company Comparable</t>
  </si>
  <si>
    <t>Peer Companies</t>
  </si>
  <si>
    <t>Share Price</t>
  </si>
  <si>
    <t>EBITDA</t>
  </si>
  <si>
    <t>EV / EBITDA</t>
  </si>
  <si>
    <t>EPS</t>
  </si>
  <si>
    <t>P / E Ratio</t>
  </si>
  <si>
    <t>(LTM)</t>
  </si>
  <si>
    <t>Target Company Valuation</t>
  </si>
  <si>
    <t>Average</t>
  </si>
  <si>
    <t>Median</t>
  </si>
  <si>
    <t>Maximum</t>
  </si>
  <si>
    <t>Minimum</t>
  </si>
  <si>
    <t>Apple Inc.</t>
  </si>
  <si>
    <t>AAPL</t>
  </si>
  <si>
    <t>GOOG</t>
  </si>
  <si>
    <t>Dashboard Data</t>
  </si>
  <si>
    <t>CASH FLOW STATEMENT</t>
  </si>
  <si>
    <t>Operations</t>
  </si>
  <si>
    <t>Investing</t>
  </si>
  <si>
    <t>Financing</t>
  </si>
  <si>
    <t>Change in Cash</t>
  </si>
  <si>
    <t>EBITDA Margin</t>
  </si>
  <si>
    <t>Net Income Margin</t>
  </si>
  <si>
    <t>Gross Profit Margin</t>
  </si>
  <si>
    <t>Enterprise Value (CCA; High)</t>
  </si>
  <si>
    <t>Enterprise Value (CCA; Low)</t>
  </si>
  <si>
    <t>Enterprise Value (CCA; Avg.)</t>
  </si>
  <si>
    <t>Operating Profit</t>
  </si>
  <si>
    <t>Operating Profit Margin</t>
  </si>
  <si>
    <t>(Mar 30, 2025)</t>
  </si>
  <si>
    <t>REVENUE TREND</t>
  </si>
  <si>
    <t>NET INCOME TREND</t>
  </si>
  <si>
    <t>Share Price (As on 11 April 2025)</t>
  </si>
  <si>
    <t>Marketing &amp; Sales</t>
  </si>
  <si>
    <t>General &amp; Administrative</t>
  </si>
  <si>
    <t>Interest &amp; other income (expense), net</t>
  </si>
  <si>
    <t>Provision for Income Tax</t>
  </si>
  <si>
    <t>Deferred income taxes</t>
  </si>
  <si>
    <t>Impairment charges for facilities consolidation</t>
  </si>
  <si>
    <t>Data center assets abandonment</t>
  </si>
  <si>
    <t>Changes in assets and liabilities:</t>
  </si>
  <si>
    <t>Prepaid expenses &amp; other current assets</t>
  </si>
  <si>
    <t>Other assets</t>
  </si>
  <si>
    <t>Accrued expenses &amp; other current liabilities</t>
  </si>
  <si>
    <t>Other liabilities</t>
  </si>
  <si>
    <t>Purchases of property &amp; equipment</t>
  </si>
  <si>
    <t>Sales &amp; maturities of marketable securities</t>
  </si>
  <si>
    <t>Acquisition of businesses and intangible assets</t>
  </si>
  <si>
    <t>Other investing activities</t>
  </si>
  <si>
    <t>Taxes paid related to net share settlement of equity awards</t>
  </si>
  <si>
    <t>Repurchases of Class A common stock</t>
  </si>
  <si>
    <t>Proceeds from issuance of long-term debt, net</t>
  </si>
  <si>
    <t>Principal payments on finance leases</t>
  </si>
  <si>
    <t>Other financing activities</t>
  </si>
  <si>
    <t>Effect of exchange rate changes on cash, cash equivalents, &amp; restricted cash</t>
  </si>
  <si>
    <t>Prepaid expenses and other current assets</t>
  </si>
  <si>
    <t>Non-Marketable Equity Securities</t>
  </si>
  <si>
    <t>Operating lease right-of-use assets</t>
  </si>
  <si>
    <t>Goodwill</t>
  </si>
  <si>
    <t>Operating lease liabilities, current</t>
  </si>
  <si>
    <t>Operating lease liabilities, non-current</t>
  </si>
  <si>
    <t>Long-term debt</t>
  </si>
  <si>
    <t>Long-term income taxes</t>
  </si>
  <si>
    <t>Additional Paid-in Capital</t>
  </si>
  <si>
    <t>Intangible Assets</t>
  </si>
  <si>
    <t>Partners Payable</t>
  </si>
  <si>
    <t>Marketing &amp; Sales (% of Revenue)</t>
  </si>
  <si>
    <t>General &amp; Administrative (% of Revenue)</t>
  </si>
  <si>
    <t>Income before provison for income taxes</t>
  </si>
  <si>
    <t>Change in AP (% of Revenue)</t>
  </si>
  <si>
    <t>Change in Accounts Receivables</t>
  </si>
  <si>
    <t>Change in Accounts Payables</t>
  </si>
  <si>
    <t>Accounts Receivable (From Cash Flow Statement)</t>
  </si>
  <si>
    <t>Land</t>
  </si>
  <si>
    <t>Servers and network assets</t>
  </si>
  <si>
    <t>Buildings</t>
  </si>
  <si>
    <t>Leasehold improvements</t>
  </si>
  <si>
    <t>Equipment and other</t>
  </si>
  <si>
    <t>Finance lease right-of-use assets</t>
  </si>
  <si>
    <t>Construction in progress</t>
  </si>
  <si>
    <t>Property and equipment, gross</t>
  </si>
  <si>
    <t>Less: Accumulated depreciation</t>
  </si>
  <si>
    <t>PROPERTY &amp; EQUIPMENT</t>
  </si>
  <si>
    <t>Servers &amp; Network Assets (% of Revenue)</t>
  </si>
  <si>
    <t>Purchases of property &amp; equipment (% of Revenue)</t>
  </si>
  <si>
    <t>Leasehold improvements (% of Revenue)</t>
  </si>
  <si>
    <t>Equipment and other (% of Revenue)</t>
  </si>
  <si>
    <t>Contruction in Progress</t>
  </si>
  <si>
    <t>Finance lease ROU</t>
  </si>
  <si>
    <t>Accumulated Depreciation</t>
  </si>
  <si>
    <t>Depreciation</t>
  </si>
  <si>
    <t>Total Depreciation &amp; Amortization</t>
  </si>
  <si>
    <t>Purchase of Marketable Securities</t>
  </si>
  <si>
    <t>Purchase of Marketable Securities (% of Revenue)</t>
  </si>
  <si>
    <t>Sales &amp; maturities of marketable securities (% of Revenue)</t>
  </si>
  <si>
    <t>Acquisition of businesses &amp; intangible assets</t>
  </si>
  <si>
    <t>Acquisition of businesses &amp; intangible assets (% of Revenue)</t>
  </si>
  <si>
    <t>Operating Lease, non-current</t>
  </si>
  <si>
    <t>Total Finance Lease Liability (% of Revenue)</t>
  </si>
  <si>
    <t>Total Operating Lease Liability (% of Revenue)</t>
  </si>
  <si>
    <t>Long-Term Debt, Beginning</t>
  </si>
  <si>
    <t>Unamortized discount &amp; issuance costs, net</t>
  </si>
  <si>
    <t>Long-Term Debt, Ending</t>
  </si>
  <si>
    <t>Total Long-Term Debt</t>
  </si>
  <si>
    <t>Long-Term Debt</t>
  </si>
  <si>
    <t>Proceeds from issuance of long-term debt</t>
  </si>
  <si>
    <t>Difference</t>
  </si>
  <si>
    <t>Addition/(Repayment) of long-term debt</t>
  </si>
  <si>
    <t>Addition/(Repayment) of long-term debt (% of Revenue)</t>
  </si>
  <si>
    <t>Unamortized discount &amp; issuance costs, net (% of Revenue)</t>
  </si>
  <si>
    <t>Difference b/w proceeds from issuance &amp; addition of debt</t>
  </si>
  <si>
    <t>ACRRUED EXPENSES &amp; OTHER CURRENT LIABILITIES</t>
  </si>
  <si>
    <t>Change in accrued expenses &amp; other current liabilities</t>
  </si>
  <si>
    <t>Legal-related accruals</t>
  </si>
  <si>
    <t>Accrued compensation and benefits</t>
  </si>
  <si>
    <t>Accrued property and equipment</t>
  </si>
  <si>
    <t>Accrued taxes</t>
  </si>
  <si>
    <t>Operating Expenses</t>
  </si>
  <si>
    <t>Income tax</t>
  </si>
  <si>
    <t>Legal-related accruals (% of Operating Expense)</t>
  </si>
  <si>
    <t>Accrued compensation and benefits (% of Operating Expense)</t>
  </si>
  <si>
    <t>Accrued property and equipment (% of Capex)</t>
  </si>
  <si>
    <t>Accrued taxes (% of Income Tax)</t>
  </si>
  <si>
    <t>Change in accrued expenses &amp; other current liabilities (% of Opex)</t>
  </si>
  <si>
    <t>Difference in calculated change &amp; change from CFS</t>
  </si>
  <si>
    <t>PREPAID EXPENSES &amp; OTHER CURRENT ASSETS</t>
  </si>
  <si>
    <t>Change in prepaid expenses and other current assets</t>
  </si>
  <si>
    <t>Prepaid expenses and other current assets (% of Revenue)</t>
  </si>
  <si>
    <t>Prepaid Expenses &amp; other current assets (% of Revenue)</t>
  </si>
  <si>
    <t>Change in prepaid expenses &amp; other current assets (% of Revenue)</t>
  </si>
  <si>
    <t>Prepaid expenses &amp; other current assets  (% of Revenue)</t>
  </si>
  <si>
    <t>Prepaid expenses &amp; other current assets (% of Revenue)</t>
  </si>
  <si>
    <t>Other liabilities, non-current (% of Revenue)</t>
  </si>
  <si>
    <t>Other assets, non-current (% of Revenue)</t>
  </si>
  <si>
    <t>Other assets, non-current</t>
  </si>
  <si>
    <t>Other liabilities, non-current</t>
  </si>
  <si>
    <t>Other Assets, non-current (% of Revenue)</t>
  </si>
  <si>
    <t>Other Assets non-current (% of Revenue)</t>
  </si>
  <si>
    <t>Change in other assets</t>
  </si>
  <si>
    <t>Change in other liabilities</t>
  </si>
  <si>
    <t>Other Assets &amp; Liabilities (Non-Current)</t>
  </si>
  <si>
    <t>Other assets (% of Revenue)</t>
  </si>
  <si>
    <t>Other liabilities (% of Revenue)</t>
  </si>
  <si>
    <t>Change in other assets (% of Revenue)</t>
  </si>
  <si>
    <t>Change in other liabilities (% of Revenue)</t>
  </si>
  <si>
    <t>OTHER NON-CURRENT ASSETS</t>
  </si>
  <si>
    <t>SHARE-BASED COMPENSATION (CASH FLOW STATEMENT)</t>
  </si>
  <si>
    <t>Share-based compensation (% of Revenue)</t>
  </si>
  <si>
    <t>COMMON EQUITY</t>
  </si>
  <si>
    <t>Share repurchase</t>
  </si>
  <si>
    <t>Common stock, Ending</t>
  </si>
  <si>
    <t>Shares withheld related to net share settlement</t>
  </si>
  <si>
    <t>Dividend &amp; dividend equivalentd declared</t>
  </si>
  <si>
    <t>Retained Earnings, Beginning</t>
  </si>
  <si>
    <t>Retained Earnings, Ending</t>
  </si>
  <si>
    <t>Common stock, Beginning</t>
  </si>
  <si>
    <t>RETAINED EARNINGS</t>
  </si>
  <si>
    <t>ADDITIONAL PAID-IN CAPITAL</t>
  </si>
  <si>
    <t>Additional Paid-In Capital, Beginning</t>
  </si>
  <si>
    <t>Additional Paid-In Capital, Ending</t>
  </si>
  <si>
    <t>ACCUMULATED OTHER COMPREHENSIVE INCOME</t>
  </si>
  <si>
    <t>Other comprehensive income/(loss)</t>
  </si>
  <si>
    <t>Accumulated Other Comprehensive Income, Beginning</t>
  </si>
  <si>
    <t>Accumulated Other Comprehensive Income, Ending</t>
  </si>
  <si>
    <t>Common Equity</t>
  </si>
  <si>
    <t>Additionl Paid-In Capital</t>
  </si>
  <si>
    <t>Meta Share Price (April 17, 2025) ($/sh)</t>
  </si>
  <si>
    <t>Issuance of common stock' (Share-based comp / share price)</t>
  </si>
  <si>
    <t>Shares withheld related to net share settlement (% of Share-based compensation)</t>
  </si>
  <si>
    <t>Share repurchase (% of Revenue)</t>
  </si>
  <si>
    <t>Accumulated Other Comprehensive Income</t>
  </si>
  <si>
    <t>Other comprehensive income/(loss) (% of Revenue)</t>
  </si>
  <si>
    <t>Dividend &amp; dividend equivalent declared</t>
  </si>
  <si>
    <t>Repurchases of Class A common stock (% of Revenue)</t>
  </si>
  <si>
    <t>Deferred income taxes (% of EBT)</t>
  </si>
  <si>
    <t>Impairment charges for facilities consolidation (% of operating expenses)</t>
  </si>
  <si>
    <t>Deferred income taxes  (% of EBT)</t>
  </si>
  <si>
    <t>Impairment charges for facilities consolidation (% of Operating Expenses)</t>
  </si>
  <si>
    <t>Impairment charges for facilities consolidation  (% of Operating Expenses)</t>
  </si>
  <si>
    <t>Taxes paid related to net share settlement of equity awards (% of share-based comp.)</t>
  </si>
  <si>
    <t>Principal payments on finance leases (% of Finance Lease (ROU)</t>
  </si>
  <si>
    <t>Long-term income tax (% of PP&amp;E + Intangibles)</t>
  </si>
  <si>
    <t>Property &amp; Equipment</t>
  </si>
  <si>
    <t>Contruction in Progress (% of Capex)</t>
  </si>
  <si>
    <t>Lease Schedule</t>
  </si>
  <si>
    <t>Accrued Expenses &amp; Other Current Liabilities</t>
  </si>
  <si>
    <t>Meta Platforms, Inc.</t>
  </si>
  <si>
    <t>META</t>
  </si>
  <si>
    <t>PROFITABILITY RATIOS</t>
  </si>
  <si>
    <t>Gross Margin</t>
  </si>
  <si>
    <t>Operating Margin</t>
  </si>
  <si>
    <t>Net Profit Margin</t>
  </si>
  <si>
    <t>Return on Assets</t>
  </si>
  <si>
    <t>Return on Equity</t>
  </si>
  <si>
    <t>EFFICIENCY RATIOS</t>
  </si>
  <si>
    <t>Asset Turnover</t>
  </si>
  <si>
    <t>Receivables Turnover</t>
  </si>
  <si>
    <t>A/R Days</t>
  </si>
  <si>
    <t>LEVERAGE RATIOS</t>
  </si>
  <si>
    <t>Debt-to-Equity Ratio</t>
  </si>
  <si>
    <t>Financial Performance Overview (2022 - 2029)</t>
  </si>
  <si>
    <t>Interest Coverage Ratio</t>
  </si>
  <si>
    <t>Alphabet Inc.</t>
  </si>
  <si>
    <t>NFLX</t>
  </si>
  <si>
    <t>Netflix, Inc.</t>
  </si>
  <si>
    <t>Revenue CAGR (2022-24)</t>
  </si>
  <si>
    <t>(USD million)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</si>
</sst>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4" formatCode="_ &quot;₹&quot;\ * #,##0.00_ ;_ &quot;₹&quot;\ * \-#,##0.00_ ;_ &quot;₹&quot;\ * &quot;-&quot;??_ ;_ @_ "/>
    <numFmt numFmtId="43" formatCode="_ * #,##0.00_ ;_ * \-#,##0.00_ ;_ * &quot;-&quot;??_ ;_ @_ "/>
    <numFmt numFmtId="164" formatCode="0&quot;A&quot;"/>
    <numFmt numFmtId="165" formatCode="0&quot;F&quot;"/>
    <numFmt numFmtId="166" formatCode="_(#,##0_);\(#,##0\);_(&quot;–&quot;_);_(@_)"/>
    <numFmt numFmtId="167" formatCode="_(#,##0.0%_);\(#,##0.0%\);_(&quot;–&quot;_);_(@_)"/>
    <numFmt numFmtId="168" formatCode="0.0%"/>
    <numFmt numFmtId="169" formatCode="_(#,##0.00_);\(#,##0.00\);_(&quot;–&quot;_);_(@_)"/>
    <numFmt numFmtId="170" formatCode="&quot;Yr &quot;0"/>
    <numFmt numFmtId="171" formatCode="0&quot;F&quot;\ "/>
    <numFmt numFmtId="172" formatCode="#,##0.00_);\(#,##0.00\);\-"/>
    <numFmt numFmtId="173" formatCode="_(#,##0.0%_);\(#,##0.0%\);_(&quot;–&quot;_)_%;_(@_)_%"/>
    <numFmt numFmtId="174" formatCode="#,##0_);\(#,##0\);\-"/>
    <numFmt numFmtId="175" formatCode="_(#,##0%_);\(#,##0%\);_(&quot;–&quot;_);_(@_)"/>
    <numFmt numFmtId="176" formatCode="0.000%"/>
    <numFmt numFmtId="177" formatCode="_(#,##0.00%_);\(#,##0.00%\);_(&quot;–&quot;_);_(@_)"/>
    <numFmt numFmtId="178" formatCode="yy/mm/dd"/>
    <numFmt numFmtId="179" formatCode="_ * #,##0_ ;_ * \-#,##0_ ;_ * &quot;-&quot;??_ ;_ @_ "/>
    <numFmt numFmtId="180" formatCode="_(#,##0.0_);\(#,##0.0\);_(&quot;–&quot;_);_(@_)"/>
    <numFmt numFmtId="181" formatCode="_-[$$-409]* #,##0.00_ ;_-[$$-409]* \-#,##0.00\ ;_-[$$-409]* &quot;-&quot;??_ ;_-@_ "/>
  </numFmts>
  <fonts count="41" x14ac:knownFonts="1">
    <font>
      <sz val="11"/>
      <color theme="1"/>
      <name val="Aptos Narrow"/>
      <family val="2"/>
      <scheme val="minor"/>
    </font>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Open Sans"/>
    </font>
    <font>
      <b/>
      <sz val="9.5"/>
      <color theme="1"/>
      <name val="Open Sans"/>
    </font>
    <font>
      <sz val="11"/>
      <color theme="0"/>
      <name val="Open Sans"/>
    </font>
    <font>
      <b/>
      <sz val="9.5"/>
      <color rgb="FF3271D2"/>
      <name val="Open Sans"/>
    </font>
    <font>
      <sz val="9.5"/>
      <color rgb="FF3271D2"/>
      <name val="Open Sans"/>
    </font>
    <font>
      <b/>
      <sz val="10"/>
      <color theme="1"/>
      <name val="Open Sans"/>
    </font>
    <font>
      <sz val="9.5"/>
      <color theme="1"/>
      <name val="Open Sans"/>
    </font>
    <font>
      <b/>
      <sz val="9.5"/>
      <name val="Open Sans"/>
    </font>
    <font>
      <sz val="9.5"/>
      <color rgb="FF000000"/>
      <name val="Open Sans"/>
    </font>
    <font>
      <sz val="9.5"/>
      <name val="Open Sans"/>
    </font>
    <font>
      <b/>
      <sz val="11"/>
      <color theme="1"/>
      <name val="Open Sans"/>
    </font>
    <font>
      <b/>
      <sz val="9.5"/>
      <color theme="0" tint="-4.9989318521683403E-2"/>
      <name val="Open Sans"/>
      <family val="2"/>
    </font>
    <font>
      <b/>
      <sz val="9.5"/>
      <color theme="1"/>
      <name val="Open Sans"/>
      <family val="2"/>
    </font>
    <font>
      <sz val="11"/>
      <color theme="1"/>
      <name val="Open Sans"/>
      <family val="2"/>
    </font>
    <font>
      <sz val="9.5"/>
      <color theme="1"/>
      <name val="Open Sans"/>
      <family val="2"/>
    </font>
    <font>
      <b/>
      <sz val="20"/>
      <color rgb="FF1C2B33"/>
      <name val="Calibri"/>
      <family val="2"/>
    </font>
    <font>
      <sz val="11"/>
      <color rgb="FF1C2B33"/>
      <name val="Aptos Narrow"/>
      <family val="2"/>
      <scheme val="minor"/>
    </font>
    <font>
      <b/>
      <sz val="12"/>
      <color rgb="FF1C2B33"/>
      <name val="Calibri"/>
      <family val="2"/>
    </font>
    <font>
      <u/>
      <sz val="11"/>
      <color rgb="FF1C2B33"/>
      <name val="Aptos Narrow"/>
      <family val="2"/>
      <scheme val="minor"/>
    </font>
    <font>
      <b/>
      <sz val="9.5"/>
      <color theme="2" tint="-0.749992370372631"/>
      <name val="Open Sans"/>
      <family val="2"/>
    </font>
    <font>
      <b/>
      <sz val="10"/>
      <color theme="0" tint="-4.9989318521683403E-2"/>
      <name val="Open Sans"/>
      <family val="2"/>
    </font>
    <font>
      <b/>
      <sz val="9.5"/>
      <color rgb="FF3271D2"/>
      <name val="Open Sans"/>
      <family val="2"/>
    </font>
    <font>
      <sz val="8"/>
      <color theme="1"/>
      <name val="Open Sans"/>
      <family val="2"/>
    </font>
    <font>
      <i/>
      <sz val="9.5"/>
      <color theme="1"/>
      <name val="Open Sans"/>
      <family val="2"/>
    </font>
    <font>
      <sz val="9"/>
      <color theme="1"/>
      <name val="Open Sans"/>
      <family val="2"/>
    </font>
    <font>
      <b/>
      <sz val="11"/>
      <color theme="1"/>
      <name val="Open Sans"/>
      <family val="2"/>
    </font>
    <font>
      <sz val="9.5"/>
      <color theme="0"/>
      <name val="Open Sans"/>
      <family val="2"/>
    </font>
    <font>
      <sz val="10"/>
      <color theme="1"/>
      <name val="Open Sans"/>
      <family val="2"/>
    </font>
    <font>
      <b/>
      <sz val="10"/>
      <color theme="0" tint="-0.14999847407452621"/>
      <name val="Open Sans"/>
      <family val="2"/>
    </font>
    <font>
      <b/>
      <sz val="10"/>
      <color theme="1"/>
      <name val="Open Sans"/>
      <family val="2"/>
    </font>
    <font>
      <b/>
      <i/>
      <sz val="10"/>
      <color theme="2" tint="-0.749992370372631"/>
      <name val="Open Sans"/>
      <family val="2"/>
    </font>
    <font>
      <i/>
      <sz val="10"/>
      <color theme="1"/>
      <name val="Open Sans"/>
      <family val="2"/>
    </font>
    <font>
      <b/>
      <sz val="10"/>
      <color theme="2" tint="-0.749992370372631"/>
      <name val="Open Sans"/>
      <family val="2"/>
    </font>
    <font>
      <b/>
      <sz val="9"/>
      <color theme="1"/>
      <name val="Open Sans"/>
      <family val="2"/>
    </font>
    <font>
      <b/>
      <sz val="9"/>
      <color theme="0" tint="-0.14999847407452621"/>
      <name val="Open Sans"/>
      <family val="2"/>
    </font>
    <font>
      <sz val="9.5"/>
      <color rgb="FF3271D2"/>
      <name val="Open Sans"/>
      <family val="2"/>
    </font>
    <font>
      <sz val="10"/>
      <color rgb="FF1877F2"/>
      <name val="Open Sans"/>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rgb="FF000000"/>
      </patternFill>
    </fill>
    <fill>
      <patternFill patternType="solid">
        <fgColor rgb="FF1877F2"/>
        <bgColor indexed="64"/>
      </patternFill>
    </fill>
    <fill>
      <patternFill patternType="solid">
        <fgColor rgb="FF1C2B33"/>
        <bgColor indexed="64"/>
      </patternFill>
    </fill>
  </fills>
  <borders count="52">
    <border>
      <left/>
      <right/>
      <top/>
      <bottom/>
      <diagonal/>
    </border>
    <border>
      <left/>
      <right/>
      <top/>
      <bottom style="thin">
        <color auto="1"/>
      </bottom>
      <diagonal/>
    </border>
    <border>
      <left/>
      <right/>
      <top/>
      <bottom style="medium">
        <color rgb="FF3271D2"/>
      </bottom>
      <diagonal/>
    </border>
    <border>
      <left/>
      <right/>
      <top style="thin">
        <color rgb="FF3271D2"/>
      </top>
      <bottom style="medium">
        <color rgb="FF3271D2"/>
      </bottom>
      <diagonal/>
    </border>
    <border>
      <left/>
      <right/>
      <top style="hair">
        <color auto="1"/>
      </top>
      <bottom/>
      <diagonal/>
    </border>
    <border>
      <left/>
      <right/>
      <top style="medium">
        <color auto="1"/>
      </top>
      <bottom style="medium">
        <color auto="1"/>
      </bottom>
      <diagonal/>
    </border>
    <border>
      <left/>
      <right/>
      <top style="hair">
        <color auto="1"/>
      </top>
      <bottom style="medium">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right/>
      <top style="thin">
        <color auto="1"/>
      </top>
      <bottom/>
      <diagonal/>
    </border>
    <border>
      <left/>
      <right/>
      <top style="thin">
        <color auto="1"/>
      </top>
      <bottom style="double">
        <color auto="1"/>
      </bottom>
      <diagonal/>
    </border>
    <border>
      <left style="hair">
        <color auto="1"/>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diagonal/>
    </border>
    <border>
      <left/>
      <right style="hair">
        <color rgb="FF000000"/>
      </right>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style="hair">
        <color auto="1"/>
      </top>
      <bottom style="hair">
        <color auto="1"/>
      </bottom>
      <diagonal/>
    </border>
    <border>
      <left/>
      <right style="thin">
        <color rgb="FF3271D2"/>
      </right>
      <top style="thin">
        <color rgb="FF3271D2"/>
      </top>
      <bottom style="thin">
        <color rgb="FF3271D2"/>
      </bottom>
      <diagonal/>
    </border>
    <border>
      <left/>
      <right/>
      <top style="thin">
        <color rgb="FF3271D2"/>
      </top>
      <bottom style="thin">
        <color rgb="FF3271D2"/>
      </bottom>
      <diagonal/>
    </border>
    <border>
      <left style="thin">
        <color rgb="FF3271D2"/>
      </left>
      <right/>
      <top style="thin">
        <color rgb="FF3271D2"/>
      </top>
      <bottom style="thin">
        <color rgb="FF3271D2"/>
      </bottom>
      <diagonal/>
    </border>
    <border>
      <left style="thin">
        <color rgb="FF3271D2"/>
      </left>
      <right style="thin">
        <color rgb="FF3271D2"/>
      </right>
      <top style="thin">
        <color rgb="FF3271D2"/>
      </top>
      <bottom/>
      <diagonal/>
    </border>
    <border>
      <left style="thin">
        <color rgb="FF3271D2"/>
      </left>
      <right/>
      <top style="thin">
        <color rgb="FF3271D2"/>
      </top>
      <bottom/>
      <diagonal/>
    </border>
    <border>
      <left/>
      <right/>
      <top style="thin">
        <color rgb="FF3271D2"/>
      </top>
      <bottom/>
      <diagonal/>
    </border>
    <border>
      <left/>
      <right style="thin">
        <color rgb="FF3271D2"/>
      </right>
      <top style="thin">
        <color rgb="FF3271D2"/>
      </top>
      <bottom/>
      <diagonal/>
    </border>
    <border>
      <left style="thin">
        <color rgb="FF3271D2"/>
      </left>
      <right style="thin">
        <color rgb="FF3271D2"/>
      </right>
      <top/>
      <bottom style="thin">
        <color rgb="FF3271D2"/>
      </bottom>
      <diagonal/>
    </border>
    <border>
      <left style="thin">
        <color rgb="FF3271D2"/>
      </left>
      <right/>
      <top/>
      <bottom style="thin">
        <color rgb="FF3271D2"/>
      </bottom>
      <diagonal/>
    </border>
    <border>
      <left/>
      <right/>
      <top/>
      <bottom style="thin">
        <color rgb="FF3271D2"/>
      </bottom>
      <diagonal/>
    </border>
    <border>
      <left/>
      <right style="thin">
        <color rgb="FF3271D2"/>
      </right>
      <top/>
      <bottom style="thin">
        <color rgb="FF3271D2"/>
      </bottom>
      <diagonal/>
    </border>
    <border>
      <left style="thin">
        <color auto="1"/>
      </left>
      <right style="thin">
        <color auto="1"/>
      </right>
      <top style="thin">
        <color auto="1"/>
      </top>
      <bottom style="thin">
        <color auto="1"/>
      </bottom>
      <diagonal/>
    </border>
    <border>
      <left style="hair">
        <color auto="1"/>
      </left>
      <right/>
      <top/>
      <bottom style="thin">
        <color rgb="FF3271D2"/>
      </bottom>
      <diagonal/>
    </border>
    <border>
      <left/>
      <right style="hair">
        <color auto="1"/>
      </right>
      <top/>
      <bottom style="thin">
        <color rgb="FF3271D2"/>
      </bottom>
      <diagonal/>
    </border>
    <border>
      <left style="thick">
        <color rgb="FF1C2B33"/>
      </left>
      <right/>
      <top style="thick">
        <color rgb="FF1C2B33"/>
      </top>
      <bottom/>
      <diagonal/>
    </border>
    <border>
      <left/>
      <right/>
      <top style="thick">
        <color rgb="FF1C2B33"/>
      </top>
      <bottom/>
      <diagonal/>
    </border>
    <border>
      <left/>
      <right style="thick">
        <color rgb="FF1C2B33"/>
      </right>
      <top style="thick">
        <color rgb="FF1C2B33"/>
      </top>
      <bottom/>
      <diagonal/>
    </border>
    <border>
      <left style="thick">
        <color rgb="FF1C2B33"/>
      </left>
      <right/>
      <top/>
      <bottom/>
      <diagonal/>
    </border>
    <border>
      <left/>
      <right style="thick">
        <color rgb="FF1C2B33"/>
      </right>
      <top/>
      <bottom/>
      <diagonal/>
    </border>
    <border>
      <left style="thick">
        <color rgb="FF1C2B33"/>
      </left>
      <right/>
      <top/>
      <bottom style="thick">
        <color rgb="FF1C2B33"/>
      </bottom>
      <diagonal/>
    </border>
    <border>
      <left/>
      <right/>
      <top/>
      <bottom style="thick">
        <color rgb="FF1C2B33"/>
      </bottom>
      <diagonal/>
    </border>
    <border>
      <left/>
      <right style="thick">
        <color rgb="FF1C2B33"/>
      </right>
      <top/>
      <bottom style="thick">
        <color rgb="FF1C2B33"/>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65">
    <xf numFmtId="0" fontId="0" fillId="0" borderId="0" xfId="0"/>
    <xf numFmtId="0" fontId="4" fillId="0" borderId="0" xfId="0" applyFont="1" applyAlignment="1">
      <alignment vertical="center"/>
    </xf>
    <xf numFmtId="1" fontId="5" fillId="0" borderId="0" xfId="0" applyNumberFormat="1" applyFont="1" applyAlignment="1">
      <alignment horizontal="right" vertical="center"/>
    </xf>
    <xf numFmtId="0" fontId="6" fillId="0" borderId="0" xfId="0" applyFont="1" applyAlignment="1">
      <alignment vertical="center"/>
    </xf>
    <xf numFmtId="164" fontId="7" fillId="0" borderId="2" xfId="0" applyNumberFormat="1" applyFont="1" applyBorder="1" applyAlignment="1">
      <alignment vertical="center"/>
    </xf>
    <xf numFmtId="165" fontId="7" fillId="0" borderId="3" xfId="0" applyNumberFormat="1" applyFont="1" applyBorder="1" applyAlignment="1">
      <alignment vertical="center"/>
    </xf>
    <xf numFmtId="164" fontId="7" fillId="0" borderId="0" xfId="0" applyNumberFormat="1" applyFont="1" applyAlignment="1">
      <alignment vertical="center"/>
    </xf>
    <xf numFmtId="165" fontId="7" fillId="0" borderId="0" xfId="0" applyNumberFormat="1" applyFont="1" applyAlignment="1">
      <alignment vertical="center"/>
    </xf>
    <xf numFmtId="0" fontId="5" fillId="0" borderId="0" xfId="0" applyFont="1" applyAlignment="1">
      <alignment horizontal="left" vertical="center"/>
    </xf>
    <xf numFmtId="166" fontId="8" fillId="0" borderId="0" xfId="0" applyNumberFormat="1" applyFont="1" applyAlignment="1">
      <alignment vertical="center"/>
    </xf>
    <xf numFmtId="0" fontId="9" fillId="0" borderId="0" xfId="0" applyFont="1" applyAlignment="1">
      <alignment horizontal="right" vertical="center"/>
    </xf>
    <xf numFmtId="0" fontId="10" fillId="0" borderId="0" xfId="0" applyFont="1" applyAlignment="1">
      <alignment horizontal="left" vertical="center"/>
    </xf>
    <xf numFmtId="0" fontId="4" fillId="0" borderId="0" xfId="0" applyFont="1"/>
    <xf numFmtId="167" fontId="10" fillId="3" borderId="0" xfId="3" applyNumberFormat="1" applyFont="1" applyFill="1" applyBorder="1" applyAlignment="1">
      <alignment vertical="center"/>
    </xf>
    <xf numFmtId="167" fontId="8" fillId="2" borderId="0" xfId="3" applyNumberFormat="1" applyFont="1" applyFill="1" applyBorder="1" applyAlignment="1">
      <alignment vertical="center"/>
    </xf>
    <xf numFmtId="167" fontId="10" fillId="3" borderId="0" xfId="3" applyNumberFormat="1" applyFont="1" applyFill="1" applyBorder="1" applyAlignment="1">
      <alignment horizontal="right" vertical="center"/>
    </xf>
    <xf numFmtId="167" fontId="4" fillId="0" borderId="0" xfId="0" applyNumberFormat="1" applyFont="1" applyAlignment="1">
      <alignment vertical="center"/>
    </xf>
    <xf numFmtId="168" fontId="8" fillId="0" borderId="0" xfId="1" applyNumberFormat="1" applyFont="1" applyAlignment="1">
      <alignment vertical="center"/>
    </xf>
    <xf numFmtId="1" fontId="10" fillId="3" borderId="0" xfId="3" applyNumberFormat="1" applyFont="1" applyFill="1" applyBorder="1" applyAlignment="1">
      <alignment vertical="center"/>
    </xf>
    <xf numFmtId="1" fontId="8" fillId="0" borderId="0" xfId="3" applyNumberFormat="1" applyFont="1" applyFill="1" applyBorder="1" applyAlignment="1">
      <alignment vertical="center"/>
    </xf>
    <xf numFmtId="1" fontId="8" fillId="2" borderId="0" xfId="3" applyNumberFormat="1" applyFont="1" applyFill="1" applyBorder="1" applyAlignment="1">
      <alignment vertical="center"/>
    </xf>
    <xf numFmtId="166" fontId="10" fillId="3" borderId="0" xfId="3" applyNumberFormat="1" applyFont="1" applyFill="1" applyBorder="1" applyAlignment="1">
      <alignment vertical="center"/>
    </xf>
    <xf numFmtId="166" fontId="8" fillId="0" borderId="0" xfId="1" applyNumberFormat="1" applyFont="1" applyAlignment="1">
      <alignment vertical="center"/>
    </xf>
    <xf numFmtId="179" fontId="10" fillId="3" borderId="0" xfId="1" applyNumberFormat="1" applyFont="1" applyFill="1" applyBorder="1" applyAlignment="1">
      <alignment vertical="center"/>
    </xf>
    <xf numFmtId="179" fontId="8" fillId="2" borderId="0" xfId="1" applyNumberFormat="1" applyFont="1" applyFill="1" applyBorder="1" applyAlignment="1">
      <alignment vertical="center"/>
    </xf>
    <xf numFmtId="177" fontId="10" fillId="3" borderId="0" xfId="3" applyNumberFormat="1" applyFont="1" applyFill="1" applyBorder="1" applyAlignment="1">
      <alignment vertical="center"/>
    </xf>
    <xf numFmtId="177" fontId="8" fillId="2" borderId="0" xfId="3" applyNumberFormat="1" applyFont="1" applyFill="1" applyBorder="1" applyAlignment="1">
      <alignment vertical="center"/>
    </xf>
    <xf numFmtId="0" fontId="10" fillId="0" borderId="0" xfId="0" applyFont="1" applyAlignment="1">
      <alignment vertical="center"/>
    </xf>
    <xf numFmtId="0" fontId="10" fillId="0" borderId="0" xfId="0" applyFont="1" applyAlignment="1">
      <alignment horizontal="left" vertical="center" indent="1"/>
    </xf>
    <xf numFmtId="166" fontId="10" fillId="0" borderId="0" xfId="1" applyNumberFormat="1" applyFont="1" applyAlignment="1">
      <alignment vertical="center"/>
    </xf>
    <xf numFmtId="166" fontId="5" fillId="0" borderId="4" xfId="1" applyNumberFormat="1" applyFont="1" applyBorder="1" applyAlignment="1">
      <alignment vertical="center"/>
    </xf>
    <xf numFmtId="9" fontId="4" fillId="0" borderId="0" xfId="3" applyFont="1" applyAlignment="1">
      <alignment vertical="center"/>
    </xf>
    <xf numFmtId="166" fontId="10" fillId="0" borderId="0" xfId="1" applyNumberFormat="1" applyFont="1" applyBorder="1" applyAlignment="1">
      <alignment vertical="center"/>
    </xf>
    <xf numFmtId="166" fontId="4" fillId="0" borderId="0" xfId="0" applyNumberFormat="1" applyFont="1" applyAlignment="1">
      <alignment vertical="center"/>
    </xf>
    <xf numFmtId="166" fontId="5" fillId="0" borderId="5" xfId="1" applyNumberFormat="1" applyFont="1" applyBorder="1" applyAlignment="1">
      <alignment vertical="center"/>
    </xf>
    <xf numFmtId="0" fontId="5" fillId="0" borderId="0" xfId="0" applyFont="1" applyAlignment="1">
      <alignment vertical="center"/>
    </xf>
    <xf numFmtId="176" fontId="4" fillId="0" borderId="0" xfId="3" applyNumberFormat="1" applyFont="1" applyAlignment="1">
      <alignment vertical="center"/>
    </xf>
    <xf numFmtId="0" fontId="5" fillId="0" borderId="0" xfId="0" applyFont="1" applyAlignment="1">
      <alignment horizontal="left" vertical="center" indent="1"/>
    </xf>
    <xf numFmtId="166" fontId="5" fillId="0" borderId="10" xfId="1" applyNumberFormat="1" applyFont="1" applyBorder="1" applyAlignment="1">
      <alignment vertical="center"/>
    </xf>
    <xf numFmtId="166" fontId="5" fillId="0" borderId="0" xfId="1" applyNumberFormat="1" applyFont="1" applyBorder="1" applyAlignment="1">
      <alignment vertical="center"/>
    </xf>
    <xf numFmtId="166" fontId="8" fillId="0" borderId="0" xfId="2" applyNumberFormat="1" applyFont="1" applyAlignment="1">
      <alignment vertical="center"/>
    </xf>
    <xf numFmtId="166" fontId="5" fillId="0" borderId="11" xfId="1" applyNumberFormat="1" applyFont="1" applyBorder="1" applyAlignment="1">
      <alignment vertical="center"/>
    </xf>
    <xf numFmtId="168" fontId="8" fillId="0" borderId="0" xfId="3" applyNumberFormat="1" applyFont="1" applyAlignment="1">
      <alignment vertical="center"/>
    </xf>
    <xf numFmtId="166" fontId="5" fillId="0" borderId="6" xfId="1" applyNumberFormat="1" applyFont="1" applyBorder="1" applyAlignment="1">
      <alignment vertical="center"/>
    </xf>
    <xf numFmtId="166" fontId="10" fillId="0" borderId="0" xfId="2" applyNumberFormat="1" applyFont="1" applyAlignment="1">
      <alignment vertical="center"/>
    </xf>
    <xf numFmtId="166" fontId="10" fillId="0" borderId="7" xfId="0" applyNumberFormat="1" applyFont="1" applyBorder="1" applyAlignment="1">
      <alignment vertical="center"/>
    </xf>
    <xf numFmtId="166" fontId="10" fillId="0" borderId="8" xfId="0" applyNumberFormat="1" applyFont="1" applyBorder="1" applyAlignment="1">
      <alignment vertical="center"/>
    </xf>
    <xf numFmtId="166" fontId="10" fillId="0" borderId="9" xfId="0" applyNumberFormat="1" applyFont="1" applyBorder="1" applyAlignment="1">
      <alignment vertical="center"/>
    </xf>
    <xf numFmtId="166" fontId="6" fillId="0" borderId="0" xfId="0" applyNumberFormat="1" applyFont="1" applyAlignment="1">
      <alignment vertical="center"/>
    </xf>
    <xf numFmtId="166" fontId="10" fillId="3" borderId="12" xfId="1" applyNumberFormat="1" applyFont="1" applyFill="1" applyBorder="1" applyAlignment="1">
      <alignment vertical="center"/>
    </xf>
    <xf numFmtId="166" fontId="10" fillId="3" borderId="4" xfId="1" applyNumberFormat="1" applyFont="1" applyFill="1" applyBorder="1" applyAlignment="1">
      <alignment vertical="center"/>
    </xf>
    <xf numFmtId="166" fontId="10" fillId="3" borderId="13" xfId="1" applyNumberFormat="1" applyFont="1" applyFill="1" applyBorder="1" applyAlignment="1">
      <alignment vertical="center"/>
    </xf>
    <xf numFmtId="166" fontId="10" fillId="3" borderId="14" xfId="1" applyNumberFormat="1" applyFont="1" applyFill="1" applyBorder="1" applyAlignment="1">
      <alignment vertical="center"/>
    </xf>
    <xf numFmtId="166" fontId="10" fillId="3" borderId="0" xfId="1" applyNumberFormat="1" applyFont="1" applyFill="1" applyBorder="1" applyAlignment="1">
      <alignment vertical="center"/>
    </xf>
    <xf numFmtId="166" fontId="10" fillId="3" borderId="15" xfId="1" applyNumberFormat="1" applyFont="1" applyFill="1" applyBorder="1" applyAlignment="1">
      <alignment vertical="center"/>
    </xf>
    <xf numFmtId="166" fontId="10" fillId="3" borderId="16" xfId="1" applyNumberFormat="1" applyFont="1" applyFill="1" applyBorder="1" applyAlignment="1">
      <alignment vertical="center"/>
    </xf>
    <xf numFmtId="166" fontId="10" fillId="3" borderId="17" xfId="1" applyNumberFormat="1" applyFont="1" applyFill="1" applyBorder="1" applyAlignment="1">
      <alignment vertical="center"/>
    </xf>
    <xf numFmtId="166" fontId="10" fillId="3" borderId="18" xfId="1" applyNumberFormat="1" applyFont="1" applyFill="1" applyBorder="1" applyAlignment="1">
      <alignment vertical="center"/>
    </xf>
    <xf numFmtId="166" fontId="10" fillId="3" borderId="0" xfId="1" applyNumberFormat="1" applyFont="1" applyFill="1" applyAlignment="1">
      <alignment vertical="center"/>
    </xf>
    <xf numFmtId="166" fontId="10" fillId="0" borderId="0" xfId="1" applyNumberFormat="1" applyFont="1" applyFill="1" applyAlignment="1">
      <alignment vertical="center"/>
    </xf>
    <xf numFmtId="166" fontId="10" fillId="0" borderId="0" xfId="0" applyNumberFormat="1" applyFont="1" applyAlignment="1">
      <alignment vertical="center"/>
    </xf>
    <xf numFmtId="177" fontId="10" fillId="0" borderId="0" xfId="3" applyNumberFormat="1" applyFont="1" applyFill="1" applyBorder="1" applyAlignment="1">
      <alignment vertical="center"/>
    </xf>
    <xf numFmtId="167" fontId="10" fillId="2" borderId="0" xfId="3" applyNumberFormat="1" applyFont="1" applyFill="1" applyBorder="1" applyAlignment="1">
      <alignment vertical="center"/>
    </xf>
    <xf numFmtId="0" fontId="4" fillId="3" borderId="0" xfId="0" applyFont="1" applyFill="1" applyAlignment="1">
      <alignment vertical="center"/>
    </xf>
    <xf numFmtId="166" fontId="10" fillId="3" borderId="0" xfId="0" applyNumberFormat="1" applyFont="1" applyFill="1" applyAlignment="1">
      <alignment vertical="center"/>
    </xf>
    <xf numFmtId="166" fontId="10" fillId="3" borderId="4" xfId="0" applyNumberFormat="1" applyFont="1" applyFill="1" applyBorder="1" applyAlignment="1">
      <alignment vertical="center"/>
    </xf>
    <xf numFmtId="166" fontId="10" fillId="0" borderId="4" xfId="0" applyNumberFormat="1" applyFont="1" applyBorder="1" applyAlignment="1">
      <alignment vertical="center"/>
    </xf>
    <xf numFmtId="0" fontId="5" fillId="0" borderId="0" xfId="0" applyFont="1" applyAlignment="1">
      <alignment horizontal="right" vertical="center"/>
    </xf>
    <xf numFmtId="0" fontId="5" fillId="0" borderId="0" xfId="0" applyFont="1" applyAlignment="1">
      <alignment horizontal="centerContinuous" vertical="center"/>
    </xf>
    <xf numFmtId="0" fontId="4" fillId="0" borderId="0" xfId="0" applyFont="1" applyAlignment="1">
      <alignment horizontal="centerContinuous" vertical="center"/>
    </xf>
    <xf numFmtId="0" fontId="10" fillId="0" borderId="12" xfId="0" applyFont="1" applyBorder="1" applyAlignment="1">
      <alignment vertical="center"/>
    </xf>
    <xf numFmtId="169" fontId="8" fillId="0" borderId="13" xfId="1" applyNumberFormat="1" applyFont="1" applyBorder="1" applyAlignment="1">
      <alignment vertical="center"/>
    </xf>
    <xf numFmtId="170" fontId="5" fillId="0" borderId="0" xfId="0" applyNumberFormat="1" applyFont="1" applyAlignment="1">
      <alignment vertical="center"/>
    </xf>
    <xf numFmtId="0" fontId="10" fillId="0" borderId="16" xfId="0" applyFont="1" applyBorder="1" applyAlignment="1">
      <alignment vertical="center"/>
    </xf>
    <xf numFmtId="166" fontId="8" fillId="0" borderId="18" xfId="1" applyNumberFormat="1" applyFont="1" applyBorder="1" applyAlignment="1">
      <alignment vertical="center"/>
    </xf>
    <xf numFmtId="9" fontId="10" fillId="3" borderId="7" xfId="3" applyFont="1" applyFill="1" applyBorder="1" applyAlignment="1">
      <alignment vertical="center"/>
    </xf>
    <xf numFmtId="9" fontId="10" fillId="3" borderId="8" xfId="3" applyFont="1" applyFill="1" applyBorder="1" applyAlignment="1">
      <alignment vertical="center"/>
    </xf>
    <xf numFmtId="9" fontId="10" fillId="3" borderId="9" xfId="3" applyFont="1" applyFill="1" applyBorder="1" applyAlignment="1">
      <alignment vertical="center"/>
    </xf>
    <xf numFmtId="0" fontId="4" fillId="0" borderId="4" xfId="0" applyFont="1" applyBorder="1" applyAlignment="1">
      <alignment vertical="center"/>
    </xf>
    <xf numFmtId="9" fontId="8" fillId="0" borderId="18" xfId="3" applyFont="1" applyBorder="1" applyAlignment="1">
      <alignment vertical="center"/>
    </xf>
    <xf numFmtId="164" fontId="11" fillId="0" borderId="0" xfId="0" applyNumberFormat="1" applyFont="1" applyAlignment="1">
      <alignment horizontal="right" vertical="center"/>
    </xf>
    <xf numFmtId="0" fontId="11" fillId="0" borderId="0" xfId="0" applyFont="1" applyAlignment="1">
      <alignment horizontal="centerContinuous" vertical="center"/>
    </xf>
    <xf numFmtId="165" fontId="11" fillId="0" borderId="0" xfId="0" applyNumberFormat="1" applyFont="1" applyAlignment="1">
      <alignment horizontal="centerContinuous" vertical="center"/>
    </xf>
    <xf numFmtId="37" fontId="10" fillId="0" borderId="0" xfId="0" applyNumberFormat="1" applyFont="1" applyAlignment="1">
      <alignment horizontal="centerContinuous" vertical="center"/>
    </xf>
    <xf numFmtId="0" fontId="11" fillId="0" borderId="0" xfId="0" applyFont="1" applyAlignment="1">
      <alignment horizontal="left" vertical="center"/>
    </xf>
    <xf numFmtId="171" fontId="11" fillId="0" borderId="0" xfId="0" applyNumberFormat="1" applyFont="1" applyAlignment="1">
      <alignment horizontal="right" vertical="center"/>
    </xf>
    <xf numFmtId="165" fontId="11" fillId="0" borderId="19" xfId="0" applyNumberFormat="1" applyFont="1" applyBorder="1" applyAlignment="1">
      <alignment horizontal="left" vertical="center"/>
    </xf>
    <xf numFmtId="172" fontId="12" fillId="0" borderId="20" xfId="0" applyNumberFormat="1" applyFont="1" applyBorder="1" applyAlignment="1">
      <alignment horizontal="left" vertical="center"/>
    </xf>
    <xf numFmtId="165" fontId="13" fillId="0" borderId="21" xfId="0" applyNumberFormat="1" applyFont="1" applyBorder="1" applyAlignment="1">
      <alignment horizontal="left" vertical="center"/>
    </xf>
    <xf numFmtId="173" fontId="12" fillId="5" borderId="20" xfId="0" applyNumberFormat="1" applyFont="1" applyFill="1" applyBorder="1" applyAlignment="1">
      <alignment horizontal="right" vertical="center"/>
    </xf>
    <xf numFmtId="173" fontId="12" fillId="5" borderId="21" xfId="0" applyNumberFormat="1" applyFont="1" applyFill="1" applyBorder="1" applyAlignment="1">
      <alignment horizontal="right" vertical="center"/>
    </xf>
    <xf numFmtId="165" fontId="11" fillId="0" borderId="22" xfId="0" applyNumberFormat="1" applyFont="1" applyBorder="1" applyAlignment="1">
      <alignment horizontal="left" vertical="center"/>
    </xf>
    <xf numFmtId="172" fontId="12" fillId="0" borderId="0" xfId="0" applyNumberFormat="1" applyFont="1" applyAlignment="1">
      <alignment horizontal="left" vertical="center"/>
    </xf>
    <xf numFmtId="165" fontId="13" fillId="0" borderId="23" xfId="0" applyNumberFormat="1" applyFont="1" applyBorder="1" applyAlignment="1">
      <alignment horizontal="left" vertical="center"/>
    </xf>
    <xf numFmtId="173" fontId="12" fillId="5" borderId="0" xfId="0" applyNumberFormat="1" applyFont="1" applyFill="1" applyAlignment="1">
      <alignment horizontal="right" vertical="center"/>
    </xf>
    <xf numFmtId="173" fontId="12" fillId="5" borderId="23" xfId="0" applyNumberFormat="1" applyFont="1" applyFill="1" applyBorder="1" applyAlignment="1">
      <alignment horizontal="right" vertical="center"/>
    </xf>
    <xf numFmtId="165" fontId="11" fillId="0" borderId="24" xfId="0" applyNumberFormat="1" applyFont="1" applyBorder="1" applyAlignment="1">
      <alignment horizontal="left" vertical="center"/>
    </xf>
    <xf numFmtId="172" fontId="12" fillId="0" borderId="25" xfId="0" applyNumberFormat="1" applyFont="1" applyBorder="1" applyAlignment="1">
      <alignment horizontal="left" vertical="center"/>
    </xf>
    <xf numFmtId="165" fontId="13" fillId="0" borderId="26" xfId="0" applyNumberFormat="1" applyFont="1" applyBorder="1" applyAlignment="1">
      <alignment horizontal="left" vertical="center"/>
    </xf>
    <xf numFmtId="173" fontId="12" fillId="5" borderId="25" xfId="0" applyNumberFormat="1" applyFont="1" applyFill="1" applyBorder="1" applyAlignment="1">
      <alignment horizontal="right" vertical="center"/>
    </xf>
    <xf numFmtId="173" fontId="12" fillId="5" borderId="26" xfId="0" applyNumberFormat="1" applyFont="1" applyFill="1" applyBorder="1" applyAlignment="1">
      <alignment horizontal="right" vertical="center"/>
    </xf>
    <xf numFmtId="165" fontId="11" fillId="0" borderId="0" xfId="0" applyNumberFormat="1" applyFont="1" applyAlignment="1">
      <alignment horizontal="right" vertical="center"/>
    </xf>
    <xf numFmtId="174" fontId="12" fillId="5" borderId="20" xfId="0" applyNumberFormat="1" applyFont="1" applyFill="1" applyBorder="1" applyAlignment="1">
      <alignment horizontal="left" vertical="center"/>
    </xf>
    <xf numFmtId="174" fontId="12" fillId="5" borderId="19" xfId="0" applyNumberFormat="1" applyFont="1" applyFill="1" applyBorder="1" applyAlignment="1">
      <alignment horizontal="right" vertical="center"/>
    </xf>
    <xf numFmtId="174" fontId="12" fillId="5" borderId="20" xfId="0" applyNumberFormat="1" applyFont="1" applyFill="1" applyBorder="1" applyAlignment="1">
      <alignment horizontal="right" vertical="center"/>
    </xf>
    <xf numFmtId="174" fontId="12" fillId="5" borderId="21" xfId="0" applyNumberFormat="1" applyFont="1" applyFill="1" applyBorder="1" applyAlignment="1">
      <alignment horizontal="right" vertical="center"/>
    </xf>
    <xf numFmtId="174" fontId="12" fillId="5" borderId="0" xfId="0" applyNumberFormat="1" applyFont="1" applyFill="1" applyAlignment="1">
      <alignment horizontal="left" vertical="center"/>
    </xf>
    <xf numFmtId="174" fontId="12" fillId="5" borderId="22" xfId="0" applyNumberFormat="1" applyFont="1" applyFill="1" applyBorder="1" applyAlignment="1">
      <alignment horizontal="right" vertical="center"/>
    </xf>
    <xf numFmtId="174" fontId="12" fillId="5" borderId="0" xfId="0" applyNumberFormat="1" applyFont="1" applyFill="1" applyAlignment="1">
      <alignment horizontal="right" vertical="center"/>
    </xf>
    <xf numFmtId="174" fontId="12" fillId="5" borderId="23" xfId="0" applyNumberFormat="1" applyFont="1" applyFill="1" applyBorder="1" applyAlignment="1">
      <alignment horizontal="right" vertical="center"/>
    </xf>
    <xf numFmtId="174" fontId="12" fillId="5" borderId="25" xfId="0" applyNumberFormat="1" applyFont="1" applyFill="1" applyBorder="1" applyAlignment="1">
      <alignment horizontal="left" vertical="center"/>
    </xf>
    <xf numFmtId="174" fontId="12" fillId="5" borderId="24" xfId="0" applyNumberFormat="1" applyFont="1" applyFill="1" applyBorder="1" applyAlignment="1">
      <alignment horizontal="right" vertical="center"/>
    </xf>
    <xf numFmtId="174" fontId="12" fillId="5" borderId="25" xfId="0" applyNumberFormat="1" applyFont="1" applyFill="1" applyBorder="1" applyAlignment="1">
      <alignment horizontal="right" vertical="center"/>
    </xf>
    <xf numFmtId="174" fontId="12" fillId="5" borderId="26" xfId="0" applyNumberFormat="1" applyFont="1" applyFill="1" applyBorder="1" applyAlignment="1">
      <alignment horizontal="right" vertical="center"/>
    </xf>
    <xf numFmtId="167" fontId="10" fillId="0" borderId="0" xfId="3" applyNumberFormat="1" applyFont="1" applyFill="1" applyBorder="1" applyAlignment="1">
      <alignment vertical="center"/>
    </xf>
    <xf numFmtId="166" fontId="5" fillId="0" borderId="10" xfId="0" applyNumberFormat="1" applyFont="1" applyBorder="1" applyAlignment="1">
      <alignment vertical="center"/>
    </xf>
    <xf numFmtId="166" fontId="5" fillId="0" borderId="11" xfId="0" applyNumberFormat="1" applyFont="1" applyBorder="1" applyAlignment="1">
      <alignment vertical="center"/>
    </xf>
    <xf numFmtId="0" fontId="4" fillId="0" borderId="4" xfId="0" applyFont="1" applyBorder="1"/>
    <xf numFmtId="168" fontId="10" fillId="0" borderId="0" xfId="3" applyNumberFormat="1" applyFont="1" applyAlignment="1">
      <alignment vertical="center"/>
    </xf>
    <xf numFmtId="167" fontId="10" fillId="3" borderId="12" xfId="3" applyNumberFormat="1" applyFont="1" applyFill="1" applyBorder="1" applyAlignment="1">
      <alignment vertical="center"/>
    </xf>
    <xf numFmtId="167" fontId="10" fillId="3" borderId="4" xfId="3" applyNumberFormat="1" applyFont="1" applyFill="1" applyBorder="1" applyAlignment="1">
      <alignment vertical="center"/>
    </xf>
    <xf numFmtId="167" fontId="10" fillId="3" borderId="13" xfId="3" applyNumberFormat="1" applyFont="1" applyFill="1" applyBorder="1" applyAlignment="1">
      <alignment vertical="center"/>
    </xf>
    <xf numFmtId="167" fontId="10" fillId="3" borderId="14" xfId="3" applyNumberFormat="1" applyFont="1" applyFill="1" applyBorder="1" applyAlignment="1">
      <alignment vertical="center"/>
    </xf>
    <xf numFmtId="167" fontId="10" fillId="3" borderId="15" xfId="3" applyNumberFormat="1" applyFont="1" applyFill="1" applyBorder="1" applyAlignment="1">
      <alignment vertical="center"/>
    </xf>
    <xf numFmtId="167" fontId="10" fillId="3" borderId="16" xfId="3" applyNumberFormat="1" applyFont="1" applyFill="1" applyBorder="1" applyAlignment="1">
      <alignment vertical="center"/>
    </xf>
    <xf numFmtId="177" fontId="10" fillId="3" borderId="17" xfId="3" applyNumberFormat="1" applyFont="1" applyFill="1" applyBorder="1" applyAlignment="1">
      <alignment vertical="center"/>
    </xf>
    <xf numFmtId="167" fontId="10" fillId="3" borderId="17" xfId="3" applyNumberFormat="1" applyFont="1" applyFill="1" applyBorder="1" applyAlignment="1">
      <alignment vertical="center"/>
    </xf>
    <xf numFmtId="167" fontId="10" fillId="3" borderId="18" xfId="3" applyNumberFormat="1" applyFont="1" applyFill="1" applyBorder="1" applyAlignment="1">
      <alignment vertical="center"/>
    </xf>
    <xf numFmtId="179" fontId="10" fillId="0" borderId="0" xfId="1" applyNumberFormat="1" applyFont="1" applyFill="1" applyBorder="1" applyAlignment="1">
      <alignment vertical="center"/>
    </xf>
    <xf numFmtId="179" fontId="5" fillId="3" borderId="4" xfId="1" applyNumberFormat="1" applyFont="1" applyFill="1" applyBorder="1" applyAlignment="1">
      <alignment vertical="center"/>
    </xf>
    <xf numFmtId="166" fontId="4" fillId="0" borderId="0" xfId="0" applyNumberFormat="1" applyFont="1"/>
    <xf numFmtId="0" fontId="5" fillId="0" borderId="4" xfId="0" applyFont="1" applyBorder="1" applyAlignment="1">
      <alignment horizontal="left" vertical="center"/>
    </xf>
    <xf numFmtId="0" fontId="14" fillId="0" borderId="4" xfId="0" applyFont="1" applyBorder="1" applyAlignment="1">
      <alignment vertical="center"/>
    </xf>
    <xf numFmtId="179" fontId="8" fillId="3" borderId="0" xfId="1" applyNumberFormat="1" applyFont="1" applyFill="1" applyBorder="1" applyAlignment="1">
      <alignment vertical="center"/>
    </xf>
    <xf numFmtId="0" fontId="14" fillId="0" borderId="0" xfId="0" applyFont="1"/>
    <xf numFmtId="179" fontId="5" fillId="0" borderId="4" xfId="1" applyNumberFormat="1" applyFont="1" applyFill="1" applyBorder="1" applyAlignment="1">
      <alignment vertical="center"/>
    </xf>
    <xf numFmtId="0" fontId="10" fillId="0" borderId="12" xfId="0" applyFont="1" applyBorder="1" applyAlignment="1">
      <alignment horizontal="left" vertical="center"/>
    </xf>
    <xf numFmtId="0" fontId="10" fillId="0" borderId="14" xfId="0" applyFont="1" applyBorder="1" applyAlignment="1">
      <alignment horizontal="left" vertical="center"/>
    </xf>
    <xf numFmtId="9" fontId="10" fillId="3" borderId="0" xfId="3" applyFont="1" applyFill="1" applyBorder="1" applyAlignment="1">
      <alignment vertical="center"/>
    </xf>
    <xf numFmtId="175" fontId="8" fillId="3" borderId="0" xfId="3" applyNumberFormat="1" applyFont="1" applyFill="1" applyBorder="1" applyAlignment="1">
      <alignment vertical="center"/>
    </xf>
    <xf numFmtId="175" fontId="8" fillId="3" borderId="15" xfId="3" applyNumberFormat="1" applyFont="1" applyFill="1" applyBorder="1" applyAlignment="1">
      <alignment vertical="center"/>
    </xf>
    <xf numFmtId="0" fontId="10" fillId="0" borderId="16" xfId="0" applyFont="1" applyBorder="1" applyAlignment="1">
      <alignment horizontal="left" vertical="center"/>
    </xf>
    <xf numFmtId="0" fontId="4" fillId="0" borderId="17" xfId="0" applyFont="1" applyBorder="1" applyAlignment="1">
      <alignment vertical="center"/>
    </xf>
    <xf numFmtId="168" fontId="10" fillId="3" borderId="17" xfId="3" applyNumberFormat="1" applyFont="1" applyFill="1" applyBorder="1" applyAlignment="1">
      <alignment vertical="center"/>
    </xf>
    <xf numFmtId="167" fontId="8" fillId="3" borderId="17" xfId="3" applyNumberFormat="1" applyFont="1" applyFill="1" applyBorder="1" applyAlignment="1">
      <alignment vertical="center"/>
    </xf>
    <xf numFmtId="167" fontId="8" fillId="3" borderId="18" xfId="3" applyNumberFormat="1" applyFont="1" applyFill="1" applyBorder="1" applyAlignment="1">
      <alignment vertical="center"/>
    </xf>
    <xf numFmtId="9" fontId="10" fillId="3" borderId="4" xfId="3" applyFont="1" applyFill="1" applyBorder="1" applyAlignment="1">
      <alignment vertical="center"/>
    </xf>
    <xf numFmtId="9" fontId="8" fillId="3" borderId="4" xfId="3" applyFont="1" applyFill="1" applyBorder="1" applyAlignment="1">
      <alignment vertical="center"/>
    </xf>
    <xf numFmtId="9" fontId="8" fillId="3" borderId="13" xfId="3" applyFont="1" applyFill="1" applyBorder="1" applyAlignment="1">
      <alignment vertical="center"/>
    </xf>
    <xf numFmtId="9" fontId="8" fillId="3" borderId="0" xfId="3" applyFont="1" applyFill="1" applyBorder="1" applyAlignment="1">
      <alignment vertical="center"/>
    </xf>
    <xf numFmtId="9" fontId="8" fillId="3" borderId="15" xfId="3" applyFont="1" applyFill="1" applyBorder="1" applyAlignment="1">
      <alignment vertical="center"/>
    </xf>
    <xf numFmtId="0" fontId="4" fillId="0" borderId="14" xfId="0" applyFont="1" applyBorder="1" applyAlignment="1">
      <alignment horizontal="left" vertical="center"/>
    </xf>
    <xf numFmtId="0" fontId="4" fillId="3" borderId="15" xfId="0" applyFont="1" applyFill="1" applyBorder="1" applyAlignment="1">
      <alignment vertical="center"/>
    </xf>
    <xf numFmtId="9" fontId="10" fillId="3" borderId="17" xfId="3" applyFont="1" applyFill="1" applyBorder="1" applyAlignment="1">
      <alignment vertical="center"/>
    </xf>
    <xf numFmtId="9" fontId="8" fillId="3" borderId="17" xfId="3" applyFont="1" applyFill="1" applyBorder="1" applyAlignment="1">
      <alignment vertical="center"/>
    </xf>
    <xf numFmtId="9" fontId="8" fillId="3" borderId="18" xfId="3" applyFont="1" applyFill="1" applyBorder="1" applyAlignment="1">
      <alignment vertical="center"/>
    </xf>
    <xf numFmtId="166" fontId="5" fillId="0" borderId="4" xfId="1" applyNumberFormat="1" applyFont="1" applyFill="1" applyBorder="1" applyAlignment="1">
      <alignment vertical="center"/>
    </xf>
    <xf numFmtId="166" fontId="5" fillId="0" borderId="0" xfId="1" applyNumberFormat="1" applyFont="1" applyFill="1" applyBorder="1" applyAlignment="1">
      <alignment vertical="center"/>
    </xf>
    <xf numFmtId="169" fontId="7" fillId="3" borderId="0" xfId="1" applyNumberFormat="1" applyFont="1" applyFill="1" applyAlignment="1">
      <alignment vertical="center"/>
    </xf>
    <xf numFmtId="168" fontId="10" fillId="3" borderId="0" xfId="3" applyNumberFormat="1" applyFont="1" applyFill="1" applyBorder="1" applyAlignment="1">
      <alignment vertical="center"/>
    </xf>
    <xf numFmtId="10" fontId="10" fillId="3" borderId="0" xfId="3" applyNumberFormat="1" applyFont="1" applyFill="1" applyBorder="1" applyAlignment="1">
      <alignment vertical="center"/>
    </xf>
    <xf numFmtId="166" fontId="5" fillId="3" borderId="4" xfId="1" applyNumberFormat="1" applyFont="1" applyFill="1" applyBorder="1" applyAlignment="1">
      <alignment vertical="center"/>
    </xf>
    <xf numFmtId="0" fontId="10" fillId="0" borderId="4" xfId="0" applyFont="1" applyBorder="1" applyAlignment="1">
      <alignment horizontal="left" vertical="center"/>
    </xf>
    <xf numFmtId="0" fontId="16" fillId="0" borderId="0" xfId="0" applyFont="1" applyAlignment="1">
      <alignment horizontal="left" vertical="center"/>
    </xf>
    <xf numFmtId="0" fontId="17" fillId="0" borderId="0" xfId="0" applyFont="1" applyAlignment="1">
      <alignment vertical="center"/>
    </xf>
    <xf numFmtId="179" fontId="17" fillId="0" borderId="0" xfId="1" applyNumberFormat="1" applyFont="1" applyAlignment="1">
      <alignment vertical="center"/>
    </xf>
    <xf numFmtId="0" fontId="18" fillId="0" borderId="0" xfId="0" applyFont="1" applyAlignment="1">
      <alignment vertical="center"/>
    </xf>
    <xf numFmtId="0" fontId="0" fillId="6" borderId="44" xfId="0" applyFill="1" applyBorder="1"/>
    <xf numFmtId="0" fontId="0" fillId="6" borderId="45" xfId="0" applyFill="1" applyBorder="1"/>
    <xf numFmtId="0" fontId="0" fillId="6" borderId="46" xfId="0" applyFill="1" applyBorder="1"/>
    <xf numFmtId="0" fontId="0" fillId="6" borderId="47" xfId="0" applyFill="1" applyBorder="1"/>
    <xf numFmtId="0" fontId="0" fillId="6" borderId="0" xfId="0" applyFill="1"/>
    <xf numFmtId="0" fontId="0" fillId="6" borderId="48" xfId="0" applyFill="1" applyBorder="1"/>
    <xf numFmtId="0" fontId="0" fillId="0" borderId="47" xfId="0" applyBorder="1"/>
    <xf numFmtId="0" fontId="0" fillId="0" borderId="48" xfId="0" applyBorder="1"/>
    <xf numFmtId="0" fontId="2" fillId="6" borderId="0" xfId="0" applyFont="1" applyFill="1"/>
    <xf numFmtId="0" fontId="0" fillId="2" borderId="47" xfId="0" applyFill="1" applyBorder="1"/>
    <xf numFmtId="0" fontId="0" fillId="2" borderId="48" xfId="0" applyFill="1" applyBorder="1"/>
    <xf numFmtId="0" fontId="0" fillId="0" borderId="49" xfId="0" applyBorder="1"/>
    <xf numFmtId="0" fontId="0" fillId="0" borderId="50" xfId="0" applyBorder="1"/>
    <xf numFmtId="0" fontId="0" fillId="0" borderId="51" xfId="0" applyBorder="1"/>
    <xf numFmtId="0" fontId="19" fillId="0" borderId="0" xfId="0" applyFont="1" applyAlignment="1">
      <alignment horizontal="left"/>
    </xf>
    <xf numFmtId="0" fontId="20" fillId="0" borderId="0" xfId="0" applyFont="1"/>
    <xf numFmtId="0" fontId="21" fillId="0" borderId="1" xfId="0" applyFont="1" applyBorder="1" applyAlignment="1">
      <alignment horizontal="left" vertical="center" indent="1"/>
    </xf>
    <xf numFmtId="0" fontId="22" fillId="0" borderId="0" xfId="4" applyFont="1" applyFill="1" applyBorder="1" applyAlignment="1">
      <alignment horizontal="left" vertical="center" indent="1"/>
    </xf>
    <xf numFmtId="0" fontId="15" fillId="6" borderId="0" xfId="0" applyFont="1" applyFill="1" applyAlignment="1">
      <alignment horizontal="left" vertical="center"/>
    </xf>
    <xf numFmtId="0" fontId="24" fillId="6" borderId="0" xfId="0" applyFont="1" applyFill="1" applyAlignment="1">
      <alignment horizontal="left" vertical="center" indent="1"/>
    </xf>
    <xf numFmtId="0" fontId="17" fillId="6" borderId="0" xfId="0" applyFont="1" applyFill="1" applyAlignment="1">
      <alignment vertical="center"/>
    </xf>
    <xf numFmtId="1" fontId="16" fillId="0" borderId="0" xfId="0" applyNumberFormat="1" applyFont="1" applyAlignment="1">
      <alignment horizontal="right" vertical="center"/>
    </xf>
    <xf numFmtId="0" fontId="18" fillId="0" borderId="0" xfId="0" applyFont="1" applyAlignment="1">
      <alignment horizontal="right" vertical="center"/>
    </xf>
    <xf numFmtId="0" fontId="17" fillId="0" borderId="0" xfId="0" applyFont="1"/>
    <xf numFmtId="164" fontId="25" fillId="0" borderId="2" xfId="0" applyNumberFormat="1" applyFont="1" applyBorder="1" applyAlignment="1">
      <alignment vertical="center"/>
    </xf>
    <xf numFmtId="165" fontId="25" fillId="0" borderId="3" xfId="0" applyNumberFormat="1" applyFont="1" applyBorder="1" applyAlignment="1">
      <alignment vertical="center"/>
    </xf>
    <xf numFmtId="0" fontId="26" fillId="0" borderId="0" xfId="0" applyFont="1" applyAlignment="1">
      <alignment horizontal="center" vertical="center"/>
    </xf>
    <xf numFmtId="181" fontId="18" fillId="0" borderId="0" xfId="1" applyNumberFormat="1" applyFont="1" applyAlignment="1">
      <alignment vertical="center"/>
    </xf>
    <xf numFmtId="0" fontId="18" fillId="0" borderId="0" xfId="0" applyFont="1" applyAlignment="1">
      <alignment horizontal="left" vertical="center"/>
    </xf>
    <xf numFmtId="166" fontId="18" fillId="0" borderId="0" xfId="1" applyNumberFormat="1" applyFont="1" applyAlignment="1">
      <alignment vertical="center"/>
    </xf>
    <xf numFmtId="169" fontId="18" fillId="0" borderId="0" xfId="1" applyNumberFormat="1" applyFont="1" applyAlignment="1">
      <alignment vertical="center"/>
    </xf>
    <xf numFmtId="0" fontId="18" fillId="0" borderId="0" xfId="0" applyFont="1" applyAlignment="1">
      <alignment horizontal="left" vertical="center" indent="1"/>
    </xf>
    <xf numFmtId="167" fontId="27" fillId="2" borderId="0" xfId="3" applyNumberFormat="1" applyFont="1" applyFill="1" applyBorder="1" applyAlignment="1">
      <alignment vertical="center"/>
    </xf>
    <xf numFmtId="177" fontId="18" fillId="2" borderId="0" xfId="3" applyNumberFormat="1" applyFont="1" applyFill="1" applyBorder="1" applyAlignment="1">
      <alignment vertical="center"/>
    </xf>
    <xf numFmtId="166" fontId="28" fillId="0" borderId="0" xfId="1" applyNumberFormat="1" applyFont="1" applyAlignment="1">
      <alignment vertical="center"/>
    </xf>
    <xf numFmtId="0" fontId="29" fillId="0" borderId="1" xfId="0" applyFont="1" applyBorder="1" applyAlignment="1">
      <alignment vertical="center"/>
    </xf>
    <xf numFmtId="0" fontId="17" fillId="0" borderId="1" xfId="0" applyFont="1" applyBorder="1" applyAlignment="1">
      <alignment vertical="center"/>
    </xf>
    <xf numFmtId="0" fontId="29" fillId="0" borderId="1" xfId="0" applyFont="1" applyBorder="1" applyAlignment="1">
      <alignment horizontal="centerContinuous" vertical="center"/>
    </xf>
    <xf numFmtId="0" fontId="18" fillId="0" borderId="0" xfId="0" applyFont="1" applyAlignment="1">
      <alignment horizontal="centerContinuous" vertical="center"/>
    </xf>
    <xf numFmtId="0" fontId="17" fillId="0" borderId="0" xfId="0" applyFont="1" applyAlignment="1">
      <alignment horizontal="centerContinuous" vertical="center"/>
    </xf>
    <xf numFmtId="167" fontId="18" fillId="2" borderId="0" xfId="3" applyNumberFormat="1" applyFont="1" applyFill="1" applyBorder="1" applyAlignment="1">
      <alignment vertical="center"/>
    </xf>
    <xf numFmtId="0" fontId="16" fillId="0" borderId="12" xfId="0" applyFont="1" applyBorder="1" applyAlignment="1">
      <alignment horizontal="left" vertical="center"/>
    </xf>
    <xf numFmtId="0" fontId="17" fillId="0" borderId="4" xfId="0" applyFont="1" applyBorder="1" applyAlignment="1">
      <alignment vertical="center"/>
    </xf>
    <xf numFmtId="166" fontId="18" fillId="3" borderId="13" xfId="1" applyNumberFormat="1" applyFont="1" applyFill="1" applyBorder="1" applyAlignment="1">
      <alignment vertical="center"/>
    </xf>
    <xf numFmtId="167" fontId="18" fillId="3" borderId="13" xfId="3" applyNumberFormat="1" applyFont="1" applyFill="1" applyBorder="1" applyAlignment="1">
      <alignment vertical="center"/>
    </xf>
    <xf numFmtId="166" fontId="18" fillId="3" borderId="15" xfId="1" applyNumberFormat="1" applyFont="1" applyFill="1" applyBorder="1" applyAlignment="1">
      <alignment vertical="center"/>
    </xf>
    <xf numFmtId="167" fontId="18" fillId="3" borderId="15" xfId="3" applyNumberFormat="1" applyFont="1" applyFill="1" applyBorder="1" applyAlignment="1">
      <alignment vertical="center"/>
    </xf>
    <xf numFmtId="0" fontId="16" fillId="0" borderId="16" xfId="0" applyFont="1" applyBorder="1" applyAlignment="1">
      <alignment horizontal="left" vertical="center"/>
    </xf>
    <xf numFmtId="0" fontId="17" fillId="0" borderId="17" xfId="0" applyFont="1" applyBorder="1" applyAlignment="1">
      <alignment vertical="center"/>
    </xf>
    <xf numFmtId="169" fontId="18" fillId="3" borderId="18" xfId="1" applyNumberFormat="1" applyFont="1" applyFill="1" applyBorder="1" applyAlignment="1">
      <alignment vertical="center"/>
    </xf>
    <xf numFmtId="0" fontId="29" fillId="0" borderId="39" xfId="0" applyFont="1" applyBorder="1" applyAlignment="1">
      <alignment horizontal="centerContinuous" vertical="center"/>
    </xf>
    <xf numFmtId="0" fontId="17" fillId="0" borderId="39" xfId="0" applyFont="1" applyBorder="1" applyAlignment="1">
      <alignment horizontal="centerContinuous" vertical="center"/>
    </xf>
    <xf numFmtId="166" fontId="30" fillId="3" borderId="0" xfId="1" applyNumberFormat="1" applyFont="1" applyFill="1" applyBorder="1" applyAlignment="1">
      <alignment vertical="center"/>
    </xf>
    <xf numFmtId="167" fontId="18" fillId="0" borderId="0" xfId="3" applyNumberFormat="1" applyFont="1" applyFill="1" applyBorder="1" applyAlignment="1">
      <alignment vertical="center"/>
    </xf>
    <xf numFmtId="179" fontId="18" fillId="0" borderId="12" xfId="1" applyNumberFormat="1" applyFont="1" applyBorder="1" applyAlignment="1">
      <alignment vertical="center"/>
    </xf>
    <xf numFmtId="179" fontId="18" fillId="0" borderId="4" xfId="1" applyNumberFormat="1" applyFont="1" applyBorder="1" applyAlignment="1">
      <alignment vertical="center"/>
    </xf>
    <xf numFmtId="179" fontId="18" fillId="0" borderId="13" xfId="1" applyNumberFormat="1" applyFont="1" applyBorder="1" applyAlignment="1">
      <alignment vertical="center"/>
    </xf>
    <xf numFmtId="43" fontId="18" fillId="0" borderId="12" xfId="1" applyFont="1" applyBorder="1" applyAlignment="1">
      <alignment vertical="center"/>
    </xf>
    <xf numFmtId="43" fontId="18" fillId="0" borderId="4" xfId="1" applyFont="1" applyBorder="1" applyAlignment="1">
      <alignment vertical="center"/>
    </xf>
    <xf numFmtId="43" fontId="18" fillId="0" borderId="13" xfId="1" applyFont="1" applyBorder="1" applyAlignment="1">
      <alignment vertical="center"/>
    </xf>
    <xf numFmtId="179" fontId="18" fillId="0" borderId="14" xfId="1" applyNumberFormat="1" applyFont="1" applyBorder="1" applyAlignment="1">
      <alignment vertical="center"/>
    </xf>
    <xf numFmtId="179" fontId="18" fillId="0" borderId="0" xfId="1" applyNumberFormat="1" applyFont="1" applyBorder="1" applyAlignment="1">
      <alignment vertical="center"/>
    </xf>
    <xf numFmtId="179" fontId="18" fillId="0" borderId="15" xfId="1" applyNumberFormat="1" applyFont="1" applyBorder="1" applyAlignment="1">
      <alignment vertical="center"/>
    </xf>
    <xf numFmtId="43" fontId="18" fillId="0" borderId="14" xfId="1" applyFont="1" applyBorder="1" applyAlignment="1">
      <alignment vertical="center"/>
    </xf>
    <xf numFmtId="43" fontId="18" fillId="0" borderId="0" xfId="1" applyFont="1" applyBorder="1" applyAlignment="1">
      <alignment vertical="center"/>
    </xf>
    <xf numFmtId="43" fontId="18" fillId="0" borderId="15" xfId="1" applyFont="1" applyBorder="1" applyAlignment="1">
      <alignment vertical="center"/>
    </xf>
    <xf numFmtId="0" fontId="17" fillId="0" borderId="0" xfId="0" applyFont="1" applyAlignment="1">
      <alignment horizontal="right" vertical="center"/>
    </xf>
    <xf numFmtId="179" fontId="18" fillId="3" borderId="41" xfId="1" applyNumberFormat="1" applyFont="1" applyFill="1" applyBorder="1" applyAlignment="1">
      <alignment vertical="center"/>
    </xf>
    <xf numFmtId="43" fontId="18" fillId="3" borderId="41" xfId="1" applyFont="1" applyFill="1" applyBorder="1" applyAlignment="1">
      <alignment vertical="center"/>
    </xf>
    <xf numFmtId="179" fontId="18" fillId="0" borderId="16" xfId="1" applyNumberFormat="1" applyFont="1" applyBorder="1" applyAlignment="1">
      <alignment vertical="center"/>
    </xf>
    <xf numFmtId="179" fontId="18" fillId="0" borderId="17" xfId="1" applyNumberFormat="1" applyFont="1" applyBorder="1" applyAlignment="1">
      <alignment vertical="center"/>
    </xf>
    <xf numFmtId="179" fontId="18" fillId="0" borderId="18" xfId="1" applyNumberFormat="1" applyFont="1" applyBorder="1" applyAlignment="1">
      <alignment vertical="center"/>
    </xf>
    <xf numFmtId="43" fontId="18" fillId="0" borderId="16" xfId="1" applyFont="1" applyBorder="1" applyAlignment="1">
      <alignment vertical="center"/>
    </xf>
    <xf numFmtId="43" fontId="18" fillId="0" borderId="17" xfId="1" applyFont="1" applyBorder="1" applyAlignment="1">
      <alignment vertical="center"/>
    </xf>
    <xf numFmtId="43" fontId="18" fillId="0" borderId="18" xfId="1" applyFont="1" applyBorder="1" applyAlignment="1">
      <alignment vertical="center"/>
    </xf>
    <xf numFmtId="9" fontId="18" fillId="0" borderId="12" xfId="3" applyFont="1" applyBorder="1" applyAlignment="1">
      <alignment vertical="center"/>
    </xf>
    <xf numFmtId="9" fontId="18" fillId="0" borderId="4" xfId="3" applyFont="1" applyBorder="1" applyAlignment="1">
      <alignment vertical="center"/>
    </xf>
    <xf numFmtId="9" fontId="18" fillId="0" borderId="13" xfId="3" applyFont="1" applyBorder="1" applyAlignment="1">
      <alignment vertical="center"/>
    </xf>
    <xf numFmtId="9" fontId="18" fillId="0" borderId="14" xfId="3" applyFont="1" applyBorder="1" applyAlignment="1">
      <alignment vertical="center"/>
    </xf>
    <xf numFmtId="9" fontId="18" fillId="0" borderId="0" xfId="3" applyFont="1" applyBorder="1" applyAlignment="1">
      <alignment vertical="center"/>
    </xf>
    <xf numFmtId="9" fontId="18" fillId="0" borderId="15" xfId="3" applyFont="1" applyBorder="1" applyAlignment="1">
      <alignment vertical="center"/>
    </xf>
    <xf numFmtId="9" fontId="18" fillId="3" borderId="41" xfId="3" applyFont="1" applyFill="1" applyBorder="1" applyAlignment="1">
      <alignment vertical="center"/>
    </xf>
    <xf numFmtId="9" fontId="18" fillId="0" borderId="16" xfId="3" applyFont="1" applyBorder="1" applyAlignment="1">
      <alignment vertical="center"/>
    </xf>
    <xf numFmtId="9" fontId="18" fillId="0" borderId="17" xfId="3" applyFont="1" applyBorder="1" applyAlignment="1">
      <alignment vertical="center"/>
    </xf>
    <xf numFmtId="9" fontId="18" fillId="0" borderId="18" xfId="3" applyFont="1" applyBorder="1" applyAlignment="1">
      <alignment vertical="center"/>
    </xf>
    <xf numFmtId="0" fontId="18" fillId="0" borderId="12" xfId="0" applyFont="1" applyBorder="1" applyAlignment="1">
      <alignment horizontal="left" vertical="center"/>
    </xf>
    <xf numFmtId="0" fontId="18" fillId="0" borderId="16" xfId="0" applyFont="1" applyBorder="1" applyAlignment="1">
      <alignment horizontal="left" vertical="center"/>
    </xf>
    <xf numFmtId="0" fontId="29" fillId="0" borderId="0" xfId="0" applyFont="1" applyAlignment="1">
      <alignment vertical="center"/>
    </xf>
    <xf numFmtId="0" fontId="28" fillId="0" borderId="0" xfId="0" applyFont="1" applyAlignment="1">
      <alignment vertical="center"/>
    </xf>
    <xf numFmtId="166" fontId="16" fillId="0" borderId="4" xfId="0" applyNumberFormat="1" applyFont="1" applyBorder="1" applyAlignment="1">
      <alignment vertical="center"/>
    </xf>
    <xf numFmtId="0" fontId="18" fillId="0" borderId="14" xfId="0" applyFont="1" applyBorder="1" applyAlignment="1">
      <alignment horizontal="left" vertical="center"/>
    </xf>
    <xf numFmtId="168" fontId="18" fillId="0" borderId="0" xfId="3" applyNumberFormat="1" applyFont="1" applyAlignment="1">
      <alignment vertical="center"/>
    </xf>
    <xf numFmtId="0" fontId="31" fillId="6" borderId="0" xfId="0" applyFont="1" applyFill="1" applyAlignment="1">
      <alignment vertical="center"/>
    </xf>
    <xf numFmtId="0" fontId="31" fillId="0" borderId="0" xfId="0" applyFont="1" applyAlignment="1">
      <alignment vertical="center"/>
    </xf>
    <xf numFmtId="0" fontId="32" fillId="7" borderId="0" xfId="0" applyFont="1" applyFill="1" applyAlignment="1">
      <alignment horizontal="left" vertical="center" indent="1"/>
    </xf>
    <xf numFmtId="1" fontId="33" fillId="0" borderId="0" xfId="0" applyNumberFormat="1" applyFont="1" applyAlignment="1">
      <alignment horizontal="right" vertical="center"/>
    </xf>
    <xf numFmtId="0" fontId="31" fillId="0" borderId="12" xfId="0" applyFont="1" applyBorder="1" applyAlignment="1">
      <alignment horizontal="left" vertical="center"/>
    </xf>
    <xf numFmtId="166" fontId="31" fillId="3" borderId="13" xfId="1" applyNumberFormat="1" applyFont="1" applyFill="1" applyBorder="1" applyAlignment="1">
      <alignment vertical="center"/>
    </xf>
    <xf numFmtId="0" fontId="31" fillId="0" borderId="16" xfId="0" applyFont="1" applyBorder="1" applyAlignment="1">
      <alignment horizontal="left" vertical="center"/>
    </xf>
    <xf numFmtId="177" fontId="31" fillId="3" borderId="18" xfId="3" applyNumberFormat="1" applyFont="1" applyFill="1" applyBorder="1" applyAlignment="1">
      <alignment vertical="center"/>
    </xf>
    <xf numFmtId="0" fontId="33" fillId="0" borderId="1" xfId="0" applyFont="1" applyBorder="1" applyAlignment="1">
      <alignment vertical="center"/>
    </xf>
    <xf numFmtId="0" fontId="31" fillId="0" borderId="1" xfId="0" applyFont="1" applyBorder="1" applyAlignment="1">
      <alignment vertical="center"/>
    </xf>
    <xf numFmtId="0" fontId="34" fillId="4" borderId="0" xfId="0" applyFont="1" applyFill="1" applyAlignment="1">
      <alignment horizontal="centerContinuous" vertical="center"/>
    </xf>
    <xf numFmtId="0" fontId="33" fillId="0" borderId="0" xfId="0" applyFont="1" applyAlignment="1">
      <alignment vertical="center"/>
    </xf>
    <xf numFmtId="0" fontId="31" fillId="0" borderId="0" xfId="0" applyFont="1" applyAlignment="1">
      <alignment horizontal="left" vertical="center"/>
    </xf>
    <xf numFmtId="0" fontId="35" fillId="0" borderId="0" xfId="0" applyFont="1" applyAlignment="1">
      <alignment horizontal="right" vertical="center"/>
    </xf>
    <xf numFmtId="169" fontId="31" fillId="0" borderId="0" xfId="1" applyNumberFormat="1" applyFont="1" applyAlignment="1">
      <alignment vertical="center"/>
    </xf>
    <xf numFmtId="166" fontId="31" fillId="0" borderId="0" xfId="1" applyNumberFormat="1" applyFont="1" applyAlignment="1">
      <alignment vertical="center"/>
    </xf>
    <xf numFmtId="0" fontId="31" fillId="0" borderId="4" xfId="0" applyFont="1" applyBorder="1" applyAlignment="1">
      <alignment vertical="center"/>
    </xf>
    <xf numFmtId="167" fontId="31" fillId="0" borderId="27" xfId="3" applyNumberFormat="1" applyFont="1" applyFill="1" applyBorder="1" applyAlignment="1">
      <alignment vertical="center"/>
    </xf>
    <xf numFmtId="0" fontId="33" fillId="0" borderId="0" xfId="0" applyFont="1" applyAlignment="1">
      <alignment horizontal="left" vertical="center"/>
    </xf>
    <xf numFmtId="166" fontId="33" fillId="0" borderId="4" xfId="0" applyNumberFormat="1" applyFont="1" applyBorder="1" applyAlignment="1">
      <alignment vertical="center"/>
    </xf>
    <xf numFmtId="0" fontId="31" fillId="0" borderId="14" xfId="0" applyFont="1" applyBorder="1" applyAlignment="1">
      <alignment horizontal="left" vertical="center"/>
    </xf>
    <xf numFmtId="0" fontId="31" fillId="0" borderId="14" xfId="0" applyFont="1" applyBorder="1" applyAlignment="1">
      <alignment vertical="center"/>
    </xf>
    <xf numFmtId="167" fontId="31" fillId="0" borderId="28" xfId="3" applyNumberFormat="1" applyFont="1" applyFill="1" applyBorder="1" applyAlignment="1">
      <alignment vertical="center"/>
    </xf>
    <xf numFmtId="166" fontId="33" fillId="0" borderId="4" xfId="1" applyNumberFormat="1" applyFont="1" applyBorder="1" applyAlignment="1">
      <alignment vertical="center"/>
    </xf>
    <xf numFmtId="0" fontId="31" fillId="0" borderId="0" xfId="0" applyFont="1"/>
    <xf numFmtId="168" fontId="31" fillId="0" borderId="0" xfId="3" applyNumberFormat="1" applyFont="1" applyAlignment="1">
      <alignment vertical="center"/>
    </xf>
    <xf numFmtId="0" fontId="36" fillId="4" borderId="7" xfId="0" applyFont="1" applyFill="1" applyBorder="1" applyAlignment="1">
      <alignment horizontal="left" vertical="center"/>
    </xf>
    <xf numFmtId="0" fontId="36" fillId="4" borderId="8" xfId="0" applyFont="1" applyFill="1" applyBorder="1" applyAlignment="1">
      <alignment vertical="center"/>
    </xf>
    <xf numFmtId="167" fontId="36" fillId="4" borderId="29" xfId="3" applyNumberFormat="1" applyFont="1" applyFill="1" applyBorder="1" applyAlignment="1">
      <alignment vertical="center"/>
    </xf>
    <xf numFmtId="2" fontId="31" fillId="0" borderId="0" xfId="3" applyNumberFormat="1" applyFont="1" applyAlignment="1">
      <alignment vertical="center"/>
    </xf>
    <xf numFmtId="10" fontId="33" fillId="0" borderId="4" xfId="0" applyNumberFormat="1" applyFont="1" applyBorder="1" applyAlignment="1">
      <alignment vertical="center"/>
    </xf>
    <xf numFmtId="10" fontId="31" fillId="0" borderId="0" xfId="0" applyNumberFormat="1" applyFont="1" applyAlignment="1">
      <alignment vertical="center"/>
    </xf>
    <xf numFmtId="168" fontId="33" fillId="0" borderId="4" xfId="3" applyNumberFormat="1" applyFont="1" applyBorder="1" applyAlignment="1">
      <alignment vertical="center"/>
    </xf>
    <xf numFmtId="166" fontId="16" fillId="3" borderId="7" xfId="0" applyNumberFormat="1" applyFont="1" applyFill="1" applyBorder="1" applyAlignment="1">
      <alignment vertical="center"/>
    </xf>
    <xf numFmtId="166" fontId="16" fillId="3" borderId="8" xfId="0" applyNumberFormat="1" applyFont="1" applyFill="1" applyBorder="1" applyAlignment="1">
      <alignment vertical="center"/>
    </xf>
    <xf numFmtId="166" fontId="16" fillId="3" borderId="9" xfId="0" applyNumberFormat="1" applyFont="1" applyFill="1" applyBorder="1" applyAlignment="1">
      <alignment vertical="center"/>
    </xf>
    <xf numFmtId="0" fontId="16" fillId="0" borderId="30" xfId="0" applyFont="1" applyBorder="1" applyAlignment="1">
      <alignment horizontal="center" vertical="center"/>
    </xf>
    <xf numFmtId="0" fontId="16" fillId="0" borderId="31" xfId="0" applyFont="1" applyBorder="1" applyAlignment="1">
      <alignment horizontal="centerContinuous" vertical="center"/>
    </xf>
    <xf numFmtId="0" fontId="16" fillId="0" borderId="32" xfId="0" applyFont="1" applyBorder="1" applyAlignment="1">
      <alignment horizontal="center" vertical="center"/>
    </xf>
    <xf numFmtId="168" fontId="23" fillId="4" borderId="13" xfId="3" applyNumberFormat="1" applyFont="1" applyFill="1" applyBorder="1" applyAlignment="1">
      <alignment horizontal="center" vertical="center"/>
    </xf>
    <xf numFmtId="0" fontId="16" fillId="0" borderId="0" xfId="0" applyFont="1" applyAlignment="1">
      <alignment horizontal="centerContinuous" vertical="center"/>
    </xf>
    <xf numFmtId="168" fontId="23" fillId="4" borderId="18" xfId="3" applyNumberFormat="1" applyFont="1" applyFill="1" applyBorder="1" applyAlignment="1">
      <alignment horizontal="center" vertical="center"/>
    </xf>
    <xf numFmtId="166" fontId="18" fillId="0" borderId="7" xfId="1" applyNumberFormat="1" applyFont="1" applyBorder="1" applyAlignment="1">
      <alignment vertical="center"/>
    </xf>
    <xf numFmtId="166" fontId="18" fillId="3" borderId="8" xfId="1" applyNumberFormat="1" applyFont="1" applyFill="1" applyBorder="1" applyAlignment="1">
      <alignment vertical="center"/>
    </xf>
    <xf numFmtId="166" fontId="18" fillId="3" borderId="9" xfId="1" applyNumberFormat="1" applyFont="1" applyFill="1" applyBorder="1" applyAlignment="1">
      <alignment vertical="center"/>
    </xf>
    <xf numFmtId="180" fontId="18" fillId="0" borderId="0" xfId="1" applyNumberFormat="1" applyFont="1" applyFill="1" applyAlignment="1">
      <alignment vertical="center"/>
    </xf>
    <xf numFmtId="166" fontId="18" fillId="3" borderId="0" xfId="1" applyNumberFormat="1" applyFont="1" applyFill="1" applyAlignment="1">
      <alignment vertical="center"/>
    </xf>
    <xf numFmtId="180" fontId="18" fillId="3" borderId="0" xfId="1" applyNumberFormat="1" applyFont="1" applyFill="1" applyAlignment="1">
      <alignment vertical="center"/>
    </xf>
    <xf numFmtId="168" fontId="18" fillId="0" borderId="4" xfId="3" applyNumberFormat="1" applyFont="1" applyBorder="1" applyAlignment="1">
      <alignment vertical="center"/>
    </xf>
    <xf numFmtId="166" fontId="18" fillId="0" borderId="13" xfId="1" applyNumberFormat="1" applyFont="1" applyBorder="1" applyAlignment="1">
      <alignment vertical="center"/>
    </xf>
    <xf numFmtId="166" fontId="18" fillId="3" borderId="18" xfId="1" applyNumberFormat="1" applyFont="1" applyFill="1" applyBorder="1" applyAlignment="1">
      <alignment vertical="center"/>
    </xf>
    <xf numFmtId="168" fontId="18" fillId="0" borderId="0" xfId="3" applyNumberFormat="1" applyFont="1" applyBorder="1" applyAlignment="1">
      <alignment vertical="center"/>
    </xf>
    <xf numFmtId="166" fontId="18" fillId="0" borderId="15" xfId="1" applyNumberFormat="1" applyFont="1" applyBorder="1" applyAlignment="1">
      <alignment vertical="center"/>
    </xf>
    <xf numFmtId="0" fontId="29" fillId="0" borderId="17" xfId="0" applyFont="1" applyBorder="1" applyAlignment="1">
      <alignment vertical="center"/>
    </xf>
    <xf numFmtId="168" fontId="16" fillId="0" borderId="8" xfId="3" applyNumberFormat="1" applyFont="1" applyBorder="1" applyAlignment="1">
      <alignment vertical="center"/>
    </xf>
    <xf numFmtId="166" fontId="16" fillId="0" borderId="9" xfId="1" applyNumberFormat="1" applyFont="1" applyBorder="1" applyAlignment="1">
      <alignment vertical="center"/>
    </xf>
    <xf numFmtId="166" fontId="17" fillId="0" borderId="0" xfId="0" applyNumberFormat="1" applyFont="1" applyAlignment="1">
      <alignment vertical="center"/>
    </xf>
    <xf numFmtId="0" fontId="37" fillId="0" borderId="17" xfId="0" applyFont="1" applyBorder="1" applyAlignment="1">
      <alignment vertical="center"/>
    </xf>
    <xf numFmtId="169" fontId="16" fillId="0" borderId="9" xfId="1" applyNumberFormat="1" applyFont="1" applyBorder="1" applyAlignment="1">
      <alignment vertical="center"/>
    </xf>
    <xf numFmtId="0" fontId="28" fillId="0" borderId="33" xfId="0" applyFont="1" applyBorder="1" applyAlignment="1">
      <alignment horizontal="center" vertical="center"/>
    </xf>
    <xf numFmtId="0" fontId="28" fillId="0" borderId="34" xfId="0" applyFont="1" applyBorder="1" applyAlignment="1">
      <alignment horizontal="center" vertical="center"/>
    </xf>
    <xf numFmtId="0" fontId="28" fillId="0" borderId="35" xfId="0" applyFont="1" applyBorder="1" applyAlignment="1">
      <alignment horizontal="center" vertical="center"/>
    </xf>
    <xf numFmtId="0" fontId="28" fillId="0" borderId="36" xfId="0" applyFont="1" applyBorder="1" applyAlignment="1">
      <alignment horizontal="center" vertical="center"/>
    </xf>
    <xf numFmtId="178" fontId="28" fillId="0" borderId="37" xfId="0" applyNumberFormat="1" applyFont="1" applyBorder="1" applyAlignment="1">
      <alignment horizontal="center" vertical="center"/>
    </xf>
    <xf numFmtId="178" fontId="28" fillId="0" borderId="38" xfId="0" applyNumberFormat="1" applyFont="1" applyBorder="1" applyAlignment="1">
      <alignment horizontal="center" vertical="center"/>
    </xf>
    <xf numFmtId="178" fontId="28" fillId="0" borderId="39" xfId="0" applyNumberFormat="1" applyFont="1" applyBorder="1" applyAlignment="1">
      <alignment horizontal="center" vertical="center"/>
    </xf>
    <xf numFmtId="178" fontId="28" fillId="0" borderId="40" xfId="0" applyNumberFormat="1" applyFont="1" applyBorder="1" applyAlignment="1">
      <alignment horizontal="center" vertical="center"/>
    </xf>
    <xf numFmtId="0" fontId="38" fillId="7" borderId="0" xfId="0" applyFont="1" applyFill="1" applyAlignment="1">
      <alignment horizontal="left" vertical="center" indent="1"/>
    </xf>
    <xf numFmtId="0" fontId="29" fillId="0" borderId="39" xfId="0" applyFont="1" applyBorder="1" applyAlignment="1">
      <alignment vertical="center"/>
    </xf>
    <xf numFmtId="0" fontId="17" fillId="0" borderId="39" xfId="0" applyFont="1" applyBorder="1" applyAlignment="1">
      <alignment vertical="center"/>
    </xf>
    <xf numFmtId="0" fontId="29" fillId="0" borderId="42" xfId="0" applyFont="1" applyBorder="1" applyAlignment="1">
      <alignment horizontal="center" vertical="center"/>
    </xf>
    <xf numFmtId="0" fontId="29" fillId="0" borderId="39" xfId="0" applyFont="1" applyBorder="1" applyAlignment="1">
      <alignment horizontal="center" vertical="center" wrapText="1"/>
    </xf>
    <xf numFmtId="0" fontId="29" fillId="0" borderId="43" xfId="0" applyFont="1" applyBorder="1" applyAlignment="1">
      <alignment horizontal="center" vertical="center" wrapText="1"/>
    </xf>
    <xf numFmtId="0" fontId="29" fillId="0" borderId="42" xfId="0" applyFont="1" applyBorder="1" applyAlignment="1">
      <alignment horizontal="center" vertical="center" wrapText="1"/>
    </xf>
    <xf numFmtId="0" fontId="28" fillId="0" borderId="14" xfId="0" applyFont="1" applyBorder="1" applyAlignment="1">
      <alignment horizontal="center" vertical="center"/>
    </xf>
    <xf numFmtId="0" fontId="28" fillId="0" borderId="0" xfId="0" applyFont="1" applyAlignment="1">
      <alignment horizontal="center" vertical="center"/>
    </xf>
    <xf numFmtId="0" fontId="28" fillId="0" borderId="15" xfId="0" applyFont="1" applyBorder="1" applyAlignment="1">
      <alignment horizontal="center" vertical="center"/>
    </xf>
    <xf numFmtId="0" fontId="18" fillId="0" borderId="14" xfId="0" applyFont="1" applyBorder="1" applyAlignment="1">
      <alignment horizontal="center" vertical="center"/>
    </xf>
    <xf numFmtId="169" fontId="39" fillId="0" borderId="0" xfId="0" applyNumberFormat="1" applyFont="1" applyAlignment="1">
      <alignment horizontal="center" vertical="center"/>
    </xf>
    <xf numFmtId="166" fontId="39" fillId="0" borderId="0" xfId="1" applyNumberFormat="1" applyFont="1" applyAlignment="1">
      <alignment horizontal="center" vertical="center"/>
    </xf>
    <xf numFmtId="166" fontId="39" fillId="0" borderId="14" xfId="1" applyNumberFormat="1" applyFont="1" applyBorder="1" applyAlignment="1">
      <alignment horizontal="center" vertical="center"/>
    </xf>
    <xf numFmtId="169" fontId="39" fillId="0" borderId="14" xfId="0" applyNumberFormat="1" applyFont="1" applyBorder="1" applyAlignment="1">
      <alignment horizontal="center" vertical="center"/>
    </xf>
    <xf numFmtId="169" fontId="39" fillId="0" borderId="0" xfId="1" applyNumberFormat="1" applyFont="1" applyAlignment="1">
      <alignment horizontal="center" vertical="center"/>
    </xf>
    <xf numFmtId="169" fontId="39" fillId="0" borderId="15" xfId="0" applyNumberFormat="1" applyFont="1" applyBorder="1" applyAlignment="1">
      <alignment horizontal="center" vertical="center"/>
    </xf>
    <xf numFmtId="0" fontId="17" fillId="0" borderId="16" xfId="0" applyFont="1" applyBorder="1" applyAlignment="1">
      <alignment horizontal="center" vertical="center"/>
    </xf>
    <xf numFmtId="0" fontId="17" fillId="0" borderId="16" xfId="0" applyFont="1" applyBorder="1" applyAlignment="1">
      <alignment vertical="center"/>
    </xf>
    <xf numFmtId="0" fontId="17" fillId="0" borderId="18" xfId="0" applyFont="1" applyBorder="1" applyAlignment="1">
      <alignment vertical="center"/>
    </xf>
    <xf numFmtId="0" fontId="17" fillId="0" borderId="0" xfId="0" applyFont="1" applyAlignment="1">
      <alignment horizontal="center" vertical="center"/>
    </xf>
    <xf numFmtId="0" fontId="29" fillId="0" borderId="39" xfId="0" applyFont="1" applyBorder="1" applyAlignment="1">
      <alignment horizontal="center" vertical="center"/>
    </xf>
    <xf numFmtId="0" fontId="28" fillId="0" borderId="15" xfId="0" applyFont="1" applyBorder="1" applyAlignment="1">
      <alignment vertical="center"/>
    </xf>
    <xf numFmtId="0" fontId="18" fillId="0" borderId="0" xfId="0" applyFont="1" applyAlignment="1">
      <alignment horizontal="center" vertical="center"/>
    </xf>
    <xf numFmtId="166" fontId="39" fillId="0" borderId="15" xfId="1" applyNumberFormat="1" applyFont="1" applyBorder="1" applyAlignment="1">
      <alignment horizontal="center" vertical="center"/>
    </xf>
    <xf numFmtId="166" fontId="39" fillId="0" borderId="0" xfId="1" applyNumberFormat="1" applyFont="1" applyBorder="1" applyAlignment="1">
      <alignment horizontal="center" vertical="center"/>
    </xf>
    <xf numFmtId="0" fontId="18" fillId="0" borderId="17" xfId="0" applyFont="1" applyBorder="1" applyAlignment="1">
      <alignment vertical="center"/>
    </xf>
    <xf numFmtId="0" fontId="18" fillId="0" borderId="17" xfId="0" applyFont="1" applyBorder="1" applyAlignment="1">
      <alignment horizontal="center" vertical="center"/>
    </xf>
    <xf numFmtId="169" fontId="39" fillId="0" borderId="17" xfId="1" applyNumberFormat="1" applyFont="1" applyBorder="1" applyAlignment="1">
      <alignment horizontal="center" vertical="center"/>
    </xf>
    <xf numFmtId="166" fontId="39" fillId="0" borderId="18" xfId="1" applyNumberFormat="1" applyFont="1" applyBorder="1" applyAlignment="1">
      <alignment horizontal="center" vertical="center"/>
    </xf>
    <xf numFmtId="166" fontId="39" fillId="0" borderId="17" xfId="1" applyNumberFormat="1" applyFont="1" applyBorder="1" applyAlignment="1">
      <alignment horizontal="center" vertical="center"/>
    </xf>
    <xf numFmtId="169" fontId="39" fillId="0" borderId="18" xfId="0" applyNumberFormat="1" applyFont="1" applyBorder="1" applyAlignment="1">
      <alignment horizontal="center" vertical="center"/>
    </xf>
    <xf numFmtId="0" fontId="4" fillId="6" borderId="0" xfId="0" applyFont="1" applyFill="1" applyAlignment="1">
      <alignment vertical="center"/>
    </xf>
    <xf numFmtId="0" fontId="33" fillId="0" borderId="1" xfId="0" applyFont="1" applyBorder="1" applyAlignment="1">
      <alignment horizontal="centerContinuous" vertical="center"/>
    </xf>
    <xf numFmtId="0" fontId="16" fillId="0" borderId="12" xfId="0" applyFont="1" applyBorder="1" applyAlignment="1">
      <alignment horizontal="left" vertical="center" indent="1"/>
    </xf>
    <xf numFmtId="0" fontId="16" fillId="0" borderId="14" xfId="0" applyFont="1" applyBorder="1" applyAlignment="1">
      <alignment horizontal="left" vertical="center" indent="1"/>
    </xf>
    <xf numFmtId="0" fontId="16" fillId="0" borderId="16" xfId="0" applyFont="1" applyBorder="1" applyAlignment="1">
      <alignment horizontal="left" vertical="center" indent="1"/>
    </xf>
    <xf numFmtId="2" fontId="18" fillId="2" borderId="0" xfId="3" applyNumberFormat="1" applyFont="1" applyFill="1" applyBorder="1" applyAlignment="1">
      <alignment vertical="center"/>
    </xf>
    <xf numFmtId="0" fontId="40" fillId="0" borderId="0" xfId="0" applyFont="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8FBCF9"/>
      <color rgb="FF4993F5"/>
      <color rgb="FF1877F2"/>
      <color rgb="FF3271D2"/>
      <color rgb="FF1C2B33"/>
      <color rgb="FF55555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autoTitleDeleted val="1"/>
    <c:plotArea>
      <c:layout>
        <c:manualLayout>
          <c:layoutTarget val="inner"/>
          <c:xMode val="edge"/>
          <c:yMode val="edge"/>
          <c:x val="0.1020431387512927"/>
          <c:y val="0.29278981532991921"/>
          <c:w val="0.87550249087600329"/>
          <c:h val="0.60937408383589775"/>
        </c:manualLayout>
      </c:layout>
      <c:barChart>
        <c:barDir val="col"/>
        <c:grouping val="stacked"/>
        <c:varyColors val="0"/>
        <c:ser>
          <c:idx val="0"/>
          <c:order val="0"/>
          <c:tx>
            <c:strRef>
              <c:f>Dashboard!$B$118</c:f>
              <c:strCache>
                <c:ptCount val="1"/>
                <c:pt idx="0">
                  <c:v>Operations</c:v>
                </c:pt>
              </c:strCache>
            </c:strRef>
          </c:tx>
          <c:spPr>
            <a:solidFill>
              <a:srgbClr val="8FBCF9"/>
            </a:solidFill>
            <a:ln>
              <a:noFill/>
            </a:ln>
            <a:effectLst/>
          </c:spPr>
          <c:invertIfNegative val="0"/>
          <c:cat>
            <c:numRef>
              <c:f>Dashboard!$C$115:$J$115</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Dashboard!$C$118:$J$118</c:f>
              <c:numCache>
                <c:formatCode>_(#,##0_);\(#,##0\);_("–"_);_(@_)</c:formatCode>
                <c:ptCount val="8"/>
                <c:pt idx="0">
                  <c:v>50475</c:v>
                </c:pt>
                <c:pt idx="1">
                  <c:v>71113</c:v>
                </c:pt>
                <c:pt idx="2">
                  <c:v>91328</c:v>
                </c:pt>
                <c:pt idx="3">
                  <c:v>96850.512195725169</c:v>
                </c:pt>
                <c:pt idx="4">
                  <c:v>115615.40926126465</c:v>
                </c:pt>
                <c:pt idx="5">
                  <c:v>132661.08792333136</c:v>
                </c:pt>
                <c:pt idx="6">
                  <c:v>156698.8774801383</c:v>
                </c:pt>
                <c:pt idx="7">
                  <c:v>181986.00848648947</c:v>
                </c:pt>
              </c:numCache>
            </c:numRef>
          </c:val>
          <c:extLst>
            <c:ext xmlns:c16="http://schemas.microsoft.com/office/drawing/2014/chart" uri="{C3380CC4-5D6E-409C-BE32-E72D297353CC}">
              <c16:uniqueId val="{00000000-5C89-40FD-A0BE-A44F2CEEFAD0}"/>
            </c:ext>
          </c:extLst>
        </c:ser>
        <c:ser>
          <c:idx val="2"/>
          <c:order val="1"/>
          <c:tx>
            <c:strRef>
              <c:f>Dashboard!$B$120</c:f>
              <c:strCache>
                <c:ptCount val="1"/>
                <c:pt idx="0">
                  <c:v>Financing</c:v>
                </c:pt>
              </c:strCache>
            </c:strRef>
          </c:tx>
          <c:spPr>
            <a:solidFill>
              <a:srgbClr val="1877F2"/>
            </a:solidFill>
            <a:ln>
              <a:noFill/>
            </a:ln>
            <a:effectLst/>
          </c:spPr>
          <c:invertIfNegative val="0"/>
          <c:cat>
            <c:numRef>
              <c:f>Dashboard!$C$115:$J$115</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Dashboard!$C$120:$J$120</c:f>
              <c:numCache>
                <c:formatCode>_(#,##0_);\(#,##0\);_("–"_);_(@_)</c:formatCode>
                <c:ptCount val="8"/>
                <c:pt idx="0">
                  <c:v>-22136</c:v>
                </c:pt>
                <c:pt idx="1">
                  <c:v>-19500</c:v>
                </c:pt>
                <c:pt idx="2">
                  <c:v>-40781</c:v>
                </c:pt>
                <c:pt idx="3">
                  <c:v>-40946.267679678589</c:v>
                </c:pt>
                <c:pt idx="4">
                  <c:v>-46290.957831630367</c:v>
                </c:pt>
                <c:pt idx="5">
                  <c:v>-52437.351506374922</c:v>
                </c:pt>
                <c:pt idx="6">
                  <c:v>-59505.704232331154</c:v>
                </c:pt>
                <c:pt idx="7">
                  <c:v>-67634.309867180826</c:v>
                </c:pt>
              </c:numCache>
            </c:numRef>
          </c:val>
          <c:extLst>
            <c:ext xmlns:c16="http://schemas.microsoft.com/office/drawing/2014/chart" uri="{C3380CC4-5D6E-409C-BE32-E72D297353CC}">
              <c16:uniqueId val="{00000002-5C89-40FD-A0BE-A44F2CEEFAD0}"/>
            </c:ext>
          </c:extLst>
        </c:ser>
        <c:ser>
          <c:idx val="1"/>
          <c:order val="2"/>
          <c:tx>
            <c:strRef>
              <c:f>Dashboard!$B$119</c:f>
              <c:strCache>
                <c:ptCount val="1"/>
                <c:pt idx="0">
                  <c:v>Investing</c:v>
                </c:pt>
              </c:strCache>
            </c:strRef>
          </c:tx>
          <c:spPr>
            <a:solidFill>
              <a:srgbClr val="4993F5"/>
            </a:solidFill>
            <a:ln>
              <a:noFill/>
            </a:ln>
            <a:effectLst/>
          </c:spPr>
          <c:invertIfNegative val="0"/>
          <c:cat>
            <c:numRef>
              <c:f>Dashboard!$C$115:$J$115</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Dashboard!$C$119:$J$119</c:f>
              <c:numCache>
                <c:formatCode>_(#,##0_);\(#,##0\);_("–"_);_(@_)</c:formatCode>
                <c:ptCount val="8"/>
                <c:pt idx="0">
                  <c:v>-28970</c:v>
                </c:pt>
                <c:pt idx="1">
                  <c:v>-24495</c:v>
                </c:pt>
                <c:pt idx="2">
                  <c:v>-47150</c:v>
                </c:pt>
                <c:pt idx="3">
                  <c:v>-39240.143791288298</c:v>
                </c:pt>
                <c:pt idx="4">
                  <c:v>-45131.265359981538</c:v>
                </c:pt>
                <c:pt idx="5">
                  <c:v>-51906.055163978774</c:v>
                </c:pt>
                <c:pt idx="6">
                  <c:v>-59697.063438575591</c:v>
                </c:pt>
                <c:pt idx="7">
                  <c:v>-68656.722954361932</c:v>
                </c:pt>
              </c:numCache>
            </c:numRef>
          </c:val>
          <c:extLst>
            <c:ext xmlns:c16="http://schemas.microsoft.com/office/drawing/2014/chart" uri="{C3380CC4-5D6E-409C-BE32-E72D297353CC}">
              <c16:uniqueId val="{00000001-5C89-40FD-A0BE-A44F2CEEFAD0}"/>
            </c:ext>
          </c:extLst>
        </c:ser>
        <c:dLbls>
          <c:showLegendKey val="0"/>
          <c:showVal val="0"/>
          <c:showCatName val="0"/>
          <c:showSerName val="0"/>
          <c:showPercent val="0"/>
          <c:showBubbleSize val="0"/>
        </c:dLbls>
        <c:gapWidth val="60"/>
        <c:overlap val="100"/>
        <c:axId val="293967903"/>
        <c:axId val="293959263"/>
      </c:barChart>
      <c:lineChart>
        <c:grouping val="standard"/>
        <c:varyColors val="0"/>
        <c:ser>
          <c:idx val="3"/>
          <c:order val="3"/>
          <c:tx>
            <c:strRef>
              <c:f>Dashboard!$B$121</c:f>
              <c:strCache>
                <c:ptCount val="1"/>
                <c:pt idx="0">
                  <c:v>Change in Cash</c:v>
                </c:pt>
              </c:strCache>
            </c:strRef>
          </c:tx>
          <c:spPr>
            <a:ln w="28575" cap="rnd">
              <a:solidFill>
                <a:schemeClr val="bg2">
                  <a:lumMod val="50000"/>
                </a:schemeClr>
              </a:solidFill>
              <a:round/>
            </a:ln>
            <a:effectLst/>
          </c:spPr>
          <c:marker>
            <c:symbol val="none"/>
          </c:marker>
          <c:cat>
            <c:numRef>
              <c:f>Dashboard!$C$115:$J$115</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Dashboard!$C$121:$J$121</c:f>
              <c:numCache>
                <c:formatCode>_(#,##0_);\(#,##0\);_("–"_);_(@_)</c:formatCode>
                <c:ptCount val="8"/>
                <c:pt idx="0">
                  <c:v>-1269</c:v>
                </c:pt>
                <c:pt idx="1">
                  <c:v>27231</c:v>
                </c:pt>
                <c:pt idx="2">
                  <c:v>2611</c:v>
                </c:pt>
                <c:pt idx="3">
                  <c:v>16264.100724758282</c:v>
                </c:pt>
                <c:pt idx="4">
                  <c:v>23793.186069652744</c:v>
                </c:pt>
                <c:pt idx="5">
                  <c:v>27917.681252977665</c:v>
                </c:pt>
                <c:pt idx="6">
                  <c:v>37096.109809231544</c:v>
                </c:pt>
                <c:pt idx="7">
                  <c:v>45294.975664946716</c:v>
                </c:pt>
              </c:numCache>
            </c:numRef>
          </c:val>
          <c:smooth val="0"/>
          <c:extLst>
            <c:ext xmlns:c16="http://schemas.microsoft.com/office/drawing/2014/chart" uri="{C3380CC4-5D6E-409C-BE32-E72D297353CC}">
              <c16:uniqueId val="{00000003-5C89-40FD-A0BE-A44F2CEEFAD0}"/>
            </c:ext>
          </c:extLst>
        </c:ser>
        <c:dLbls>
          <c:showLegendKey val="0"/>
          <c:showVal val="0"/>
          <c:showCatName val="0"/>
          <c:showSerName val="0"/>
          <c:showPercent val="0"/>
          <c:showBubbleSize val="0"/>
        </c:dLbls>
        <c:marker val="1"/>
        <c:smooth val="0"/>
        <c:axId val="293967903"/>
        <c:axId val="293959263"/>
      </c:lineChart>
      <c:catAx>
        <c:axId val="293967903"/>
        <c:scaling>
          <c:orientation val="minMax"/>
        </c:scaling>
        <c:delete val="0"/>
        <c:axPos val="b"/>
        <c:numFmt formatCode="0&quot;A&quot;"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293959263"/>
        <c:crosses val="autoZero"/>
        <c:auto val="1"/>
        <c:lblAlgn val="ctr"/>
        <c:lblOffset val="100"/>
        <c:noMultiLvlLbl val="0"/>
      </c:catAx>
      <c:valAx>
        <c:axId val="293959263"/>
        <c:scaling>
          <c:orientation val="minMax"/>
          <c:max val="125000"/>
          <c:min val="-125000"/>
        </c:scaling>
        <c:delete val="0"/>
        <c:axPos val="l"/>
        <c:numFmt formatCode="_(#,##0_);\(#,##0\);_(&quot;–&quot;_);_(@_)"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2939679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baseline="0">
                <a:solidFill>
                  <a:sysClr val="windowText" lastClr="000000">
                    <a:lumMod val="65000"/>
                    <a:lumOff val="35000"/>
                  </a:sysClr>
                </a:solidFill>
                <a:latin typeface="+mn-lt"/>
                <a:ea typeface="+mn-ea"/>
                <a:cs typeface="+mn-cs"/>
              </a:defRPr>
            </a:pPr>
            <a:r>
              <a:rPr lang="en-US" sz="1100" b="0" i="0" u="none" strike="noStrike" kern="1200" spc="0" baseline="0">
                <a:solidFill>
                  <a:sysClr val="windowText" lastClr="000000">
                    <a:lumMod val="65000"/>
                    <a:lumOff val="35000"/>
                  </a:sysClr>
                </a:solidFill>
                <a:latin typeface="+mn-lt"/>
                <a:ea typeface="+mn-ea"/>
                <a:cs typeface="+mn-cs"/>
              </a:rPr>
              <a:t>Revenue ($ Million)</a:t>
            </a:r>
          </a:p>
        </c:rich>
      </c:tx>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Dashboard!$G$9</c:f>
              <c:strCache>
                <c:ptCount val="1"/>
                <c:pt idx="0">
                  <c:v>Revenue</c:v>
                </c:pt>
              </c:strCache>
            </c:strRef>
          </c:tx>
          <c:spPr>
            <a:solidFill>
              <a:srgbClr val="1877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Dashboard!$J$7:$Q$7</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Dashboard!$J$9:$Q$9</c:f>
              <c:numCache>
                <c:formatCode>_(#,##0_);\(#,##0\);_("–"_);_(@_)</c:formatCode>
                <c:ptCount val="8"/>
                <c:pt idx="0">
                  <c:v>116609</c:v>
                </c:pt>
                <c:pt idx="1">
                  <c:v>134902</c:v>
                </c:pt>
                <c:pt idx="2">
                  <c:v>164501</c:v>
                </c:pt>
                <c:pt idx="3">
                  <c:v>189176.15</c:v>
                </c:pt>
                <c:pt idx="4">
                  <c:v>217552.57249999998</c:v>
                </c:pt>
                <c:pt idx="5">
                  <c:v>250185.45837499996</c:v>
                </c:pt>
                <c:pt idx="6">
                  <c:v>287713.27713124995</c:v>
                </c:pt>
                <c:pt idx="7">
                  <c:v>330870.26870093745</c:v>
                </c:pt>
              </c:numCache>
            </c:numRef>
          </c:val>
          <c:extLst>
            <c:ext xmlns:c16="http://schemas.microsoft.com/office/drawing/2014/chart" uri="{C3380CC4-5D6E-409C-BE32-E72D297353CC}">
              <c16:uniqueId val="{00000000-28F5-47C2-A2A8-EC441BFC0610}"/>
            </c:ext>
          </c:extLst>
        </c:ser>
        <c:dLbls>
          <c:dLblPos val="outEnd"/>
          <c:showLegendKey val="0"/>
          <c:showVal val="1"/>
          <c:showCatName val="0"/>
          <c:showSerName val="0"/>
          <c:showPercent val="0"/>
          <c:showBubbleSize val="0"/>
        </c:dLbls>
        <c:gapWidth val="90"/>
        <c:axId val="1831027519"/>
        <c:axId val="1831027999"/>
      </c:barChart>
      <c:catAx>
        <c:axId val="1831027519"/>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31027999"/>
        <c:crosses val="autoZero"/>
        <c:auto val="1"/>
        <c:lblAlgn val="ctr"/>
        <c:lblOffset val="100"/>
        <c:noMultiLvlLbl val="0"/>
      </c:catAx>
      <c:valAx>
        <c:axId val="1831027999"/>
        <c:scaling>
          <c:orientation val="minMax"/>
          <c:min val="90000"/>
        </c:scaling>
        <c:delete val="1"/>
        <c:axPos val="l"/>
        <c:numFmt formatCode="_(#,##0_);\(#,##0\);_(&quot;–&quot;_);_(@_)" sourceLinked="1"/>
        <c:majorTickMark val="none"/>
        <c:minorTickMark val="none"/>
        <c:tickLblPos val="nextTo"/>
        <c:crossAx val="183102751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100" b="0" i="0" u="none" strike="noStrike" kern="1200" spc="0" baseline="0">
                <a:solidFill>
                  <a:sysClr val="windowText" lastClr="000000">
                    <a:lumMod val="65000"/>
                    <a:lumOff val="35000"/>
                  </a:sysClr>
                </a:solidFill>
                <a:latin typeface="+mn-lt"/>
                <a:ea typeface="+mn-ea"/>
                <a:cs typeface="+mn-cs"/>
              </a:defRPr>
            </a:pPr>
            <a:r>
              <a:rPr lang="en-US" sz="1100" b="0" i="0" u="none" strike="noStrike" kern="1200" spc="0" baseline="0">
                <a:solidFill>
                  <a:sysClr val="windowText" lastClr="000000">
                    <a:lumMod val="65000"/>
                    <a:lumOff val="35000"/>
                  </a:sysClr>
                </a:solidFill>
                <a:latin typeface="+mn-lt"/>
                <a:ea typeface="+mn-ea"/>
                <a:cs typeface="+mn-cs"/>
              </a:rPr>
              <a:t>Revenue ($ Million)</a:t>
            </a:r>
          </a:p>
        </c:rich>
      </c:tx>
      <c:overlay val="0"/>
      <c:spPr>
        <a:noFill/>
        <a:ln>
          <a:noFill/>
        </a:ln>
        <a:effectLst/>
      </c:spPr>
      <c:txPr>
        <a:bodyPr rot="0" spcFirstLastPara="1" vertOverflow="ellipsis" vert="horz" wrap="square" anchor="ctr" anchorCtr="1"/>
        <a:lstStyle/>
        <a:p>
          <a:pPr algn="ctr" rtl="0">
            <a:defRPr lang="en-US" sz="11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barChart>
        <c:barDir val="col"/>
        <c:grouping val="clustered"/>
        <c:varyColors val="0"/>
        <c:ser>
          <c:idx val="0"/>
          <c:order val="0"/>
          <c:tx>
            <c:strRef>
              <c:f>Dashboard!$G$20</c:f>
              <c:strCache>
                <c:ptCount val="1"/>
                <c:pt idx="0">
                  <c:v>Net Income</c:v>
                </c:pt>
              </c:strCache>
            </c:strRef>
          </c:tx>
          <c:spPr>
            <a:solidFill>
              <a:srgbClr val="1877F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Dashboard!$J$7:$Q$7</c:f>
              <c:numCache>
                <c:formatCode>0"A"</c:formatCode>
                <c:ptCount val="8"/>
                <c:pt idx="0">
                  <c:v>2022</c:v>
                </c:pt>
                <c:pt idx="1">
                  <c:v>2023</c:v>
                </c:pt>
                <c:pt idx="2">
                  <c:v>2024</c:v>
                </c:pt>
                <c:pt idx="3" formatCode="0&quot;F&quot;">
                  <c:v>2025</c:v>
                </c:pt>
                <c:pt idx="4" formatCode="0&quot;F&quot;">
                  <c:v>2026</c:v>
                </c:pt>
                <c:pt idx="5" formatCode="0&quot;F&quot;">
                  <c:v>2027</c:v>
                </c:pt>
                <c:pt idx="6" formatCode="0&quot;F&quot;">
                  <c:v>2028</c:v>
                </c:pt>
                <c:pt idx="7" formatCode="0&quot;F&quot;">
                  <c:v>2029</c:v>
                </c:pt>
              </c:numCache>
            </c:numRef>
          </c:cat>
          <c:val>
            <c:numRef>
              <c:f>Dashboard!$J$20:$Q$20</c:f>
              <c:numCache>
                <c:formatCode>_(#,##0_);\(#,##0\);_("–"_);_(@_)</c:formatCode>
                <c:ptCount val="8"/>
                <c:pt idx="0">
                  <c:v>23200</c:v>
                </c:pt>
                <c:pt idx="1">
                  <c:v>39098</c:v>
                </c:pt>
                <c:pt idx="2">
                  <c:v>62360</c:v>
                </c:pt>
                <c:pt idx="3">
                  <c:v>59653.202876782314</c:v>
                </c:pt>
                <c:pt idx="4">
                  <c:v>68601.18330829966</c:v>
                </c:pt>
                <c:pt idx="5">
                  <c:v>78891.360804544587</c:v>
                </c:pt>
                <c:pt idx="6">
                  <c:v>90725.064925226266</c:v>
                </c:pt>
                <c:pt idx="7">
                  <c:v>104333.82466401022</c:v>
                </c:pt>
              </c:numCache>
            </c:numRef>
          </c:val>
          <c:extLst>
            <c:ext xmlns:c16="http://schemas.microsoft.com/office/drawing/2014/chart" uri="{C3380CC4-5D6E-409C-BE32-E72D297353CC}">
              <c16:uniqueId val="{00000000-28F5-47C2-A2A8-EC441BFC0610}"/>
            </c:ext>
          </c:extLst>
        </c:ser>
        <c:dLbls>
          <c:dLblPos val="outEnd"/>
          <c:showLegendKey val="0"/>
          <c:showVal val="1"/>
          <c:showCatName val="0"/>
          <c:showSerName val="0"/>
          <c:showPercent val="0"/>
          <c:showBubbleSize val="0"/>
        </c:dLbls>
        <c:gapWidth val="90"/>
        <c:axId val="1831027519"/>
        <c:axId val="1831027999"/>
      </c:barChart>
      <c:catAx>
        <c:axId val="1831027519"/>
        <c:scaling>
          <c:orientation val="minMax"/>
        </c:scaling>
        <c:delete val="0"/>
        <c:axPos val="b"/>
        <c:numFmt formatCode="0&quot;A&quot;"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831027999"/>
        <c:crosses val="autoZero"/>
        <c:auto val="1"/>
        <c:lblAlgn val="ctr"/>
        <c:lblOffset val="100"/>
        <c:noMultiLvlLbl val="0"/>
      </c:catAx>
      <c:valAx>
        <c:axId val="1831027999"/>
        <c:scaling>
          <c:orientation val="minMax"/>
          <c:min val="0"/>
        </c:scaling>
        <c:delete val="1"/>
        <c:axPos val="l"/>
        <c:numFmt formatCode="_(#,##0_);\(#,##0\);_(&quot;–&quot;_);_(@_)" sourceLinked="1"/>
        <c:majorTickMark val="out"/>
        <c:minorTickMark val="none"/>
        <c:tickLblPos val="nextTo"/>
        <c:crossAx val="1831027519"/>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26" fmlaLink="$C$3" fmlaRange="'Financial Model'!$N$3:$N$5" noThreeD="1" sel="1" val="0"/>
</file>

<file path=xl/ctrlProps/ctrlProp2.xml><?xml version="1.0" encoding="utf-8"?>
<formControlPr xmlns="http://schemas.microsoft.com/office/spreadsheetml/2009/9/main" objectType="Drop" dropStyle="combo" dx="26" fmlaLink="Dashboard!$C$3" fmlaRange="'Financial Model'!$N$3:$N$5" noThreeD="1" sel="1" val="0"/>
</file>

<file path=xl/ctrlProps/ctrlProp3.xml><?xml version="1.0" encoding="utf-8"?>
<formControlPr xmlns="http://schemas.microsoft.com/office/spreadsheetml/2009/9/main" objectType="Drop" dropStyle="combo" dx="26" fmlaLink="Dashboard!$C$3" fmlaRange="'Financial Model'!$N$3:$N$5" noThreeD="1" sel="1" val="0"/>
</file>

<file path=xl/ctrlProps/ctrlProp4.xml><?xml version="1.0" encoding="utf-8"?>
<formControlPr xmlns="http://schemas.microsoft.com/office/spreadsheetml/2009/9/main" objectType="Drop" dropStyle="combo" dx="26" fmlaLink="Dashboard!$C$3" fmlaRange="$N$3:$N$5" noThreeD="1" sel="1" val="0"/>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35719</xdr:colOff>
      <xdr:row>22</xdr:row>
      <xdr:rowOff>54299</xdr:rowOff>
    </xdr:from>
    <xdr:to>
      <xdr:col>20</xdr:col>
      <xdr:colOff>546259</xdr:colOff>
      <xdr:row>29</xdr:row>
      <xdr:rowOff>126689</xdr:rowOff>
    </xdr:to>
    <xdr:sp macro="" textlink="">
      <xdr:nvSpPr>
        <xdr:cNvPr id="3" name="TextBox 2">
          <a:extLst>
            <a:ext uri="{FF2B5EF4-FFF2-40B4-BE49-F238E27FC236}">
              <a16:creationId xmlns:a16="http://schemas.microsoft.com/office/drawing/2014/main" id="{42E11BB1-BE4A-45A0-AC58-8BF859D50CAA}"/>
            </a:ext>
          </a:extLst>
        </xdr:cNvPr>
        <xdr:cNvSpPr txBox="1"/>
      </xdr:nvSpPr>
      <xdr:spPr>
        <a:xfrm>
          <a:off x="1250157" y="4173862"/>
          <a:ext cx="11440477" cy="1322546"/>
        </a:xfrm>
        <a:prstGeom prst="rect">
          <a:avLst/>
        </a:prstGeom>
        <a:no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Disclaimer</a:t>
          </a:r>
        </a:p>
        <a:p>
          <a:endParaRPr lang="en-US" b="1">
            <a:solidFill>
              <a:schemeClr val="bg1"/>
            </a:solidFill>
          </a:endParaRPr>
        </a:p>
        <a:p>
          <a:r>
            <a:rPr lang="en-US">
              <a:solidFill>
                <a:schemeClr val="bg1"/>
              </a:solidFill>
            </a:rPr>
            <a:t>This Excel financial model is provided for academic</a:t>
          </a:r>
          <a:r>
            <a:rPr lang="en-US" baseline="0">
              <a:solidFill>
                <a:schemeClr val="bg1"/>
              </a:solidFill>
            </a:rPr>
            <a:t> purpose only</a:t>
          </a:r>
          <a:r>
            <a:rPr lang="en-US">
              <a:solidFill>
                <a:schemeClr val="bg1"/>
              </a:solidFill>
            </a:rPr>
            <a:t>. The data, assumptions, and projections contained within this file are based on publicly available information and reasonable estimates but do not guarantee future financial performance. The developer of this financial model is not responsible for any financial gains or losses resulting from decisions made based on this analysis. Users are advised to conduct their own due diligence, consult with financial professionals, and verify all data before making any investment or business decisions. While every effort has been made to ensure accuracy, this model may contain errors or omissions. The developer makes no representations or warranties, express or implied, regarding the completeness, reliability, or suitability of this model for any specific purpose. Any use of this file is at the user’s own risk. By using this Excel model, the user acknowledges and agrees to these terms.</a:t>
          </a:r>
        </a:p>
      </xdr:txBody>
    </xdr:sp>
    <xdr:clientData/>
  </xdr:twoCellAnchor>
  <xdr:twoCellAnchor editAs="oneCell">
    <xdr:from>
      <xdr:col>1</xdr:col>
      <xdr:colOff>351449</xdr:colOff>
      <xdr:row>1</xdr:row>
      <xdr:rowOff>42975</xdr:rowOff>
    </xdr:from>
    <xdr:to>
      <xdr:col>5</xdr:col>
      <xdr:colOff>333912</xdr:colOff>
      <xdr:row>6</xdr:row>
      <xdr:rowOff>172575</xdr:rowOff>
    </xdr:to>
    <xdr:pic>
      <xdr:nvPicPr>
        <xdr:cNvPr id="4" name="Picture 3">
          <a:extLst>
            <a:ext uri="{FF2B5EF4-FFF2-40B4-BE49-F238E27FC236}">
              <a16:creationId xmlns:a16="http://schemas.microsoft.com/office/drawing/2014/main" id="{2ADE7393-5DA2-FD39-3547-5A7E5573304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61049" y="233475"/>
          <a:ext cx="2420863" cy="1044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152400</xdr:colOff>
          <xdr:row>2</xdr:row>
          <xdr:rowOff>0</xdr:rowOff>
        </xdr:from>
        <xdr:to>
          <xdr:col>3</xdr:col>
          <xdr:colOff>495300</xdr:colOff>
          <xdr:row>2</xdr:row>
          <xdr:rowOff>182880</xdr:rowOff>
        </xdr:to>
        <xdr:sp macro="" textlink="">
          <xdr:nvSpPr>
            <xdr:cNvPr id="8193" name="Drop Down 1" hidden="1">
              <a:extLst>
                <a:ext uri="{63B3BB69-23CF-44E3-9099-C40C66FF867C}">
                  <a14:compatExt spid="_x0000_s8193"/>
                </a:ext>
                <a:ext uri="{FF2B5EF4-FFF2-40B4-BE49-F238E27FC236}">
                  <a16:creationId xmlns:a16="http://schemas.microsoft.com/office/drawing/2014/main" id="{00000000-0008-0000-0100-00000120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9</xdr:col>
      <xdr:colOff>0</xdr:colOff>
      <xdr:row>25</xdr:row>
      <xdr:rowOff>0</xdr:rowOff>
    </xdr:from>
    <xdr:to>
      <xdr:col>19</xdr:col>
      <xdr:colOff>0</xdr:colOff>
      <xdr:row>50</xdr:row>
      <xdr:rowOff>0</xdr:rowOff>
    </xdr:to>
    <xdr:graphicFrame macro="">
      <xdr:nvGraphicFramePr>
        <xdr:cNvPr id="8" name="Chart 7">
          <a:extLst>
            <a:ext uri="{FF2B5EF4-FFF2-40B4-BE49-F238E27FC236}">
              <a16:creationId xmlns:a16="http://schemas.microsoft.com/office/drawing/2014/main" id="{3D415CDC-9DBC-414C-BF69-5269422716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609599</xdr:colOff>
      <xdr:row>24</xdr:row>
      <xdr:rowOff>125506</xdr:rowOff>
    </xdr:from>
    <xdr:to>
      <xdr:col>7</xdr:col>
      <xdr:colOff>753035</xdr:colOff>
      <xdr:row>36</xdr:row>
      <xdr:rowOff>17930</xdr:rowOff>
    </xdr:to>
    <xdr:graphicFrame macro="">
      <xdr:nvGraphicFramePr>
        <xdr:cNvPr id="4" name="Chart 3">
          <a:extLst>
            <a:ext uri="{FF2B5EF4-FFF2-40B4-BE49-F238E27FC236}">
              <a16:creationId xmlns:a16="http://schemas.microsoft.com/office/drawing/2014/main" id="{E07C2DD9-FD97-E961-8D25-95EDACF6C0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39</xdr:row>
      <xdr:rowOff>0</xdr:rowOff>
    </xdr:from>
    <xdr:to>
      <xdr:col>8</xdr:col>
      <xdr:colOff>0</xdr:colOff>
      <xdr:row>50</xdr:row>
      <xdr:rowOff>71718</xdr:rowOff>
    </xdr:to>
    <xdr:graphicFrame macro="">
      <xdr:nvGraphicFramePr>
        <xdr:cNvPr id="7" name="Chart 6">
          <a:extLst>
            <a:ext uri="{FF2B5EF4-FFF2-40B4-BE49-F238E27FC236}">
              <a16:creationId xmlns:a16="http://schemas.microsoft.com/office/drawing/2014/main" id="{04E0AC5F-00F6-504F-BE16-CE6E8A77D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1</xdr:colOff>
      <xdr:row>0</xdr:row>
      <xdr:rowOff>53790</xdr:rowOff>
    </xdr:from>
    <xdr:to>
      <xdr:col>2</xdr:col>
      <xdr:colOff>502417</xdr:colOff>
      <xdr:row>1</xdr:row>
      <xdr:rowOff>4096</xdr:rowOff>
    </xdr:to>
    <xdr:pic>
      <xdr:nvPicPr>
        <xdr:cNvPr id="9" name="Picture 8">
          <a:extLst>
            <a:ext uri="{FF2B5EF4-FFF2-40B4-BE49-F238E27FC236}">
              <a16:creationId xmlns:a16="http://schemas.microsoft.com/office/drawing/2014/main" id="{2812A04E-FBC5-4955-B81F-33BC483BFA6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09601" y="53790"/>
          <a:ext cx="2420863" cy="104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76200</xdr:colOff>
          <xdr:row>2</xdr:row>
          <xdr:rowOff>0</xdr:rowOff>
        </xdr:from>
        <xdr:to>
          <xdr:col>3</xdr:col>
          <xdr:colOff>556260</xdr:colOff>
          <xdr:row>2</xdr:row>
          <xdr:rowOff>182880</xdr:rowOff>
        </xdr:to>
        <xdr:sp macro="" textlink="">
          <xdr:nvSpPr>
            <xdr:cNvPr id="9217" name="Drop Down 1" hidden="1">
              <a:extLst>
                <a:ext uri="{63B3BB69-23CF-44E3-9099-C40C66FF867C}">
                  <a14:compatExt spid="_x0000_s9217"/>
                </a:ext>
                <a:ext uri="{FF2B5EF4-FFF2-40B4-BE49-F238E27FC236}">
                  <a16:creationId xmlns:a16="http://schemas.microsoft.com/office/drawing/2014/main" id="{00000000-0008-0000-0200-0000012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0</xdr:row>
      <xdr:rowOff>53790</xdr:rowOff>
    </xdr:from>
    <xdr:to>
      <xdr:col>2</xdr:col>
      <xdr:colOff>574134</xdr:colOff>
      <xdr:row>1</xdr:row>
      <xdr:rowOff>6001</xdr:rowOff>
    </xdr:to>
    <xdr:pic>
      <xdr:nvPicPr>
        <xdr:cNvPr id="4" name="Picture 3">
          <a:extLst>
            <a:ext uri="{FF2B5EF4-FFF2-40B4-BE49-F238E27FC236}">
              <a16:creationId xmlns:a16="http://schemas.microsoft.com/office/drawing/2014/main" id="{AA40E7A0-D416-4D62-96A5-65BF1268B6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53790"/>
          <a:ext cx="2420863" cy="104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3</xdr:col>
          <xdr:colOff>388620</xdr:colOff>
          <xdr:row>2</xdr:row>
          <xdr:rowOff>182880</xdr:rowOff>
        </xdr:to>
        <xdr:sp macro="" textlink="">
          <xdr:nvSpPr>
            <xdr:cNvPr id="7169" name="Drop Down 1" hidden="1">
              <a:extLst>
                <a:ext uri="{63B3BB69-23CF-44E3-9099-C40C66FF867C}">
                  <a14:compatExt spid="_x0000_s7169"/>
                </a:ext>
                <a:ext uri="{FF2B5EF4-FFF2-40B4-BE49-F238E27FC236}">
                  <a16:creationId xmlns:a16="http://schemas.microsoft.com/office/drawing/2014/main" id="{00000000-0008-0000-0300-000001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0</xdr:row>
      <xdr:rowOff>53790</xdr:rowOff>
    </xdr:from>
    <xdr:to>
      <xdr:col>2</xdr:col>
      <xdr:colOff>654816</xdr:colOff>
      <xdr:row>1</xdr:row>
      <xdr:rowOff>4096</xdr:rowOff>
    </xdr:to>
    <xdr:pic>
      <xdr:nvPicPr>
        <xdr:cNvPr id="4" name="Picture 3">
          <a:extLst>
            <a:ext uri="{FF2B5EF4-FFF2-40B4-BE49-F238E27FC236}">
              <a16:creationId xmlns:a16="http://schemas.microsoft.com/office/drawing/2014/main" id="{135829FF-8158-4A1C-81CE-737AD8B4AC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44071" y="53790"/>
          <a:ext cx="2420863" cy="104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0</xdr:row>
      <xdr:rowOff>44825</xdr:rowOff>
    </xdr:from>
    <xdr:to>
      <xdr:col>4</xdr:col>
      <xdr:colOff>592063</xdr:colOff>
      <xdr:row>0</xdr:row>
      <xdr:rowOff>1088825</xdr:rowOff>
    </xdr:to>
    <xdr:pic>
      <xdr:nvPicPr>
        <xdr:cNvPr id="4" name="Picture 3">
          <a:extLst>
            <a:ext uri="{FF2B5EF4-FFF2-40B4-BE49-F238E27FC236}">
              <a16:creationId xmlns:a16="http://schemas.microsoft.com/office/drawing/2014/main" id="{9E5897CA-8567-480D-A314-1D0810543A8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44825"/>
          <a:ext cx="2420863" cy="104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3</xdr:col>
          <xdr:colOff>449580</xdr:colOff>
          <xdr:row>2</xdr:row>
          <xdr:rowOff>182880</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5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editAs="oneCell">
    <xdr:from>
      <xdr:col>1</xdr:col>
      <xdr:colOff>0</xdr:colOff>
      <xdr:row>0</xdr:row>
      <xdr:rowOff>38100</xdr:rowOff>
    </xdr:from>
    <xdr:to>
      <xdr:col>1</xdr:col>
      <xdr:colOff>2420863</xdr:colOff>
      <xdr:row>0</xdr:row>
      <xdr:rowOff>1082100</xdr:rowOff>
    </xdr:to>
    <xdr:pic>
      <xdr:nvPicPr>
        <xdr:cNvPr id="5" name="Picture 4">
          <a:extLst>
            <a:ext uri="{FF2B5EF4-FFF2-40B4-BE49-F238E27FC236}">
              <a16:creationId xmlns:a16="http://schemas.microsoft.com/office/drawing/2014/main" id="{20704740-F7A8-42C7-9987-DC0A8EA9BB6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9600" y="38100"/>
          <a:ext cx="2420863" cy="1044000"/>
        </a:xfrm>
        <a:prstGeom prst="rect">
          <a:avLst/>
        </a:prstGeom>
      </xdr:spPr>
    </xdr:pic>
    <xdr:clientData/>
  </xdr:twoCellAnchor>
</xdr:wsDr>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trlProp" Target="../ctrlProps/ctrlProp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trlProp" Target="../ctrlProps/ctrlProp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A4945-BEDA-40D0-A571-4A2FECA53E5E}">
  <dimension ref="B1:V33"/>
  <sheetViews>
    <sheetView showGridLines="0" zoomScale="80" zoomScaleNormal="80" workbookViewId="0">
      <selection activeCell="X13" sqref="X13"/>
    </sheetView>
  </sheetViews>
  <sheetFormatPr defaultRowHeight="14.4" x14ac:dyDescent="0.3"/>
  <sheetData>
    <row r="1" spans="2:22" ht="15" thickBot="1" x14ac:dyDescent="0.35"/>
    <row r="2" spans="2:22" ht="15" thickTop="1" x14ac:dyDescent="0.3">
      <c r="B2" s="167"/>
      <c r="C2" s="168"/>
      <c r="D2" s="168"/>
      <c r="E2" s="168"/>
      <c r="F2" s="168"/>
      <c r="G2" s="168"/>
      <c r="H2" s="168"/>
      <c r="I2" s="168"/>
      <c r="J2" s="168"/>
      <c r="K2" s="168"/>
      <c r="L2" s="168"/>
      <c r="M2" s="168"/>
      <c r="N2" s="168"/>
      <c r="O2" s="168"/>
      <c r="P2" s="168"/>
      <c r="Q2" s="168"/>
      <c r="R2" s="168"/>
      <c r="S2" s="168"/>
      <c r="T2" s="168"/>
      <c r="U2" s="168"/>
      <c r="V2" s="169"/>
    </row>
    <row r="3" spans="2:22" x14ac:dyDescent="0.3">
      <c r="B3" s="170"/>
      <c r="C3" s="171"/>
      <c r="D3" s="171"/>
      <c r="E3" s="171"/>
      <c r="F3" s="171"/>
      <c r="G3" s="171"/>
      <c r="H3" s="171"/>
      <c r="I3" s="171"/>
      <c r="J3" s="171"/>
      <c r="K3" s="171"/>
      <c r="L3" s="171"/>
      <c r="M3" s="171"/>
      <c r="N3" s="171"/>
      <c r="O3" s="171"/>
      <c r="P3" s="171"/>
      <c r="Q3" s="171"/>
      <c r="R3" s="171"/>
      <c r="S3" s="171"/>
      <c r="T3" s="171"/>
      <c r="U3" s="171"/>
      <c r="V3" s="172"/>
    </row>
    <row r="4" spans="2:22" x14ac:dyDescent="0.3">
      <c r="B4" s="170"/>
      <c r="C4" s="171"/>
      <c r="D4" s="171"/>
      <c r="E4" s="171"/>
      <c r="F4" s="171"/>
      <c r="G4" s="171"/>
      <c r="H4" s="171"/>
      <c r="I4" s="171"/>
      <c r="J4" s="171"/>
      <c r="K4" s="171"/>
      <c r="L4" s="171"/>
      <c r="M4" s="171"/>
      <c r="N4" s="171"/>
      <c r="O4" s="171"/>
      <c r="P4" s="171"/>
      <c r="Q4" s="171"/>
      <c r="R4" s="171"/>
      <c r="S4" s="171"/>
      <c r="T4" s="171"/>
      <c r="U4" s="171"/>
      <c r="V4" s="172"/>
    </row>
    <row r="5" spans="2:22" x14ac:dyDescent="0.3">
      <c r="B5" s="170"/>
      <c r="C5" s="171"/>
      <c r="D5" s="171"/>
      <c r="E5" s="171"/>
      <c r="F5" s="171"/>
      <c r="G5" s="171"/>
      <c r="H5" s="171"/>
      <c r="I5" s="171"/>
      <c r="J5" s="171"/>
      <c r="K5" s="171"/>
      <c r="L5" s="171"/>
      <c r="M5" s="171"/>
      <c r="N5" s="171"/>
      <c r="O5" s="171"/>
      <c r="P5" s="171"/>
      <c r="Q5" s="171"/>
      <c r="R5" s="171"/>
      <c r="S5" s="171"/>
      <c r="T5" s="171"/>
      <c r="U5" s="171"/>
      <c r="V5" s="172"/>
    </row>
    <row r="6" spans="2:22" x14ac:dyDescent="0.3">
      <c r="B6" s="170"/>
      <c r="C6" s="171"/>
      <c r="D6" s="171"/>
      <c r="E6" s="171"/>
      <c r="F6" s="171"/>
      <c r="G6" s="171"/>
      <c r="H6" s="171"/>
      <c r="I6" s="171"/>
      <c r="J6" s="171"/>
      <c r="K6" s="171"/>
      <c r="L6" s="171"/>
      <c r="M6" s="171"/>
      <c r="N6" s="171"/>
      <c r="O6" s="171"/>
      <c r="P6" s="171"/>
      <c r="Q6" s="171"/>
      <c r="R6" s="171"/>
      <c r="S6" s="171"/>
      <c r="T6" s="171"/>
      <c r="U6" s="171"/>
      <c r="V6" s="172"/>
    </row>
    <row r="7" spans="2:22" x14ac:dyDescent="0.3">
      <c r="B7" s="170"/>
      <c r="C7" s="171"/>
      <c r="D7" s="171"/>
      <c r="E7" s="171"/>
      <c r="F7" s="171"/>
      <c r="G7" s="171"/>
      <c r="H7" s="171"/>
      <c r="I7" s="171"/>
      <c r="J7" s="171"/>
      <c r="K7" s="171"/>
      <c r="L7" s="171"/>
      <c r="M7" s="171"/>
      <c r="N7" s="171"/>
      <c r="O7" s="171"/>
      <c r="P7" s="171"/>
      <c r="Q7" s="171"/>
      <c r="R7" s="171"/>
      <c r="S7" s="171"/>
      <c r="T7" s="171"/>
      <c r="U7" s="171"/>
      <c r="V7" s="172"/>
    </row>
    <row r="8" spans="2:22" x14ac:dyDescent="0.3">
      <c r="B8" s="173"/>
      <c r="V8" s="174"/>
    </row>
    <row r="9" spans="2:22" x14ac:dyDescent="0.3">
      <c r="B9" s="173"/>
      <c r="V9" s="174"/>
    </row>
    <row r="10" spans="2:22" ht="25.8" x14ac:dyDescent="0.5">
      <c r="B10" s="173"/>
      <c r="C10" s="181" t="s">
        <v>0</v>
      </c>
      <c r="D10" s="182"/>
      <c r="E10" s="182"/>
      <c r="V10" s="174"/>
    </row>
    <row r="11" spans="2:22" x14ac:dyDescent="0.3">
      <c r="B11" s="173"/>
      <c r="V11" s="174"/>
    </row>
    <row r="12" spans="2:22" x14ac:dyDescent="0.3">
      <c r="B12" s="173"/>
      <c r="V12" s="174"/>
    </row>
    <row r="13" spans="2:22" ht="15.6" x14ac:dyDescent="0.3">
      <c r="B13" s="173"/>
      <c r="C13" s="183" t="s">
        <v>1</v>
      </c>
      <c r="D13" s="183"/>
      <c r="V13" s="174"/>
    </row>
    <row r="14" spans="2:22" x14ac:dyDescent="0.3">
      <c r="B14" s="173"/>
      <c r="C14" s="182"/>
      <c r="D14" s="182"/>
      <c r="V14" s="174"/>
    </row>
    <row r="15" spans="2:22" x14ac:dyDescent="0.3">
      <c r="B15" s="173"/>
      <c r="C15" s="184" t="s">
        <v>2</v>
      </c>
      <c r="D15" s="182"/>
      <c r="V15" s="174"/>
    </row>
    <row r="16" spans="2:22" x14ac:dyDescent="0.3">
      <c r="B16" s="173"/>
      <c r="C16" s="184" t="s">
        <v>3</v>
      </c>
      <c r="D16" s="182"/>
      <c r="V16" s="174"/>
    </row>
    <row r="17" spans="2:22" x14ac:dyDescent="0.3">
      <c r="B17" s="173"/>
      <c r="C17" s="184" t="s">
        <v>4</v>
      </c>
      <c r="D17" s="182"/>
      <c r="V17" s="174"/>
    </row>
    <row r="18" spans="2:22" x14ac:dyDescent="0.3">
      <c r="B18" s="173"/>
      <c r="C18" s="184" t="s">
        <v>5</v>
      </c>
      <c r="D18" s="182"/>
      <c r="V18" s="174"/>
    </row>
    <row r="19" spans="2:22" x14ac:dyDescent="0.3">
      <c r="B19" s="173"/>
      <c r="C19" s="184" t="s">
        <v>6</v>
      </c>
      <c r="D19" s="182"/>
      <c r="V19" s="174"/>
    </row>
    <row r="20" spans="2:22" x14ac:dyDescent="0.3">
      <c r="B20" s="173"/>
      <c r="V20" s="174"/>
    </row>
    <row r="21" spans="2:22" x14ac:dyDescent="0.3">
      <c r="B21" s="173"/>
      <c r="V21" s="174"/>
    </row>
    <row r="22" spans="2:22" x14ac:dyDescent="0.3">
      <c r="B22" s="173"/>
      <c r="V22" s="174"/>
    </row>
    <row r="23" spans="2:22" x14ac:dyDescent="0.3">
      <c r="B23" s="173"/>
      <c r="C23" s="175"/>
      <c r="D23" s="175"/>
      <c r="E23" s="175"/>
      <c r="F23" s="175"/>
      <c r="G23" s="175"/>
      <c r="H23" s="175"/>
      <c r="I23" s="175"/>
      <c r="J23" s="175"/>
      <c r="K23" s="175"/>
      <c r="L23" s="175"/>
      <c r="M23" s="175"/>
      <c r="N23" s="175"/>
      <c r="O23" s="175"/>
      <c r="P23" s="175"/>
      <c r="Q23" s="175"/>
      <c r="R23" s="175"/>
      <c r="S23" s="175"/>
      <c r="T23" s="175"/>
      <c r="U23" s="175"/>
      <c r="V23" s="174"/>
    </row>
    <row r="24" spans="2:22" x14ac:dyDescent="0.3">
      <c r="B24" s="173"/>
      <c r="C24" s="175"/>
      <c r="D24" s="171"/>
      <c r="E24" s="171"/>
      <c r="F24" s="171"/>
      <c r="G24" s="171"/>
      <c r="H24" s="171"/>
      <c r="I24" s="171"/>
      <c r="J24" s="171"/>
      <c r="K24" s="171"/>
      <c r="L24" s="171"/>
      <c r="M24" s="171"/>
      <c r="N24" s="171"/>
      <c r="O24" s="171"/>
      <c r="P24" s="171"/>
      <c r="Q24" s="171"/>
      <c r="R24" s="171"/>
      <c r="S24" s="171"/>
      <c r="T24" s="171"/>
      <c r="U24" s="171"/>
      <c r="V24" s="174"/>
    </row>
    <row r="25" spans="2:22" x14ac:dyDescent="0.3">
      <c r="B25" s="173"/>
      <c r="C25" s="171"/>
      <c r="D25" s="171"/>
      <c r="E25" s="171"/>
      <c r="F25" s="171"/>
      <c r="G25" s="171"/>
      <c r="H25" s="171"/>
      <c r="I25" s="171"/>
      <c r="J25" s="171"/>
      <c r="K25" s="171"/>
      <c r="L25" s="171"/>
      <c r="M25" s="171"/>
      <c r="N25" s="171"/>
      <c r="O25" s="171"/>
      <c r="P25" s="171"/>
      <c r="Q25" s="171"/>
      <c r="R25" s="171"/>
      <c r="S25" s="171"/>
      <c r="T25" s="171"/>
      <c r="U25" s="171"/>
      <c r="V25" s="174"/>
    </row>
    <row r="26" spans="2:22" x14ac:dyDescent="0.3">
      <c r="B26" s="173"/>
      <c r="C26" s="171"/>
      <c r="D26" s="171"/>
      <c r="E26" s="171"/>
      <c r="F26" s="171"/>
      <c r="G26" s="171"/>
      <c r="H26" s="171"/>
      <c r="I26" s="171"/>
      <c r="J26" s="171"/>
      <c r="K26" s="171"/>
      <c r="L26" s="171"/>
      <c r="M26" s="171"/>
      <c r="N26" s="171"/>
      <c r="O26" s="171"/>
      <c r="P26" s="171"/>
      <c r="Q26" s="171"/>
      <c r="R26" s="171"/>
      <c r="S26" s="171"/>
      <c r="T26" s="171"/>
      <c r="U26" s="171"/>
      <c r="V26" s="174"/>
    </row>
    <row r="27" spans="2:22" x14ac:dyDescent="0.3">
      <c r="B27" s="173"/>
      <c r="C27" s="171"/>
      <c r="D27" s="171"/>
      <c r="E27" s="171"/>
      <c r="F27" s="171"/>
      <c r="G27" s="171"/>
      <c r="H27" s="171"/>
      <c r="I27" s="171"/>
      <c r="J27" s="171"/>
      <c r="K27" s="171"/>
      <c r="L27" s="171"/>
      <c r="M27" s="171"/>
      <c r="N27" s="171"/>
      <c r="O27" s="171"/>
      <c r="P27" s="171"/>
      <c r="Q27" s="171"/>
      <c r="R27" s="171"/>
      <c r="S27" s="171"/>
      <c r="T27" s="171"/>
      <c r="U27" s="171"/>
      <c r="V27" s="174"/>
    </row>
    <row r="28" spans="2:22" x14ac:dyDescent="0.3">
      <c r="B28" s="173"/>
      <c r="C28" s="171"/>
      <c r="D28" s="171"/>
      <c r="E28" s="171"/>
      <c r="F28" s="171"/>
      <c r="G28" s="171"/>
      <c r="H28" s="171"/>
      <c r="I28" s="171"/>
      <c r="J28" s="171"/>
      <c r="K28" s="171"/>
      <c r="L28" s="171"/>
      <c r="M28" s="171"/>
      <c r="N28" s="171"/>
      <c r="O28" s="171"/>
      <c r="P28" s="171"/>
      <c r="Q28" s="171"/>
      <c r="R28" s="171"/>
      <c r="S28" s="171"/>
      <c r="T28" s="171"/>
      <c r="U28" s="171"/>
      <c r="V28" s="174"/>
    </row>
    <row r="29" spans="2:22" x14ac:dyDescent="0.3">
      <c r="B29" s="176"/>
      <c r="C29" s="171"/>
      <c r="D29" s="171"/>
      <c r="E29" s="171"/>
      <c r="F29" s="171"/>
      <c r="G29" s="171"/>
      <c r="H29" s="171"/>
      <c r="I29" s="171"/>
      <c r="J29" s="171"/>
      <c r="K29" s="171"/>
      <c r="L29" s="171"/>
      <c r="M29" s="171"/>
      <c r="N29" s="171"/>
      <c r="O29" s="171"/>
      <c r="P29" s="171"/>
      <c r="Q29" s="171"/>
      <c r="R29" s="171"/>
      <c r="S29" s="171"/>
      <c r="T29" s="171"/>
      <c r="U29" s="171"/>
      <c r="V29" s="177"/>
    </row>
    <row r="30" spans="2:22" x14ac:dyDescent="0.3">
      <c r="B30" s="176"/>
      <c r="C30" s="171"/>
      <c r="D30" s="171"/>
      <c r="E30" s="171"/>
      <c r="F30" s="171"/>
      <c r="G30" s="171"/>
      <c r="H30" s="171"/>
      <c r="I30" s="171"/>
      <c r="J30" s="171"/>
      <c r="K30" s="171"/>
      <c r="L30" s="171"/>
      <c r="M30" s="171"/>
      <c r="N30" s="171"/>
      <c r="O30" s="171"/>
      <c r="P30" s="171"/>
      <c r="Q30" s="171"/>
      <c r="R30" s="171"/>
      <c r="S30" s="171"/>
      <c r="T30" s="171"/>
      <c r="U30" s="171"/>
      <c r="V30" s="177"/>
    </row>
    <row r="31" spans="2:22" x14ac:dyDescent="0.3">
      <c r="B31" s="173"/>
      <c r="V31" s="174"/>
    </row>
    <row r="32" spans="2:22" ht="15" thickBot="1" x14ac:dyDescent="0.35">
      <c r="B32" s="178"/>
      <c r="C32" s="179"/>
      <c r="D32" s="179"/>
      <c r="E32" s="179"/>
      <c r="F32" s="179"/>
      <c r="G32" s="179"/>
      <c r="H32" s="179"/>
      <c r="I32" s="179"/>
      <c r="J32" s="179"/>
      <c r="K32" s="179"/>
      <c r="L32" s="179"/>
      <c r="M32" s="179"/>
      <c r="N32" s="179"/>
      <c r="O32" s="179"/>
      <c r="P32" s="179"/>
      <c r="Q32" s="179"/>
      <c r="R32" s="179"/>
      <c r="S32" s="179"/>
      <c r="T32" s="179"/>
      <c r="U32" s="179"/>
      <c r="V32" s="180"/>
    </row>
    <row r="33" ht="15" thickTop="1" x14ac:dyDescent="0.3"/>
  </sheetData>
  <hyperlinks>
    <hyperlink ref="C15" location="Dashboard!A1" display="Dashboard" xr:uid="{A6176B0E-D199-41DC-8251-C6D32D53E1B5}"/>
    <hyperlink ref="C16" location="WACC!A1" display="WACC" xr:uid="{85F82FF2-5F46-44AF-B600-F9E3E6AB55EC}"/>
    <hyperlink ref="C17" location="DCF!A1" display="DCF" xr:uid="{FE892564-0323-4867-A25F-C4681992F01F}"/>
    <hyperlink ref="C19" location="'Financial Model'!A1" display="Financial Model" xr:uid="{63C30573-4367-4A1E-A0E2-7A9E90022256}"/>
    <hyperlink ref="C18" location="'Comparable Company Analysis'!A1" display="Comparable Company Analysis" xr:uid="{D4F84704-15A0-45C3-A862-B991E5C3FAA1}"/>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CC0C-D5D2-43E7-B0E6-8D7A374E30FF}">
  <dimension ref="B1:S121"/>
  <sheetViews>
    <sheetView showGridLines="0" tabSelected="1" topLeftCell="A23" zoomScale="85" zoomScaleNormal="85" workbookViewId="0">
      <selection activeCell="C14" sqref="C14"/>
    </sheetView>
  </sheetViews>
  <sheetFormatPr defaultRowHeight="15.6" x14ac:dyDescent="0.3"/>
  <cols>
    <col min="1" max="1" width="8.88671875" style="164"/>
    <col min="2" max="2" width="28" style="164" customWidth="1"/>
    <col min="3" max="3" width="12.77734375" style="164" bestFit="1" customWidth="1"/>
    <col min="4" max="4" width="10" style="164" customWidth="1"/>
    <col min="5" max="5" width="10" style="164" bestFit="1" customWidth="1"/>
    <col min="6" max="6" width="10.109375" style="164" customWidth="1"/>
    <col min="7" max="7" width="10" style="164" customWidth="1"/>
    <col min="8" max="8" width="11" style="164" customWidth="1"/>
    <col min="9" max="17" width="9" style="164" bestFit="1" customWidth="1"/>
    <col min="18" max="16384" width="8.88671875" style="164"/>
  </cols>
  <sheetData>
    <row r="1" spans="2:19" ht="85.8" customHeight="1" x14ac:dyDescent="0.3">
      <c r="B1" s="187"/>
      <c r="C1" s="187"/>
      <c r="D1" s="187"/>
      <c r="E1" s="187"/>
      <c r="F1" s="187"/>
      <c r="G1" s="187"/>
      <c r="H1" s="187"/>
      <c r="I1" s="187"/>
      <c r="J1" s="187"/>
      <c r="K1" s="187"/>
      <c r="L1" s="187"/>
      <c r="M1" s="187"/>
      <c r="N1" s="187"/>
      <c r="O1" s="187"/>
      <c r="P1" s="187"/>
      <c r="Q1" s="187"/>
      <c r="R1" s="187"/>
      <c r="S1" s="187"/>
    </row>
    <row r="3" spans="2:19" ht="18.600000000000001" customHeight="1" x14ac:dyDescent="0.3">
      <c r="B3" s="326" t="s">
        <v>71</v>
      </c>
      <c r="C3" s="188">
        <v>1</v>
      </c>
    </row>
    <row r="5" spans="2:19" ht="18.600000000000001" customHeight="1" x14ac:dyDescent="0.3">
      <c r="B5" s="186" t="s">
        <v>188</v>
      </c>
      <c r="C5" s="185"/>
      <c r="D5" s="185"/>
      <c r="E5" s="185"/>
      <c r="F5" s="185"/>
      <c r="G5" s="185"/>
      <c r="H5" s="185"/>
      <c r="I5" s="185"/>
      <c r="J5" s="185"/>
      <c r="K5" s="185"/>
      <c r="L5" s="185"/>
      <c r="M5" s="185"/>
      <c r="N5" s="185"/>
      <c r="O5" s="185"/>
      <c r="P5" s="185"/>
      <c r="Q5" s="185"/>
      <c r="R5" s="185"/>
      <c r="S5" s="185"/>
    </row>
    <row r="7" spans="2:19" ht="16.2" thickBot="1" x14ac:dyDescent="0.4">
      <c r="B7" s="163" t="s">
        <v>189</v>
      </c>
      <c r="E7" s="189" t="s">
        <v>210</v>
      </c>
      <c r="I7" s="190"/>
      <c r="J7" s="191">
        <v>2022</v>
      </c>
      <c r="K7" s="191">
        <f t="shared" ref="K7" si="0">J7+1</f>
        <v>2023</v>
      </c>
      <c r="L7" s="191">
        <f t="shared" ref="L7" si="1">K7+1</f>
        <v>2024</v>
      </c>
      <c r="M7" s="192">
        <f t="shared" ref="M7" si="2">L7+1</f>
        <v>2025</v>
      </c>
      <c r="N7" s="192">
        <f t="shared" ref="N7" si="3">M7+1</f>
        <v>2026</v>
      </c>
      <c r="O7" s="192">
        <f t="shared" ref="O7" si="4">N7+1</f>
        <v>2027</v>
      </c>
      <c r="P7" s="192">
        <f t="shared" ref="P7" si="5">O7+1</f>
        <v>2028</v>
      </c>
      <c r="Q7" s="192">
        <f t="shared" ref="Q7" si="6">P7+1</f>
        <v>2029</v>
      </c>
    </row>
    <row r="8" spans="2:19" x14ac:dyDescent="0.35">
      <c r="B8" s="163" t="s">
        <v>190</v>
      </c>
      <c r="E8" s="189" t="s">
        <v>211</v>
      </c>
      <c r="I8" s="190"/>
    </row>
    <row r="9" spans="2:19" x14ac:dyDescent="0.35">
      <c r="B9" s="163" t="s">
        <v>184</v>
      </c>
      <c r="C9" s="193" t="s">
        <v>227</v>
      </c>
      <c r="E9" s="194">
        <f>WACC!D14</f>
        <v>484.26</v>
      </c>
      <c r="G9" s="195" t="s">
        <v>57</v>
      </c>
      <c r="I9" s="190"/>
      <c r="J9" s="196">
        <f>'Financial Model'!E379</f>
        <v>116609</v>
      </c>
      <c r="K9" s="196">
        <f>'Financial Model'!F379</f>
        <v>134902</v>
      </c>
      <c r="L9" s="196">
        <f>'Financial Model'!G379</f>
        <v>164501</v>
      </c>
      <c r="M9" s="196">
        <f>'Financial Model'!H379</f>
        <v>189176.15</v>
      </c>
      <c r="N9" s="196">
        <f>'Financial Model'!I379</f>
        <v>217552.57249999998</v>
      </c>
      <c r="O9" s="196">
        <f>'Financial Model'!J379</f>
        <v>250185.45837499996</v>
      </c>
      <c r="P9" s="196">
        <f>'Financial Model'!K379</f>
        <v>287713.27713124995</v>
      </c>
      <c r="Q9" s="196">
        <f>'Financial Model'!L379</f>
        <v>330870.26870093745</v>
      </c>
    </row>
    <row r="10" spans="2:19" x14ac:dyDescent="0.35">
      <c r="B10" s="163"/>
      <c r="C10" s="193"/>
      <c r="E10" s="194"/>
      <c r="G10" s="195"/>
      <c r="I10" s="190"/>
    </row>
    <row r="11" spans="2:19" x14ac:dyDescent="0.35">
      <c r="B11" s="163" t="s">
        <v>191</v>
      </c>
      <c r="E11" s="197">
        <f>'Comparable Companyn Analysis'!M11</f>
        <v>21.02</v>
      </c>
      <c r="G11" s="195" t="s">
        <v>11</v>
      </c>
      <c r="I11" s="190"/>
      <c r="J11" s="196">
        <f>'Financial Model'!E381</f>
        <v>91360</v>
      </c>
      <c r="K11" s="196">
        <f>'Financial Model'!F381</f>
        <v>108943</v>
      </c>
      <c r="L11" s="196">
        <f>'Financial Model'!G381</f>
        <v>134340</v>
      </c>
      <c r="M11" s="196">
        <f>'Financial Model'!H381</f>
        <v>150493.82665734744</v>
      </c>
      <c r="N11" s="196">
        <f>'Financial Model'!I381</f>
        <v>173067.90065594955</v>
      </c>
      <c r="O11" s="196">
        <f>'Financial Model'!J381</f>
        <v>199028.08575434197</v>
      </c>
      <c r="P11" s="196">
        <f>'Financial Model'!K381</f>
        <v>228882.29861749324</v>
      </c>
      <c r="Q11" s="196">
        <f>'Financial Model'!L381</f>
        <v>263214.64341011725</v>
      </c>
    </row>
    <row r="12" spans="2:19" x14ac:dyDescent="0.35">
      <c r="B12" s="163" t="s">
        <v>202</v>
      </c>
      <c r="E12" s="197">
        <f>'Comparable Companyn Analysis'!L11</f>
        <v>23.87</v>
      </c>
      <c r="G12" s="198" t="s">
        <v>221</v>
      </c>
      <c r="I12" s="190"/>
      <c r="J12" s="199">
        <f t="shared" ref="J12:Q12" si="7">J11/J9</f>
        <v>0.78347297378418479</v>
      </c>
      <c r="K12" s="199">
        <f t="shared" si="7"/>
        <v>0.8075714222176098</v>
      </c>
      <c r="L12" s="199">
        <f t="shared" si="7"/>
        <v>0.81665157050717019</v>
      </c>
      <c r="M12" s="199">
        <f t="shared" si="7"/>
        <v>0.7955221980008973</v>
      </c>
      <c r="N12" s="199">
        <f t="shared" si="7"/>
        <v>0.7955221980008973</v>
      </c>
      <c r="O12" s="199">
        <f t="shared" si="7"/>
        <v>0.7955221980008973</v>
      </c>
      <c r="P12" s="199">
        <f t="shared" si="7"/>
        <v>0.79552219800089718</v>
      </c>
      <c r="Q12" s="199">
        <f t="shared" si="7"/>
        <v>0.7955221980008973</v>
      </c>
    </row>
    <row r="13" spans="2:19" x14ac:dyDescent="0.35">
      <c r="B13" s="163" t="s">
        <v>192</v>
      </c>
      <c r="E13" s="197">
        <f>'Comparable Companyn Analysis'!K11</f>
        <v>14.29</v>
      </c>
      <c r="G13" s="195"/>
      <c r="I13" s="190"/>
    </row>
    <row r="14" spans="2:19" x14ac:dyDescent="0.35">
      <c r="G14" s="195" t="s">
        <v>200</v>
      </c>
      <c r="I14" s="190"/>
      <c r="J14" s="196">
        <f>'Financial Model'!E389+'Financial Model'!E404</f>
        <v>37630</v>
      </c>
      <c r="K14" s="196">
        <f>'Financial Model'!F389+'Financial Model'!F404</f>
        <v>57929</v>
      </c>
      <c r="L14" s="196">
        <f>'Financial Model'!G389+'Financial Model'!E404</f>
        <v>78066</v>
      </c>
      <c r="M14" s="196">
        <f>'Financial Model'!H389+'Financial Model'!H404</f>
        <v>90454.780245116504</v>
      </c>
      <c r="N14" s="196">
        <f>'Financial Model'!I389+'Financial Model'!I404</f>
        <v>105579.5029961697</v>
      </c>
      <c r="O14" s="196">
        <f>'Financial Model'!J389+'Financial Model'!J404</f>
        <v>122972.93415988085</v>
      </c>
      <c r="P14" s="196">
        <f>'Financial Model'!K389+'Financial Model'!K404</f>
        <v>142975.37999814868</v>
      </c>
      <c r="Q14" s="196">
        <f>'Financial Model'!L389+'Financial Model'!L404</f>
        <v>165978.19271215668</v>
      </c>
    </row>
    <row r="15" spans="2:19" x14ac:dyDescent="0.35">
      <c r="B15" s="163" t="s">
        <v>403</v>
      </c>
      <c r="E15" s="200">
        <f>(L9/J9)^(1/6)-1</f>
        <v>5.9024673504312064E-2</v>
      </c>
      <c r="G15" s="198" t="s">
        <v>219</v>
      </c>
      <c r="I15" s="190"/>
      <c r="J15" s="199">
        <f t="shared" ref="J15:Q15" si="8">J14/J9</f>
        <v>0.32270236431150257</v>
      </c>
      <c r="K15" s="199">
        <f t="shared" si="8"/>
        <v>0.42941542749551526</v>
      </c>
      <c r="L15" s="199">
        <f t="shared" si="8"/>
        <v>0.47456246466586827</v>
      </c>
      <c r="M15" s="199">
        <f t="shared" si="8"/>
        <v>0.47815107900819692</v>
      </c>
      <c r="N15" s="199">
        <f t="shared" si="8"/>
        <v>0.48530569775804289</v>
      </c>
      <c r="O15" s="199">
        <f t="shared" si="8"/>
        <v>0.49152710536660454</v>
      </c>
      <c r="P15" s="199">
        <f t="shared" si="8"/>
        <v>0.49693702502622333</v>
      </c>
      <c r="Q15" s="199">
        <f t="shared" si="8"/>
        <v>0.50164130299110921</v>
      </c>
    </row>
    <row r="16" spans="2:19" x14ac:dyDescent="0.35">
      <c r="B16" s="163" t="s">
        <v>193</v>
      </c>
      <c r="C16" s="193" t="s">
        <v>404</v>
      </c>
      <c r="E16" s="201">
        <f>DCF!E57</f>
        <v>1020374.6576883234</v>
      </c>
      <c r="I16" s="190"/>
    </row>
    <row r="17" spans="2:19" x14ac:dyDescent="0.35">
      <c r="G17" s="195" t="s">
        <v>225</v>
      </c>
      <c r="I17" s="190"/>
      <c r="J17" s="196">
        <f>'Financial Model'!E389</f>
        <v>28944</v>
      </c>
      <c r="K17" s="196">
        <f>'Financial Model'!F389</f>
        <v>46751</v>
      </c>
      <c r="L17" s="196">
        <f>'Financial Model'!G389</f>
        <v>69380</v>
      </c>
      <c r="M17" s="196">
        <f>'Financial Model'!H389</f>
        <v>71985.724407347443</v>
      </c>
      <c r="N17" s="196">
        <f>'Financial Model'!I389</f>
        <v>82783.58306844956</v>
      </c>
      <c r="O17" s="196">
        <f>'Financial Model'!J389</f>
        <v>95201.120528716972</v>
      </c>
      <c r="P17" s="196">
        <f>'Financial Model'!K389</f>
        <v>109481.28860802451</v>
      </c>
      <c r="Q17" s="196">
        <f>'Financial Model'!L389</f>
        <v>125903.48189922818</v>
      </c>
    </row>
    <row r="18" spans="2:19" x14ac:dyDescent="0.35">
      <c r="B18" s="163" t="s">
        <v>222</v>
      </c>
      <c r="C18" s="193" t="s">
        <v>404</v>
      </c>
      <c r="E18" s="201">
        <f>'Comparable Companyn Analysis'!I26</f>
        <v>1794956.8</v>
      </c>
      <c r="G18" s="198" t="s">
        <v>226</v>
      </c>
      <c r="I18" s="190"/>
      <c r="J18" s="199">
        <f t="shared" ref="J18:Q18" si="9">J17/J9</f>
        <v>0.24821411726367604</v>
      </c>
      <c r="K18" s="199">
        <f t="shared" si="9"/>
        <v>0.34655527716416362</v>
      </c>
      <c r="L18" s="199">
        <f t="shared" si="9"/>
        <v>0.42176035404040096</v>
      </c>
      <c r="M18" s="199">
        <f t="shared" si="9"/>
        <v>0.38052219800089726</v>
      </c>
      <c r="N18" s="199">
        <f t="shared" si="9"/>
        <v>0.38052219800089732</v>
      </c>
      <c r="O18" s="199">
        <f t="shared" si="9"/>
        <v>0.38052219800089726</v>
      </c>
      <c r="P18" s="199">
        <f t="shared" si="9"/>
        <v>0.3805221980008972</v>
      </c>
      <c r="Q18" s="199">
        <f t="shared" si="9"/>
        <v>0.3805221980008972</v>
      </c>
    </row>
    <row r="19" spans="2:19" x14ac:dyDescent="0.35">
      <c r="B19" s="163" t="s">
        <v>223</v>
      </c>
      <c r="C19" s="193" t="s">
        <v>404</v>
      </c>
      <c r="E19" s="201">
        <f>'Comparable Companyn Analysis'!I27</f>
        <v>1077476.3999999999</v>
      </c>
      <c r="I19" s="190"/>
    </row>
    <row r="20" spans="2:19" x14ac:dyDescent="0.35">
      <c r="B20" s="163" t="s">
        <v>224</v>
      </c>
      <c r="C20" s="193" t="s">
        <v>404</v>
      </c>
      <c r="E20" s="201">
        <f>'Comparable Companyn Analysis'!I24</f>
        <v>1347473.4</v>
      </c>
      <c r="G20" s="195" t="s">
        <v>112</v>
      </c>
      <c r="I20" s="190"/>
      <c r="J20" s="196">
        <f>'Financial Model'!E395</f>
        <v>23200</v>
      </c>
      <c r="K20" s="196">
        <f>'Financial Model'!F395</f>
        <v>39098</v>
      </c>
      <c r="L20" s="196">
        <f>'Financial Model'!G395</f>
        <v>62360</v>
      </c>
      <c r="M20" s="196">
        <f>'Financial Model'!H395</f>
        <v>59653.202876782314</v>
      </c>
      <c r="N20" s="196">
        <f>'Financial Model'!I395</f>
        <v>68601.18330829966</v>
      </c>
      <c r="O20" s="196">
        <f>'Financial Model'!J395</f>
        <v>78891.360804544587</v>
      </c>
      <c r="P20" s="196">
        <f>'Financial Model'!K395</f>
        <v>90725.064925226266</v>
      </c>
      <c r="Q20" s="196">
        <f>'Financial Model'!L395</f>
        <v>104333.82466401022</v>
      </c>
    </row>
    <row r="21" spans="2:19" x14ac:dyDescent="0.35">
      <c r="G21" s="198" t="s">
        <v>220</v>
      </c>
      <c r="I21" s="190"/>
      <c r="J21" s="199">
        <f>'Financial Model'!E395/'Financial Model'!E381</f>
        <v>0.25394045534150611</v>
      </c>
      <c r="K21" s="199">
        <f>'Financial Model'!F395/'Financial Model'!F381</f>
        <v>0.35888492147269674</v>
      </c>
      <c r="L21" s="199">
        <f>'Financial Model'!G395/'Financial Model'!G381</f>
        <v>0.46419532529403007</v>
      </c>
      <c r="M21" s="199">
        <f>'Financial Model'!H395/'Financial Model'!H381</f>
        <v>0.39638305571566057</v>
      </c>
      <c r="N21" s="199">
        <f>'Financial Model'!I395/'Financial Model'!I381</f>
        <v>0.39638305571566057</v>
      </c>
      <c r="O21" s="199">
        <f>'Financial Model'!J395/'Financial Model'!J381</f>
        <v>0.39638305571566051</v>
      </c>
      <c r="P21" s="199">
        <f>'Financial Model'!K395/'Financial Model'!K381</f>
        <v>0.39638305571566051</v>
      </c>
      <c r="Q21" s="199">
        <f>'Financial Model'!L395/'Financial Model'!L381</f>
        <v>0.39638305571566051</v>
      </c>
    </row>
    <row r="24" spans="2:19" x14ac:dyDescent="0.3">
      <c r="B24" s="202" t="s">
        <v>228</v>
      </c>
      <c r="C24" s="203"/>
      <c r="D24" s="203"/>
      <c r="E24" s="203"/>
      <c r="F24" s="203"/>
      <c r="G24" s="203"/>
      <c r="H24" s="203"/>
      <c r="J24" s="202" t="s">
        <v>214</v>
      </c>
      <c r="K24" s="203"/>
      <c r="L24" s="203"/>
      <c r="M24" s="203"/>
      <c r="N24" s="203"/>
      <c r="O24" s="203"/>
      <c r="P24" s="203"/>
      <c r="Q24" s="203"/>
      <c r="R24" s="203"/>
      <c r="S24" s="203"/>
    </row>
    <row r="38" spans="2:8" x14ac:dyDescent="0.3">
      <c r="B38" s="202" t="s">
        <v>229</v>
      </c>
      <c r="C38" s="203"/>
      <c r="D38" s="203"/>
      <c r="E38" s="203"/>
      <c r="F38" s="203"/>
      <c r="G38" s="203"/>
      <c r="H38" s="203"/>
    </row>
    <row r="53" spans="2:19" ht="18.600000000000001" customHeight="1" x14ac:dyDescent="0.3">
      <c r="B53" s="186" t="s">
        <v>398</v>
      </c>
      <c r="C53" s="185"/>
      <c r="D53" s="185"/>
      <c r="E53" s="185"/>
      <c r="F53" s="185"/>
      <c r="G53" s="185"/>
      <c r="H53" s="185"/>
      <c r="I53" s="185"/>
      <c r="J53" s="185"/>
      <c r="K53" s="185"/>
      <c r="L53" s="185"/>
      <c r="M53" s="185"/>
      <c r="N53" s="185"/>
      <c r="O53" s="185"/>
      <c r="P53" s="185"/>
      <c r="Q53" s="185"/>
      <c r="R53" s="185"/>
      <c r="S53" s="185"/>
    </row>
    <row r="55" spans="2:19" ht="16.2" thickBot="1" x14ac:dyDescent="0.35">
      <c r="F55" s="191">
        <v>2022</v>
      </c>
      <c r="G55" s="191">
        <f t="shared" ref="G55" si="10">F55+1</f>
        <v>2023</v>
      </c>
      <c r="H55" s="191">
        <f t="shared" ref="H55" si="11">G55+1</f>
        <v>2024</v>
      </c>
      <c r="I55" s="192">
        <f t="shared" ref="I55" si="12">H55+1</f>
        <v>2025</v>
      </c>
      <c r="J55" s="192">
        <f t="shared" ref="J55" si="13">I55+1</f>
        <v>2026</v>
      </c>
      <c r="K55" s="192">
        <f t="shared" ref="K55" si="14">J55+1</f>
        <v>2027</v>
      </c>
      <c r="L55" s="192">
        <f t="shared" ref="L55" si="15">K55+1</f>
        <v>2028</v>
      </c>
      <c r="M55" s="192">
        <f t="shared" ref="M55" si="16">L55+1</f>
        <v>2029</v>
      </c>
    </row>
    <row r="56" spans="2:19" x14ac:dyDescent="0.3">
      <c r="F56" s="200"/>
      <c r="G56" s="200"/>
      <c r="H56" s="200"/>
    </row>
    <row r="57" spans="2:19" x14ac:dyDescent="0.35">
      <c r="B57" s="359" t="s">
        <v>386</v>
      </c>
      <c r="C57" s="204"/>
      <c r="D57" s="204"/>
      <c r="F57" s="364">
        <v>365</v>
      </c>
      <c r="G57" s="364">
        <v>365</v>
      </c>
      <c r="H57" s="364">
        <v>365</v>
      </c>
      <c r="I57" s="364">
        <v>365</v>
      </c>
      <c r="J57" s="364">
        <v>365</v>
      </c>
      <c r="K57" s="364">
        <v>365</v>
      </c>
      <c r="L57" s="364">
        <v>365</v>
      </c>
      <c r="M57" s="364">
        <v>365</v>
      </c>
    </row>
    <row r="58" spans="2:19" x14ac:dyDescent="0.3">
      <c r="F58"/>
      <c r="G58"/>
      <c r="H58"/>
      <c r="I58"/>
      <c r="J58"/>
      <c r="K58"/>
      <c r="L58"/>
      <c r="M58"/>
    </row>
    <row r="59" spans="2:19" x14ac:dyDescent="0.3">
      <c r="B59" s="205" t="s">
        <v>387</v>
      </c>
      <c r="C59" s="206"/>
      <c r="D59" s="206"/>
      <c r="F59" s="207">
        <f>'Financial Model'!E381/'Financial Model'!E379</f>
        <v>0.78347297378418479</v>
      </c>
      <c r="G59" s="207">
        <f>'Financial Model'!F381/'Financial Model'!F379</f>
        <v>0.8075714222176098</v>
      </c>
      <c r="H59" s="207">
        <f>'Financial Model'!G381/'Financial Model'!G379</f>
        <v>0.81665157050717019</v>
      </c>
      <c r="I59" s="207">
        <f>'Financial Model'!H381/'Financial Model'!H379</f>
        <v>0.7955221980008973</v>
      </c>
      <c r="J59" s="207">
        <f>'Financial Model'!I381/'Financial Model'!I379</f>
        <v>0.7955221980008973</v>
      </c>
      <c r="K59" s="207">
        <f>'Financial Model'!J381/'Financial Model'!J379</f>
        <v>0.7955221980008973</v>
      </c>
      <c r="L59" s="207">
        <f>'Financial Model'!K381/'Financial Model'!K379</f>
        <v>0.79552219800089718</v>
      </c>
      <c r="M59" s="207">
        <f>'Financial Model'!L381/'Financial Model'!L379</f>
        <v>0.7955221980008973</v>
      </c>
    </row>
    <row r="60" spans="2:19" x14ac:dyDescent="0.3">
      <c r="B60" s="205" t="s">
        <v>388</v>
      </c>
      <c r="C60" s="206"/>
      <c r="D60" s="206"/>
      <c r="F60" s="207">
        <f>'Financial Model'!E389/'Financial Model'!E379</f>
        <v>0.24821411726367604</v>
      </c>
      <c r="G60" s="207">
        <f>'Financial Model'!F389/'Financial Model'!F379</f>
        <v>0.34655527716416362</v>
      </c>
      <c r="H60" s="207">
        <f>'Financial Model'!G389/'Financial Model'!G379</f>
        <v>0.42176035404040096</v>
      </c>
      <c r="I60" s="207">
        <f>'Financial Model'!H389/'Financial Model'!H379</f>
        <v>0.38052219800089726</v>
      </c>
      <c r="J60" s="207">
        <f>'Financial Model'!I389/'Financial Model'!I379</f>
        <v>0.38052219800089732</v>
      </c>
      <c r="K60" s="207">
        <f>'Financial Model'!J389/'Financial Model'!J379</f>
        <v>0.38052219800089726</v>
      </c>
      <c r="L60" s="207">
        <f>'Financial Model'!K389/'Financial Model'!K379</f>
        <v>0.3805221980008972</v>
      </c>
      <c r="M60" s="207">
        <f>'Financial Model'!L389/'Financial Model'!L379</f>
        <v>0.3805221980008972</v>
      </c>
    </row>
    <row r="61" spans="2:19" x14ac:dyDescent="0.3">
      <c r="B61" s="205" t="s">
        <v>389</v>
      </c>
      <c r="C61" s="206"/>
      <c r="D61" s="206"/>
      <c r="F61" s="207">
        <f>'Financial Model'!E395/'Financial Model'!E379</f>
        <v>0.19895548371051977</v>
      </c>
      <c r="G61" s="207">
        <f>'Financial Model'!F395/'Financial Model'!F379</f>
        <v>0.28982520644616094</v>
      </c>
      <c r="H61" s="207">
        <f>'Financial Model'!G395/'Financial Model'!G379</f>
        <v>0.37908584142345642</v>
      </c>
      <c r="I61" s="207">
        <f>'Financial Model'!H395/'Financial Model'!H379</f>
        <v>0.31533151973323442</v>
      </c>
      <c r="J61" s="207">
        <f>'Financial Model'!I395/'Financial Model'!I379</f>
        <v>0.31533151973323442</v>
      </c>
      <c r="K61" s="207">
        <f>'Financial Model'!J395/'Financial Model'!J379</f>
        <v>0.31533151973323437</v>
      </c>
      <c r="L61" s="207">
        <f>'Financial Model'!K395/'Financial Model'!K379</f>
        <v>0.31533151973323437</v>
      </c>
      <c r="M61" s="207">
        <f>'Financial Model'!L395/'Financial Model'!L379</f>
        <v>0.31533151973323437</v>
      </c>
    </row>
    <row r="62" spans="2:19" x14ac:dyDescent="0.3">
      <c r="B62" s="205" t="s">
        <v>390</v>
      </c>
      <c r="C62" s="206"/>
      <c r="D62" s="206"/>
      <c r="F62" s="207">
        <f>'Financial Model'!E395/AVERAGE('Financial Model'!D461:E461)</f>
        <v>0.12491452508251358</v>
      </c>
      <c r="G62" s="207">
        <f>'Financial Model'!F395/AVERAGE('Financial Model'!E461:F461)</f>
        <v>0.18826531840616348</v>
      </c>
      <c r="H62" s="207">
        <f>'Financial Model'!G395/AVERAGE('Financial Model'!F461:G461)</f>
        <v>0.24663965337557373</v>
      </c>
      <c r="I62" s="207">
        <f>'Financial Model'!H395/AVERAGE('Financial Model'!G461:H461)</f>
        <v>0.20092164292493114</v>
      </c>
      <c r="J62" s="207">
        <f>'Financial Model'!I395/AVERAGE('Financial Model'!H461:I461)</f>
        <v>0.20089079723911527</v>
      </c>
      <c r="K62" s="207">
        <f>'Financial Model'!J395/AVERAGE('Financial Model'!I461:J461)</f>
        <v>0.20202123166122488</v>
      </c>
      <c r="L62" s="207">
        <f>'Financial Model'!K395/AVERAGE('Financial Model'!J461:K461)</f>
        <v>0.20296197262744753</v>
      </c>
      <c r="M62" s="207">
        <f>'Financial Model'!L395/AVERAGE('Financial Model'!K461:L461)</f>
        <v>0.20329517278349471</v>
      </c>
      <c r="N62" s="207"/>
      <c r="O62" s="207"/>
      <c r="P62" s="207"/>
    </row>
    <row r="63" spans="2:19" x14ac:dyDescent="0.3">
      <c r="B63" s="205" t="s">
        <v>391</v>
      </c>
      <c r="C63" s="206"/>
      <c r="D63" s="206"/>
      <c r="F63" s="207">
        <f>'Financial Model'!E395/'Financial Model'!E483</f>
        <v>0.18454734196145187</v>
      </c>
      <c r="G63" s="207">
        <f>'Financial Model'!F395/'Financial Model'!F483</f>
        <v>0.25526219575890524</v>
      </c>
      <c r="H63" s="207">
        <f>'Financial Model'!G395/'Financial Model'!G483</f>
        <v>0.34144231453648494</v>
      </c>
      <c r="I63" s="207">
        <f>'Financial Model'!H395/'Financial Model'!H483</f>
        <v>0.28515280093592132</v>
      </c>
      <c r="J63" s="207">
        <f>'Financial Model'!I395/'Financial Model'!I483</f>
        <v>0.29157390643221487</v>
      </c>
      <c r="K63" s="207">
        <f>'Financial Model'!J395/'Financial Model'!J483</f>
        <v>0.29968823461119015</v>
      </c>
      <c r="L63" s="207">
        <f>'Financial Model'!K395/'Financial Model'!K483</f>
        <v>0.30609185864581806</v>
      </c>
      <c r="M63" s="207">
        <f>'Financial Model'!L395/'Financial Model'!L483</f>
        <v>0.3135304332251464</v>
      </c>
      <c r="N63" s="207"/>
      <c r="O63" s="207"/>
      <c r="P63" s="207"/>
    </row>
    <row r="64" spans="2:19" x14ac:dyDescent="0.3">
      <c r="B64" s="205"/>
      <c r="C64" s="206"/>
      <c r="D64" s="206"/>
      <c r="F64" s="207"/>
      <c r="G64" s="207"/>
      <c r="H64" s="207"/>
      <c r="I64" s="207"/>
      <c r="J64" s="207"/>
      <c r="K64" s="207"/>
      <c r="L64" s="207"/>
      <c r="M64" s="207"/>
      <c r="N64" s="207"/>
      <c r="O64" s="207"/>
      <c r="P64" s="207"/>
    </row>
    <row r="65" spans="2:16" x14ac:dyDescent="0.3">
      <c r="B65" s="359" t="s">
        <v>392</v>
      </c>
      <c r="C65" s="204"/>
      <c r="D65" s="204"/>
      <c r="F65" s="207"/>
      <c r="G65" s="207"/>
      <c r="H65" s="207"/>
      <c r="I65" s="207"/>
      <c r="J65" s="207"/>
      <c r="K65" s="207"/>
      <c r="L65" s="207"/>
      <c r="M65" s="207"/>
      <c r="N65" s="207"/>
      <c r="O65" s="207"/>
      <c r="P65" s="207"/>
    </row>
    <row r="66" spans="2:16" x14ac:dyDescent="0.3">
      <c r="B66" s="205"/>
      <c r="C66" s="206"/>
      <c r="D66" s="206"/>
      <c r="F66" s="207"/>
      <c r="G66" s="207"/>
      <c r="H66" s="207"/>
      <c r="I66" s="207"/>
      <c r="J66" s="207"/>
      <c r="K66" s="207"/>
      <c r="L66" s="207"/>
      <c r="M66" s="207"/>
      <c r="N66" s="207"/>
      <c r="O66" s="207"/>
      <c r="P66" s="207"/>
    </row>
    <row r="67" spans="2:16" x14ac:dyDescent="0.3">
      <c r="B67" s="205" t="s">
        <v>393</v>
      </c>
      <c r="C67" s="205"/>
      <c r="D67" s="205"/>
      <c r="F67" s="363">
        <f>'Financial Model'!E379/AVERAGE('Financial Model'!D461:E461)</f>
        <v>0.6278516316959839</v>
      </c>
      <c r="G67" s="363">
        <f>'Financial Model'!F379/AVERAGE('Financial Model'!E461:F461)</f>
        <v>0.64958228000481522</v>
      </c>
      <c r="H67" s="363">
        <f>'Financial Model'!G379/AVERAGE('Financial Model'!F461:G461)</f>
        <v>0.65061689576547876</v>
      </c>
      <c r="I67" s="363">
        <f>'Financial Model'!H379/AVERAGE('Financial Model'!G461:H461)</f>
        <v>0.63717589378603112</v>
      </c>
      <c r="J67" s="363">
        <f>'Financial Model'!I379/AVERAGE('Financial Model'!H461:I461)</f>
        <v>0.63707807392380489</v>
      </c>
      <c r="K67" s="363">
        <f>'Financial Model'!J379/AVERAGE('Financial Model'!I461:J461)</f>
        <v>0.64066298171566149</v>
      </c>
      <c r="L67" s="363">
        <f>'Financial Model'!K379/AVERAGE('Financial Model'!J461:K461)</f>
        <v>0.64364632117699572</v>
      </c>
      <c r="M67" s="363">
        <f>'Financial Model'!L379/AVERAGE('Financial Model'!K461:L461)</f>
        <v>0.64470298736859333</v>
      </c>
      <c r="N67" s="207"/>
      <c r="O67" s="207"/>
      <c r="P67" s="207"/>
    </row>
    <row r="68" spans="2:16" x14ac:dyDescent="0.3">
      <c r="B68" s="205" t="s">
        <v>394</v>
      </c>
      <c r="C68" s="205"/>
      <c r="D68" s="205"/>
      <c r="F68" s="363">
        <f>'Financial Model'!E379/AVERAGE('Financial Model'!D450:E450)</f>
        <v>8.6595128471706513</v>
      </c>
      <c r="G68" s="363">
        <f>'Financial Model'!F379/AVERAGE('Financial Model'!E450:F450)</f>
        <v>9.1042348574320897</v>
      </c>
      <c r="H68" s="363">
        <f>'Financial Model'!G379/AVERAGE('Financial Model'!F450:G450)</f>
        <v>9.9207550583481598</v>
      </c>
      <c r="I68" s="363">
        <f>'Financial Model'!H379/AVERAGE('Financial Model'!G450:H450)</f>
        <v>10.312403490580374</v>
      </c>
      <c r="J68" s="363">
        <f>'Financial Model'!I379/AVERAGE('Financial Model'!H450:I450)</f>
        <v>9.7276940903823856</v>
      </c>
      <c r="K68" s="363">
        <f>'Financial Model'!J379/AVERAGE('Financial Model'!I450:J450)</f>
        <v>9.2967884828349945</v>
      </c>
      <c r="L68" s="363">
        <f>'Financial Model'!K379/AVERAGE('Financial Model'!J450:K450)</f>
        <v>9.2967884828349945</v>
      </c>
      <c r="M68" s="363">
        <f>'Financial Model'!L379/AVERAGE('Financial Model'!K450:L450)</f>
        <v>9.2967884828349963</v>
      </c>
      <c r="N68" s="207"/>
      <c r="O68" s="207"/>
      <c r="P68" s="207"/>
    </row>
    <row r="69" spans="2:16" x14ac:dyDescent="0.3">
      <c r="B69" s="205" t="s">
        <v>395</v>
      </c>
      <c r="C69" s="205"/>
      <c r="D69" s="205"/>
      <c r="F69" s="363">
        <f>F57/F68</f>
        <v>42.150177087531844</v>
      </c>
      <c r="G69" s="363">
        <f t="shared" ref="G69:H69" si="17">G57/G68</f>
        <v>40.091232894990441</v>
      </c>
      <c r="H69" s="363">
        <f t="shared" si="17"/>
        <v>36.79155445863551</v>
      </c>
      <c r="I69" s="363">
        <f t="shared" ref="I69" si="18">I57/I68</f>
        <v>35.39427063083798</v>
      </c>
      <c r="J69" s="363">
        <f t="shared" ref="J69" si="19">J57/J68</f>
        <v>37.521739130434788</v>
      </c>
      <c r="K69" s="363">
        <f t="shared" ref="K69" si="20">K57/K68</f>
        <v>39.260869565217391</v>
      </c>
      <c r="L69" s="363">
        <f t="shared" ref="L69" si="21">L57/L68</f>
        <v>39.260869565217391</v>
      </c>
      <c r="M69" s="363">
        <f t="shared" ref="M69" si="22">M57/M68</f>
        <v>39.260869565217384</v>
      </c>
      <c r="N69" s="207"/>
      <c r="O69" s="207"/>
      <c r="P69" s="207"/>
    </row>
    <row r="70" spans="2:16" x14ac:dyDescent="0.3">
      <c r="F70" s="207"/>
      <c r="G70" s="207"/>
      <c r="H70" s="207"/>
      <c r="I70" s="207"/>
      <c r="J70" s="207"/>
      <c r="K70" s="207"/>
      <c r="L70" s="207"/>
      <c r="M70" s="207"/>
      <c r="N70" s="207"/>
      <c r="O70" s="207"/>
      <c r="P70" s="207"/>
    </row>
    <row r="71" spans="2:16" x14ac:dyDescent="0.3">
      <c r="B71" s="359" t="s">
        <v>194</v>
      </c>
      <c r="C71" s="204"/>
      <c r="D71" s="204"/>
      <c r="F71" s="207"/>
      <c r="G71" s="207"/>
      <c r="H71" s="207"/>
      <c r="I71" s="207"/>
      <c r="J71" s="207"/>
      <c r="K71" s="207"/>
      <c r="L71" s="207"/>
      <c r="M71" s="207"/>
      <c r="N71" s="207"/>
      <c r="O71" s="207"/>
      <c r="P71" s="207"/>
    </row>
    <row r="72" spans="2:16" x14ac:dyDescent="0.3">
      <c r="F72" s="207"/>
      <c r="G72" s="207"/>
      <c r="H72" s="207"/>
      <c r="I72" s="207"/>
      <c r="J72" s="207"/>
      <c r="K72" s="207"/>
      <c r="L72" s="207"/>
      <c r="M72" s="207"/>
      <c r="N72" s="207"/>
      <c r="O72" s="207"/>
      <c r="P72" s="207"/>
    </row>
    <row r="73" spans="2:16" x14ac:dyDescent="0.3">
      <c r="B73" s="205" t="s">
        <v>195</v>
      </c>
      <c r="C73" s="206"/>
      <c r="D73" s="206"/>
      <c r="F73" s="363">
        <f>'Financial Model'!E452/'Financial Model'!E469</f>
        <v>2.2033967290757048</v>
      </c>
      <c r="G73" s="363">
        <f>'Financial Model'!F452/'Financial Model'!F469</f>
        <v>2.6709949937421777</v>
      </c>
      <c r="H73" s="363">
        <f>'Financial Model'!G452/'Financial Model'!G469</f>
        <v>2.9778842719371355</v>
      </c>
      <c r="I73" s="363">
        <f>'Financial Model'!H452/'Financial Model'!H469</f>
        <v>3.6642670697129347</v>
      </c>
      <c r="J73" s="363">
        <f>'Financial Model'!I452/'Financial Model'!I469</f>
        <v>4.1712277144790564</v>
      </c>
      <c r="K73" s="363">
        <f>'Financial Model'!J452/'Financial Model'!J469</f>
        <v>4.8177250881804463</v>
      </c>
      <c r="L73" s="363">
        <f>'Financial Model'!K452/'Financial Model'!K469</f>
        <v>5.2682220791966632</v>
      </c>
      <c r="M73" s="363">
        <f>'Financial Model'!L452/'Financial Model'!L469</f>
        <v>5.670957494010227</v>
      </c>
      <c r="N73" s="207"/>
      <c r="O73" s="207"/>
      <c r="P73" s="207"/>
    </row>
    <row r="74" spans="2:16" x14ac:dyDescent="0.3">
      <c r="B74" s="205" t="s">
        <v>196</v>
      </c>
      <c r="C74" s="206"/>
      <c r="D74" s="206"/>
      <c r="F74" s="363">
        <f>('Financial Model'!E452-'Financial Model'!E451)/'Financial Model'!E469</f>
        <v>2.0056242137201212</v>
      </c>
      <c r="G74" s="363">
        <f>('Financial Model'!F452-'Financial Model'!F451)/'Financial Model'!F469</f>
        <v>2.5523153942428034</v>
      </c>
      <c r="H74" s="363">
        <f>('Financial Model'!G452-'Financial Model'!G451)/'Financial Model'!G469</f>
        <v>2.8220323848077151</v>
      </c>
      <c r="I74" s="363">
        <f>('Financial Model'!H452-'Financial Model'!H451)/'Financial Model'!H469</f>
        <v>3.488804696347954</v>
      </c>
      <c r="J74" s="363">
        <f>('Financial Model'!I452-'Financial Model'!I451)/'Financial Model'!I469</f>
        <v>3.9615781597449988</v>
      </c>
      <c r="K74" s="363">
        <f>('Financial Model'!J452-'Financial Model'!J451)/'Financial Model'!J469</f>
        <v>4.5948408642669767</v>
      </c>
      <c r="L74" s="363">
        <f>('Financial Model'!K452-'Financial Model'!K451)/'Financial Model'!K469</f>
        <v>5.0336071066561683</v>
      </c>
      <c r="M74" s="363">
        <f>('Financial Model'!L452-'Financial Model'!L451)/'Financial Model'!L469</f>
        <v>5.436342521469733</v>
      </c>
      <c r="N74" s="207"/>
      <c r="O74" s="207"/>
      <c r="P74" s="207"/>
    </row>
    <row r="75" spans="2:16" x14ac:dyDescent="0.3">
      <c r="F75" s="207"/>
      <c r="G75" s="207"/>
      <c r="H75" s="207"/>
      <c r="I75" s="207"/>
      <c r="J75" s="207"/>
      <c r="K75" s="207"/>
      <c r="L75" s="207"/>
      <c r="M75" s="207"/>
      <c r="N75" s="207"/>
      <c r="O75" s="207"/>
      <c r="P75" s="207"/>
    </row>
    <row r="76" spans="2:16" x14ac:dyDescent="0.3">
      <c r="B76" s="359" t="s">
        <v>396</v>
      </c>
      <c r="C76" s="204"/>
      <c r="D76" s="204"/>
      <c r="F76" s="207"/>
      <c r="G76" s="207"/>
      <c r="H76" s="207"/>
      <c r="I76" s="207"/>
      <c r="J76" s="207"/>
      <c r="K76" s="207"/>
      <c r="L76" s="207"/>
      <c r="M76" s="207"/>
      <c r="N76" s="207"/>
      <c r="O76" s="207"/>
      <c r="P76" s="207"/>
    </row>
    <row r="77" spans="2:16" x14ac:dyDescent="0.3">
      <c r="F77" s="207"/>
      <c r="G77" s="207"/>
      <c r="H77" s="207"/>
      <c r="I77" s="207"/>
      <c r="J77" s="207"/>
      <c r="K77" s="207"/>
      <c r="L77" s="207"/>
      <c r="M77" s="207"/>
      <c r="N77" s="207"/>
      <c r="O77" s="207"/>
      <c r="P77" s="207"/>
    </row>
    <row r="78" spans="2:16" x14ac:dyDescent="0.3">
      <c r="B78" s="205" t="s">
        <v>397</v>
      </c>
      <c r="C78" s="206"/>
      <c r="D78" s="206"/>
      <c r="F78" s="363">
        <f>'Financial Model'!E473/'Financial Model'!E483</f>
        <v>7.8933761822564091E-2</v>
      </c>
      <c r="G78" s="363">
        <f>'Financial Model'!F473/'Financial Model'!F483</f>
        <v>0.12003159928966886</v>
      </c>
      <c r="H78" s="363">
        <f>'Financial Model'!G473/'Financial Model'!G483</f>
        <v>0.157832202675252</v>
      </c>
      <c r="I78" s="363">
        <f>'Financial Model'!H473/'Financial Model'!H483</f>
        <v>0.19550527253367955</v>
      </c>
      <c r="J78" s="363">
        <f>'Financial Model'!I473/'Financial Model'!I483</f>
        <v>0.23287823148091372</v>
      </c>
      <c r="K78" s="363">
        <f>'Financial Model'!J473/'Financial Model'!J483</f>
        <v>0.26882700538233661</v>
      </c>
      <c r="L78" s="363">
        <f>'Financial Model'!K473/'Financial Model'!K483</f>
        <v>0.30074299886832023</v>
      </c>
      <c r="M78" s="363">
        <f>'Financial Model'!L473/'Financial Model'!L483</f>
        <v>0.33136273586795373</v>
      </c>
      <c r="N78" s="207"/>
      <c r="O78" s="207"/>
      <c r="P78" s="207"/>
    </row>
    <row r="79" spans="2:16" x14ac:dyDescent="0.3">
      <c r="B79" s="205" t="s">
        <v>399</v>
      </c>
      <c r="C79" s="206"/>
      <c r="D79" s="206"/>
      <c r="F79" s="363">
        <f>'Financial Model'!E389/'Financial Model'!E391</f>
        <v>-231.55199999999999</v>
      </c>
      <c r="G79" s="363">
        <f>'Financial Model'!F389/'Financial Model'!F391</f>
        <v>69.056129985228949</v>
      </c>
      <c r="H79" s="363">
        <f>'Financial Model'!G389/'Financial Model'!G391</f>
        <v>54.076383476227591</v>
      </c>
      <c r="I79" s="363">
        <f>'Financial Model'!H389/'Financial Model'!H391</f>
        <v>97.188978840383015</v>
      </c>
      <c r="J79" s="363">
        <f>'Financial Model'!I389/'Financial Model'!I391</f>
        <v>97.188978840383015</v>
      </c>
      <c r="K79" s="363">
        <f>'Financial Model'!J389/'Financial Model'!J391</f>
        <v>97.188978840383001</v>
      </c>
      <c r="L79" s="363">
        <f>'Financial Model'!K389/'Financial Model'!K391</f>
        <v>97.188978840383001</v>
      </c>
      <c r="M79" s="363">
        <f>'Financial Model'!L389/'Financial Model'!L391</f>
        <v>97.188978840382987</v>
      </c>
      <c r="N79" s="207"/>
      <c r="O79" s="207"/>
      <c r="P79" s="207"/>
    </row>
    <row r="81" spans="2:19" ht="18.600000000000001" customHeight="1" x14ac:dyDescent="0.3">
      <c r="B81" s="186" t="s">
        <v>182</v>
      </c>
      <c r="C81" s="186"/>
      <c r="D81" s="186"/>
      <c r="E81" s="186"/>
      <c r="F81" s="186"/>
      <c r="G81" s="186"/>
      <c r="H81" s="186"/>
      <c r="I81" s="186"/>
      <c r="J81" s="186"/>
      <c r="K81" s="186"/>
      <c r="L81" s="186"/>
      <c r="M81" s="186"/>
      <c r="N81" s="186"/>
      <c r="O81" s="186"/>
      <c r="P81" s="186"/>
      <c r="Q81" s="186"/>
      <c r="R81" s="186"/>
      <c r="S81" s="186"/>
    </row>
    <row r="83" spans="2:19" x14ac:dyDescent="0.3">
      <c r="B83" s="360" t="s">
        <v>174</v>
      </c>
      <c r="C83" s="209"/>
      <c r="D83" s="210">
        <f>DCF!E57</f>
        <v>1020374.6576883234</v>
      </c>
      <c r="F83" s="360" t="s">
        <v>127</v>
      </c>
      <c r="G83" s="209"/>
      <c r="H83" s="209"/>
      <c r="I83" s="211">
        <f>WACC!C10</f>
        <v>0.03</v>
      </c>
    </row>
    <row r="84" spans="2:19" x14ac:dyDescent="0.3">
      <c r="B84" s="361" t="s">
        <v>178</v>
      </c>
      <c r="D84" s="212">
        <f>DCF!E63</f>
        <v>1069363.6576883234</v>
      </c>
      <c r="F84" s="361" t="s">
        <v>3</v>
      </c>
      <c r="I84" s="213">
        <f>WACC!N18</f>
        <v>9.4732818327027513E-2</v>
      </c>
    </row>
    <row r="85" spans="2:19" x14ac:dyDescent="0.3">
      <c r="B85" s="362" t="s">
        <v>183</v>
      </c>
      <c r="C85" s="215"/>
      <c r="D85" s="216">
        <f>DCF!J63</f>
        <v>422.1727823483314</v>
      </c>
      <c r="F85" s="361" t="s">
        <v>175</v>
      </c>
      <c r="I85" s="212">
        <f>DCF!N58</f>
        <v>-48989</v>
      </c>
    </row>
    <row r="86" spans="2:19" x14ac:dyDescent="0.3">
      <c r="F86" s="361" t="s">
        <v>180</v>
      </c>
      <c r="I86" s="212">
        <f>WACC!D15</f>
        <v>2533</v>
      </c>
    </row>
    <row r="87" spans="2:19" x14ac:dyDescent="0.3">
      <c r="F87" s="362" t="s">
        <v>184</v>
      </c>
      <c r="G87" s="215"/>
      <c r="H87" s="215"/>
      <c r="I87" s="216">
        <f>WACC!D14</f>
        <v>484.26</v>
      </c>
    </row>
    <row r="90" spans="2:19" x14ac:dyDescent="0.3">
      <c r="D90" s="217" t="s">
        <v>174</v>
      </c>
      <c r="E90" s="218"/>
      <c r="F90" s="218"/>
      <c r="G90" s="218"/>
      <c r="H90" s="218"/>
      <c r="L90" s="217" t="s">
        <v>183</v>
      </c>
      <c r="M90" s="218"/>
      <c r="N90" s="218"/>
      <c r="O90" s="218"/>
      <c r="P90" s="218"/>
    </row>
    <row r="92" spans="2:19" x14ac:dyDescent="0.3">
      <c r="D92" s="206" t="s">
        <v>163</v>
      </c>
      <c r="E92" s="206"/>
      <c r="F92" s="206"/>
      <c r="G92" s="206"/>
      <c r="H92" s="206"/>
      <c r="L92" s="206" t="s">
        <v>163</v>
      </c>
      <c r="M92" s="206"/>
      <c r="N92" s="206"/>
      <c r="O92" s="206"/>
      <c r="P92" s="206"/>
    </row>
    <row r="93" spans="2:19" x14ac:dyDescent="0.3">
      <c r="B93" s="206"/>
      <c r="C93" s="219">
        <f>DCF!E61</f>
        <v>1020374.6576883234</v>
      </c>
      <c r="D93" s="220">
        <f>E93-0.5%</f>
        <v>1.9999999999999997E-2</v>
      </c>
      <c r="E93" s="220">
        <f>F93-0.5%</f>
        <v>2.4999999999999998E-2</v>
      </c>
      <c r="F93" s="220">
        <f>WACC!C10</f>
        <v>0.03</v>
      </c>
      <c r="G93" s="220">
        <f>F93+0.5%</f>
        <v>3.4999999999999996E-2</v>
      </c>
      <c r="H93" s="220">
        <f>G93+0.5%</f>
        <v>3.9999999999999994E-2</v>
      </c>
      <c r="J93" s="206"/>
      <c r="L93" s="220">
        <f>M93-0.5%</f>
        <v>1.9999999999999997E-2</v>
      </c>
      <c r="M93" s="220">
        <f>N93-0.5%</f>
        <v>2.4999999999999998E-2</v>
      </c>
      <c r="N93" s="220">
        <f>WACC!C10</f>
        <v>0.03</v>
      </c>
      <c r="O93" s="220">
        <f>N93+0.5%</f>
        <v>3.4999999999999996E-2</v>
      </c>
      <c r="P93" s="220">
        <f>O93+0.5%</f>
        <v>3.9999999999999994E-2</v>
      </c>
    </row>
    <row r="94" spans="2:19" x14ac:dyDescent="0.3">
      <c r="B94" s="206"/>
      <c r="C94" s="220">
        <f>C95-1%</f>
        <v>7.4732818327027523E-2</v>
      </c>
      <c r="D94" s="221">
        <f t="dataTable" ref="D94:H98" dt2D="1" dtr="1" r1="I83" r2="I84"/>
        <v>1507016.7414740925</v>
      </c>
      <c r="E94" s="222">
        <v>1507016.7414740925</v>
      </c>
      <c r="F94" s="222">
        <v>1507016.7414740925</v>
      </c>
      <c r="G94" s="222">
        <v>1507016.7414740925</v>
      </c>
      <c r="H94" s="223">
        <v>1507016.7414740925</v>
      </c>
      <c r="J94" s="206"/>
      <c r="K94" s="220">
        <f>K95-1%</f>
        <v>7.4732818327027523E-2</v>
      </c>
      <c r="L94" s="224">
        <f t="shared" ref="L94:P98" si="23">D105/$I$86</f>
        <v>614.29362079514112</v>
      </c>
      <c r="M94" s="225">
        <f t="shared" si="23"/>
        <v>614.29362079514112</v>
      </c>
      <c r="N94" s="225">
        <f t="shared" si="23"/>
        <v>614.29362079514112</v>
      </c>
      <c r="O94" s="225">
        <f t="shared" si="23"/>
        <v>614.29362079514112</v>
      </c>
      <c r="P94" s="226">
        <f t="shared" si="23"/>
        <v>614.29362079514112</v>
      </c>
    </row>
    <row r="95" spans="2:19" x14ac:dyDescent="0.3">
      <c r="C95" s="220">
        <f>C96-1%</f>
        <v>8.4732818327027518E-2</v>
      </c>
      <c r="D95" s="227">
        <v>1219006.7496071544</v>
      </c>
      <c r="E95" s="228">
        <v>1219006.7496071544</v>
      </c>
      <c r="F95" s="228">
        <v>1219006.7496071544</v>
      </c>
      <c r="G95" s="228">
        <v>1219006.7496071544</v>
      </c>
      <c r="H95" s="229">
        <v>1219006.7496071544</v>
      </c>
      <c r="K95" s="220">
        <f>K96-1%</f>
        <v>8.4732818327027518E-2</v>
      </c>
      <c r="L95" s="230">
        <f t="shared" si="23"/>
        <v>500.59050517455762</v>
      </c>
      <c r="M95" s="231">
        <f t="shared" si="23"/>
        <v>500.59050517455762</v>
      </c>
      <c r="N95" s="231">
        <f t="shared" si="23"/>
        <v>500.59050517455762</v>
      </c>
      <c r="O95" s="231">
        <f t="shared" si="23"/>
        <v>500.59050517455762</v>
      </c>
      <c r="P95" s="232">
        <f t="shared" si="23"/>
        <v>500.59050517455762</v>
      </c>
    </row>
    <row r="96" spans="2:19" x14ac:dyDescent="0.3">
      <c r="B96" s="233" t="s">
        <v>3</v>
      </c>
      <c r="C96" s="220">
        <f>WACC!N18</f>
        <v>9.4732818327027513E-2</v>
      </c>
      <c r="D96" s="227">
        <v>1020374.6576883234</v>
      </c>
      <c r="E96" s="228">
        <v>1020374.6576883234</v>
      </c>
      <c r="F96" s="234">
        <v>1020374.6576883234</v>
      </c>
      <c r="G96" s="228">
        <v>1020374.6576883234</v>
      </c>
      <c r="H96" s="229">
        <v>1020374.6576883234</v>
      </c>
      <c r="J96" s="233" t="s">
        <v>3</v>
      </c>
      <c r="K96" s="220">
        <f>WACC!N18</f>
        <v>9.4732818327027513E-2</v>
      </c>
      <c r="L96" s="230">
        <f t="shared" si="23"/>
        <v>422.1727823483314</v>
      </c>
      <c r="M96" s="231">
        <f t="shared" si="23"/>
        <v>422.1727823483314</v>
      </c>
      <c r="N96" s="235">
        <f t="shared" si="23"/>
        <v>422.1727823483314</v>
      </c>
      <c r="O96" s="231">
        <f t="shared" si="23"/>
        <v>422.1727823483314</v>
      </c>
      <c r="P96" s="232">
        <f t="shared" si="23"/>
        <v>422.1727823483314</v>
      </c>
    </row>
    <row r="97" spans="2:19" x14ac:dyDescent="0.3">
      <c r="B97" s="206"/>
      <c r="C97" s="220">
        <f>C96+1%</f>
        <v>0.10473281832702751</v>
      </c>
      <c r="D97" s="227">
        <v>875225.36038222164</v>
      </c>
      <c r="E97" s="228">
        <v>875225.36038222164</v>
      </c>
      <c r="F97" s="228">
        <v>875225.36038222164</v>
      </c>
      <c r="G97" s="228">
        <v>875225.36038222164</v>
      </c>
      <c r="H97" s="229">
        <v>875225.36038222164</v>
      </c>
      <c r="J97" s="206"/>
      <c r="K97" s="220">
        <f>K96+1%</f>
        <v>0.10473281832702751</v>
      </c>
      <c r="L97" s="230">
        <f t="shared" si="23"/>
        <v>364.86946718603303</v>
      </c>
      <c r="M97" s="231">
        <f t="shared" si="23"/>
        <v>364.86946718603303</v>
      </c>
      <c r="N97" s="231">
        <f t="shared" si="23"/>
        <v>364.86946718603303</v>
      </c>
      <c r="O97" s="231">
        <f t="shared" si="23"/>
        <v>364.86946718603303</v>
      </c>
      <c r="P97" s="232">
        <f t="shared" si="23"/>
        <v>364.86946718603303</v>
      </c>
    </row>
    <row r="98" spans="2:19" x14ac:dyDescent="0.3">
      <c r="B98" s="206"/>
      <c r="C98" s="220">
        <f>C97+1%</f>
        <v>0.1147328183270275</v>
      </c>
      <c r="D98" s="236">
        <v>764609.63977619167</v>
      </c>
      <c r="E98" s="237">
        <v>764609.63977619167</v>
      </c>
      <c r="F98" s="237">
        <v>764609.63977619167</v>
      </c>
      <c r="G98" s="237">
        <v>764609.63977619167</v>
      </c>
      <c r="H98" s="238">
        <v>764609.63977619167</v>
      </c>
      <c r="J98" s="206"/>
      <c r="K98" s="220">
        <f>K97+1%</f>
        <v>0.1147328183270275</v>
      </c>
      <c r="L98" s="239">
        <f t="shared" si="23"/>
        <v>321.19962091440652</v>
      </c>
      <c r="M98" s="240">
        <f t="shared" si="23"/>
        <v>321.19962091440652</v>
      </c>
      <c r="N98" s="240">
        <f t="shared" si="23"/>
        <v>321.19962091440652</v>
      </c>
      <c r="O98" s="240">
        <f t="shared" si="23"/>
        <v>321.19962091440652</v>
      </c>
      <c r="P98" s="241">
        <f t="shared" si="23"/>
        <v>321.19962091440652</v>
      </c>
    </row>
    <row r="101" spans="2:19" x14ac:dyDescent="0.3">
      <c r="D101" s="217" t="s">
        <v>178</v>
      </c>
      <c r="E101" s="218"/>
      <c r="F101" s="218"/>
      <c r="G101" s="218"/>
      <c r="H101" s="218"/>
      <c r="L101" s="217" t="s">
        <v>185</v>
      </c>
      <c r="M101" s="218"/>
      <c r="N101" s="218"/>
      <c r="O101" s="218"/>
      <c r="P101" s="218"/>
    </row>
    <row r="103" spans="2:19" x14ac:dyDescent="0.3">
      <c r="D103" s="206" t="s">
        <v>163</v>
      </c>
      <c r="E103" s="206"/>
      <c r="F103" s="206"/>
      <c r="G103" s="206"/>
      <c r="H103" s="206"/>
      <c r="L103" s="206" t="s">
        <v>163</v>
      </c>
      <c r="M103" s="206"/>
      <c r="N103" s="206"/>
      <c r="O103" s="206"/>
      <c r="P103" s="206"/>
    </row>
    <row r="104" spans="2:19" x14ac:dyDescent="0.3">
      <c r="B104" s="206"/>
      <c r="D104" s="220">
        <f>E104-0.5%</f>
        <v>1.9999999999999997E-2</v>
      </c>
      <c r="E104" s="220">
        <f>F104-0.5%</f>
        <v>2.4999999999999998E-2</v>
      </c>
      <c r="F104" s="220">
        <f>WACC!C10</f>
        <v>0.03</v>
      </c>
      <c r="G104" s="220">
        <f>F104+0.5%</f>
        <v>3.4999999999999996E-2</v>
      </c>
      <c r="H104" s="220">
        <f>G104+0.5%</f>
        <v>3.9999999999999994E-2</v>
      </c>
      <c r="J104" s="206"/>
      <c r="L104" s="220">
        <f>M104-0.5%</f>
        <v>1.9999999999999997E-2</v>
      </c>
      <c r="M104" s="220">
        <f>N104-0.5%</f>
        <v>2.4999999999999998E-2</v>
      </c>
      <c r="N104" s="220">
        <f>WACC!C10</f>
        <v>0.03</v>
      </c>
      <c r="O104" s="220">
        <f>N104+0.5%</f>
        <v>3.4999999999999996E-2</v>
      </c>
      <c r="P104" s="220">
        <f>O104+0.5%</f>
        <v>3.9999999999999994E-2</v>
      </c>
    </row>
    <row r="105" spans="2:19" x14ac:dyDescent="0.3">
      <c r="B105" s="206"/>
      <c r="C105" s="220">
        <f>C106-1%</f>
        <v>7.4732818327027523E-2</v>
      </c>
      <c r="D105" s="221">
        <f t="shared" ref="D105:H109" si="24">D94-$I$85</f>
        <v>1556005.7414740925</v>
      </c>
      <c r="E105" s="222">
        <f t="shared" si="24"/>
        <v>1556005.7414740925</v>
      </c>
      <c r="F105" s="222">
        <f t="shared" si="24"/>
        <v>1556005.7414740925</v>
      </c>
      <c r="G105" s="222">
        <f t="shared" si="24"/>
        <v>1556005.7414740925</v>
      </c>
      <c r="H105" s="223">
        <f t="shared" si="24"/>
        <v>1556005.7414740925</v>
      </c>
      <c r="J105" s="206"/>
      <c r="K105" s="220">
        <f>K106-1%</f>
        <v>7.4732818327027523E-2</v>
      </c>
      <c r="L105" s="242">
        <f t="shared" ref="L105:P109" si="25">L94/$I$87-1</f>
        <v>0.26852025935477042</v>
      </c>
      <c r="M105" s="243">
        <f t="shared" si="25"/>
        <v>0.26852025935477042</v>
      </c>
      <c r="N105" s="243">
        <f t="shared" si="25"/>
        <v>0.26852025935477042</v>
      </c>
      <c r="O105" s="243">
        <f t="shared" si="25"/>
        <v>0.26852025935477042</v>
      </c>
      <c r="P105" s="244">
        <f t="shared" si="25"/>
        <v>0.26852025935477042</v>
      </c>
    </row>
    <row r="106" spans="2:19" x14ac:dyDescent="0.3">
      <c r="C106" s="220">
        <f>C107-1%</f>
        <v>8.4732818327027518E-2</v>
      </c>
      <c r="D106" s="227">
        <f t="shared" si="24"/>
        <v>1267995.7496071544</v>
      </c>
      <c r="E106" s="228">
        <f t="shared" si="24"/>
        <v>1267995.7496071544</v>
      </c>
      <c r="F106" s="228">
        <f t="shared" si="24"/>
        <v>1267995.7496071544</v>
      </c>
      <c r="G106" s="228">
        <f t="shared" si="24"/>
        <v>1267995.7496071544</v>
      </c>
      <c r="H106" s="229">
        <f t="shared" si="24"/>
        <v>1267995.7496071544</v>
      </c>
      <c r="K106" s="220">
        <f>K107-1%</f>
        <v>8.4732818327027518E-2</v>
      </c>
      <c r="L106" s="245">
        <f t="shared" si="25"/>
        <v>3.3722597725514447E-2</v>
      </c>
      <c r="M106" s="246">
        <f t="shared" si="25"/>
        <v>3.3722597725514447E-2</v>
      </c>
      <c r="N106" s="246">
        <f t="shared" si="25"/>
        <v>3.3722597725514447E-2</v>
      </c>
      <c r="O106" s="246">
        <f t="shared" si="25"/>
        <v>3.3722597725514447E-2</v>
      </c>
      <c r="P106" s="247">
        <f t="shared" si="25"/>
        <v>3.3722597725514447E-2</v>
      </c>
    </row>
    <row r="107" spans="2:19" x14ac:dyDescent="0.3">
      <c r="B107" s="233" t="s">
        <v>3</v>
      </c>
      <c r="C107" s="220">
        <f>WACC!N18</f>
        <v>9.4732818327027513E-2</v>
      </c>
      <c r="D107" s="227">
        <f t="shared" si="24"/>
        <v>1069363.6576883234</v>
      </c>
      <c r="E107" s="228">
        <f t="shared" si="24"/>
        <v>1069363.6576883234</v>
      </c>
      <c r="F107" s="234">
        <f t="shared" si="24"/>
        <v>1069363.6576883234</v>
      </c>
      <c r="G107" s="228">
        <f t="shared" si="24"/>
        <v>1069363.6576883234</v>
      </c>
      <c r="H107" s="229">
        <f t="shared" si="24"/>
        <v>1069363.6576883234</v>
      </c>
      <c r="J107" s="233" t="s">
        <v>3</v>
      </c>
      <c r="K107" s="220">
        <f>WACC!N18</f>
        <v>9.4732818327027513E-2</v>
      </c>
      <c r="L107" s="245">
        <f t="shared" si="25"/>
        <v>-0.12821050190325156</v>
      </c>
      <c r="M107" s="246">
        <f t="shared" si="25"/>
        <v>-0.12821050190325156</v>
      </c>
      <c r="N107" s="248">
        <f t="shared" si="25"/>
        <v>-0.12821050190325156</v>
      </c>
      <c r="O107" s="246">
        <f t="shared" si="25"/>
        <v>-0.12821050190325156</v>
      </c>
      <c r="P107" s="247">
        <f t="shared" si="25"/>
        <v>-0.12821050190325156</v>
      </c>
    </row>
    <row r="108" spans="2:19" x14ac:dyDescent="0.3">
      <c r="B108" s="206"/>
      <c r="C108" s="220">
        <f>C107+1%</f>
        <v>0.10473281832702751</v>
      </c>
      <c r="D108" s="227">
        <f t="shared" si="24"/>
        <v>924214.36038222164</v>
      </c>
      <c r="E108" s="228">
        <f t="shared" si="24"/>
        <v>924214.36038222164</v>
      </c>
      <c r="F108" s="228">
        <f t="shared" si="24"/>
        <v>924214.36038222164</v>
      </c>
      <c r="G108" s="228">
        <f t="shared" si="24"/>
        <v>924214.36038222164</v>
      </c>
      <c r="H108" s="229">
        <f t="shared" si="24"/>
        <v>924214.36038222164</v>
      </c>
      <c r="J108" s="206"/>
      <c r="K108" s="220">
        <f>K107+1%</f>
        <v>0.10473281832702751</v>
      </c>
      <c r="L108" s="245">
        <f t="shared" si="25"/>
        <v>-0.24654221454170688</v>
      </c>
      <c r="M108" s="246">
        <f t="shared" si="25"/>
        <v>-0.24654221454170688</v>
      </c>
      <c r="N108" s="246">
        <f t="shared" si="25"/>
        <v>-0.24654221454170688</v>
      </c>
      <c r="O108" s="246">
        <f t="shared" si="25"/>
        <v>-0.24654221454170688</v>
      </c>
      <c r="P108" s="247">
        <f t="shared" si="25"/>
        <v>-0.24654221454170688</v>
      </c>
    </row>
    <row r="109" spans="2:19" x14ac:dyDescent="0.3">
      <c r="B109" s="206"/>
      <c r="C109" s="220">
        <f>C108+1%</f>
        <v>0.1147328183270275</v>
      </c>
      <c r="D109" s="236">
        <f t="shared" si="24"/>
        <v>813598.63977619167</v>
      </c>
      <c r="E109" s="237">
        <f t="shared" si="24"/>
        <v>813598.63977619167</v>
      </c>
      <c r="F109" s="237">
        <f t="shared" si="24"/>
        <v>813598.63977619167</v>
      </c>
      <c r="G109" s="237">
        <f t="shared" si="24"/>
        <v>813598.63977619167</v>
      </c>
      <c r="H109" s="238">
        <f t="shared" si="24"/>
        <v>813598.63977619167</v>
      </c>
      <c r="J109" s="206"/>
      <c r="K109" s="220">
        <f>K108+1%</f>
        <v>0.1147328183270275</v>
      </c>
      <c r="L109" s="249">
        <f t="shared" si="25"/>
        <v>-0.33672072664600317</v>
      </c>
      <c r="M109" s="250">
        <f t="shared" si="25"/>
        <v>-0.33672072664600317</v>
      </c>
      <c r="N109" s="250">
        <f t="shared" si="25"/>
        <v>-0.33672072664600317</v>
      </c>
      <c r="O109" s="250">
        <f t="shared" si="25"/>
        <v>-0.33672072664600317</v>
      </c>
      <c r="P109" s="251">
        <f t="shared" si="25"/>
        <v>-0.33672072664600317</v>
      </c>
    </row>
    <row r="112" spans="2:19" ht="18.600000000000001" customHeight="1" x14ac:dyDescent="0.3">
      <c r="B112" s="186" t="s">
        <v>213</v>
      </c>
      <c r="C112" s="185"/>
      <c r="D112" s="185"/>
      <c r="E112" s="185"/>
      <c r="F112" s="185"/>
      <c r="G112" s="185"/>
      <c r="H112" s="185"/>
      <c r="I112" s="185"/>
      <c r="J112" s="185"/>
      <c r="K112" s="185"/>
      <c r="L112" s="185"/>
      <c r="M112" s="185"/>
      <c r="N112" s="185"/>
      <c r="O112" s="185"/>
      <c r="P112" s="185"/>
      <c r="Q112" s="185"/>
      <c r="R112" s="185"/>
      <c r="S112" s="185"/>
    </row>
    <row r="115" spans="2:10" ht="16.2" thickBot="1" x14ac:dyDescent="0.35">
      <c r="C115" s="191">
        <v>2022</v>
      </c>
      <c r="D115" s="191">
        <f t="shared" ref="D115" si="26">C115+1</f>
        <v>2023</v>
      </c>
      <c r="E115" s="191">
        <f t="shared" ref="E115" si="27">D115+1</f>
        <v>2024</v>
      </c>
      <c r="F115" s="192">
        <f t="shared" ref="F115" si="28">E115+1</f>
        <v>2025</v>
      </c>
      <c r="G115" s="192">
        <f t="shared" ref="G115" si="29">F115+1</f>
        <v>2026</v>
      </c>
      <c r="H115" s="192">
        <f t="shared" ref="H115" si="30">G115+1</f>
        <v>2027</v>
      </c>
      <c r="I115" s="192">
        <f t="shared" ref="I115" si="31">H115+1</f>
        <v>2028</v>
      </c>
      <c r="J115" s="192">
        <f t="shared" ref="J115" si="32">I115+1</f>
        <v>2029</v>
      </c>
    </row>
    <row r="117" spans="2:10" x14ac:dyDescent="0.3">
      <c r="B117" s="163" t="s">
        <v>214</v>
      </c>
    </row>
    <row r="118" spans="2:10" x14ac:dyDescent="0.3">
      <c r="B118" s="195" t="s">
        <v>215</v>
      </c>
      <c r="C118" s="196">
        <f>'Financial Model'!E417</f>
        <v>50475</v>
      </c>
      <c r="D118" s="196">
        <f>'Financial Model'!F417</f>
        <v>71113</v>
      </c>
      <c r="E118" s="196">
        <f>'Financial Model'!G417</f>
        <v>91328</v>
      </c>
      <c r="F118" s="196">
        <f>'Financial Model'!H417</f>
        <v>96850.512195725169</v>
      </c>
      <c r="G118" s="196">
        <f>'Financial Model'!I417</f>
        <v>115615.40926126465</v>
      </c>
      <c r="H118" s="196">
        <f>'Financial Model'!J417</f>
        <v>132661.08792333136</v>
      </c>
      <c r="I118" s="196">
        <f>'Financial Model'!K417</f>
        <v>156698.8774801383</v>
      </c>
      <c r="J118" s="196">
        <f>'Financial Model'!L417</f>
        <v>181986.00848648947</v>
      </c>
    </row>
    <row r="119" spans="2:10" x14ac:dyDescent="0.3">
      <c r="B119" s="195" t="s">
        <v>216</v>
      </c>
      <c r="C119" s="196">
        <f>'Financial Model'!E425</f>
        <v>-28970</v>
      </c>
      <c r="D119" s="196">
        <f>'Financial Model'!F425</f>
        <v>-24495</v>
      </c>
      <c r="E119" s="196">
        <f>'Financial Model'!G425</f>
        <v>-47150</v>
      </c>
      <c r="F119" s="196">
        <f>'Financial Model'!H425</f>
        <v>-39240.143791288298</v>
      </c>
      <c r="G119" s="196">
        <f>'Financial Model'!I425</f>
        <v>-45131.265359981538</v>
      </c>
      <c r="H119" s="196">
        <f>'Financial Model'!J425</f>
        <v>-51906.055163978774</v>
      </c>
      <c r="I119" s="196">
        <f>'Financial Model'!K425</f>
        <v>-59697.063438575591</v>
      </c>
      <c r="J119" s="196">
        <f>'Financial Model'!L425</f>
        <v>-68656.722954361932</v>
      </c>
    </row>
    <row r="120" spans="2:10" x14ac:dyDescent="0.3">
      <c r="B120" s="195" t="s">
        <v>217</v>
      </c>
      <c r="C120" s="196">
        <f>'Financial Model'!E434</f>
        <v>-22136</v>
      </c>
      <c r="D120" s="196">
        <f>'Financial Model'!F434</f>
        <v>-19500</v>
      </c>
      <c r="E120" s="196">
        <f>'Financial Model'!G434</f>
        <v>-40781</v>
      </c>
      <c r="F120" s="196">
        <f>'Financial Model'!H434</f>
        <v>-40946.267679678589</v>
      </c>
      <c r="G120" s="196">
        <f>'Financial Model'!I434</f>
        <v>-46290.957831630367</v>
      </c>
      <c r="H120" s="196">
        <f>'Financial Model'!J434</f>
        <v>-52437.351506374922</v>
      </c>
      <c r="I120" s="196">
        <f>'Financial Model'!K434</f>
        <v>-59505.704232331154</v>
      </c>
      <c r="J120" s="196">
        <f>'Financial Model'!L434</f>
        <v>-67634.309867180826</v>
      </c>
    </row>
    <row r="121" spans="2:10" x14ac:dyDescent="0.3">
      <c r="B121" s="195" t="s">
        <v>218</v>
      </c>
      <c r="C121" s="196">
        <f>'Financial Model'!E439</f>
        <v>-1269</v>
      </c>
      <c r="D121" s="196">
        <f>'Financial Model'!F439</f>
        <v>27231</v>
      </c>
      <c r="E121" s="196">
        <f>'Financial Model'!G439</f>
        <v>2611</v>
      </c>
      <c r="F121" s="196">
        <f>'Financial Model'!H439</f>
        <v>16264.100724758282</v>
      </c>
      <c r="G121" s="196">
        <f>'Financial Model'!I439</f>
        <v>23793.186069652744</v>
      </c>
      <c r="H121" s="196">
        <f>'Financial Model'!J439</f>
        <v>27917.681252977665</v>
      </c>
      <c r="I121" s="196">
        <f>'Financial Model'!K439</f>
        <v>37096.109809231544</v>
      </c>
      <c r="J121" s="196">
        <f>'Financial Model'!L439</f>
        <v>45294.975664946716</v>
      </c>
    </row>
  </sheetData>
  <pageMargins left="0.7" right="0.7" top="0.75" bottom="0.75" header="0.3" footer="0.3"/>
  <pageSetup paperSize="9" orientation="portrait" r:id="rId1"/>
  <ignoredErrors>
    <ignoredError sqref="F68:H68"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8193" r:id="rId4" name="Drop Down 1">
              <controlPr defaultSize="0" autoLine="0" autoPict="0">
                <anchor moveWithCells="1">
                  <from>
                    <xdr:col>2</xdr:col>
                    <xdr:colOff>152400</xdr:colOff>
                    <xdr:row>2</xdr:row>
                    <xdr:rowOff>0</xdr:rowOff>
                  </from>
                  <to>
                    <xdr:col>3</xdr:col>
                    <xdr:colOff>495300</xdr:colOff>
                    <xdr:row>2</xdr:row>
                    <xdr:rowOff>182880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B3D8C-F7FD-4A70-BB1D-BB5CF722EE82}">
  <dimension ref="B1:N22"/>
  <sheetViews>
    <sheetView showGridLines="0" zoomScale="85" zoomScaleNormal="85" workbookViewId="0">
      <selection activeCell="C10" sqref="C10"/>
    </sheetView>
  </sheetViews>
  <sheetFormatPr defaultRowHeight="15" x14ac:dyDescent="0.3"/>
  <cols>
    <col min="1" max="1" width="8.88671875" style="260"/>
    <col min="2" max="2" width="26.88671875" style="260" customWidth="1"/>
    <col min="3" max="3" width="10.77734375" style="260" bestFit="1" customWidth="1"/>
    <col min="4" max="4" width="11.21875" style="260" bestFit="1" customWidth="1"/>
    <col min="5" max="8" width="8.88671875" style="260"/>
    <col min="9" max="9" width="11" style="260" customWidth="1"/>
    <col min="10" max="10" width="8.6640625" style="260" customWidth="1"/>
    <col min="11" max="13" width="8.88671875" style="260"/>
    <col min="14" max="14" width="9.109375" style="260" bestFit="1" customWidth="1"/>
    <col min="15" max="16384" width="8.88671875" style="260"/>
  </cols>
  <sheetData>
    <row r="1" spans="2:14" ht="86.4" customHeight="1" x14ac:dyDescent="0.3">
      <c r="B1" s="259"/>
      <c r="C1" s="259"/>
      <c r="D1" s="259"/>
      <c r="E1" s="259"/>
      <c r="F1" s="259"/>
      <c r="G1" s="259"/>
      <c r="H1" s="259"/>
      <c r="I1" s="259"/>
      <c r="J1" s="259"/>
      <c r="K1" s="259"/>
      <c r="L1" s="259"/>
      <c r="M1" s="259"/>
      <c r="N1" s="259"/>
    </row>
    <row r="3" spans="2:14" x14ac:dyDescent="0.3">
      <c r="B3" s="326" t="s">
        <v>71</v>
      </c>
      <c r="C3" s="262">
        <f>Dashboard!C3</f>
        <v>1</v>
      </c>
    </row>
    <row r="5" spans="2:14" ht="18.600000000000001" customHeight="1" x14ac:dyDescent="0.3">
      <c r="B5" s="186" t="s">
        <v>125</v>
      </c>
      <c r="C5" s="186"/>
      <c r="D5" s="186"/>
      <c r="E5" s="186"/>
      <c r="F5" s="186"/>
      <c r="G5" s="186"/>
      <c r="H5" s="186"/>
      <c r="I5" s="186"/>
      <c r="J5" s="186"/>
      <c r="K5" s="186"/>
      <c r="L5" s="186"/>
      <c r="M5" s="186"/>
      <c r="N5" s="186"/>
    </row>
    <row r="7" spans="2:14" x14ac:dyDescent="0.3">
      <c r="B7" s="326" t="s">
        <v>144</v>
      </c>
      <c r="C7" s="326"/>
      <c r="D7" s="326"/>
      <c r="E7" s="326"/>
    </row>
    <row r="9" spans="2:14" x14ac:dyDescent="0.3">
      <c r="B9" s="263" t="s">
        <v>126</v>
      </c>
      <c r="C9" s="264">
        <f>D16+J15</f>
        <v>1255456.58</v>
      </c>
    </row>
    <row r="10" spans="2:14" x14ac:dyDescent="0.3">
      <c r="B10" s="265" t="s">
        <v>127</v>
      </c>
      <c r="C10" s="266">
        <v>0.03</v>
      </c>
    </row>
    <row r="12" spans="2:14" ht="16.5" customHeight="1" x14ac:dyDescent="0.3">
      <c r="B12" s="267" t="s">
        <v>128</v>
      </c>
      <c r="C12" s="268"/>
      <c r="D12" s="268"/>
      <c r="F12" s="267" t="s">
        <v>129</v>
      </c>
      <c r="G12" s="268"/>
      <c r="H12" s="268"/>
      <c r="I12" s="269" t="s">
        <v>186</v>
      </c>
      <c r="J12" s="269"/>
      <c r="L12" s="267" t="s">
        <v>3</v>
      </c>
      <c r="M12" s="268"/>
      <c r="N12" s="268"/>
    </row>
    <row r="13" spans="2:14" x14ac:dyDescent="0.3">
      <c r="B13" s="270"/>
    </row>
    <row r="14" spans="2:14" x14ac:dyDescent="0.3">
      <c r="B14" s="271" t="s">
        <v>230</v>
      </c>
      <c r="C14" s="272" t="s">
        <v>130</v>
      </c>
      <c r="D14" s="273">
        <v>484.26</v>
      </c>
      <c r="F14" s="271" t="s">
        <v>145</v>
      </c>
      <c r="J14" s="274">
        <f>'Financial Model'!G473</f>
        <v>28826</v>
      </c>
      <c r="L14" s="263" t="s">
        <v>131</v>
      </c>
      <c r="M14" s="275"/>
      <c r="N14" s="276">
        <f>D16/C9</f>
        <v>0.9770394289542057</v>
      </c>
    </row>
    <row r="15" spans="2:14" x14ac:dyDescent="0.3">
      <c r="B15" s="271" t="s">
        <v>132</v>
      </c>
      <c r="D15" s="274">
        <v>2533</v>
      </c>
      <c r="F15" s="277" t="s">
        <v>133</v>
      </c>
      <c r="J15" s="278">
        <f>SUM(J14)</f>
        <v>28826</v>
      </c>
      <c r="L15" s="279" t="s">
        <v>134</v>
      </c>
      <c r="M15" s="280"/>
      <c r="N15" s="281">
        <f>D21</f>
        <v>9.603600000000001E-2</v>
      </c>
    </row>
    <row r="16" spans="2:14" x14ac:dyDescent="0.35">
      <c r="B16" s="277" t="s">
        <v>135</v>
      </c>
      <c r="D16" s="282">
        <f>D14*D15</f>
        <v>1226630.58</v>
      </c>
      <c r="F16" s="283"/>
      <c r="G16" s="283"/>
      <c r="H16" s="283"/>
      <c r="I16" s="283"/>
      <c r="J16" s="283"/>
      <c r="L16" s="279" t="s">
        <v>136</v>
      </c>
      <c r="N16" s="281">
        <f>J15/C9</f>
        <v>2.296057104579435E-2</v>
      </c>
    </row>
    <row r="17" spans="2:14" x14ac:dyDescent="0.3">
      <c r="L17" s="279" t="s">
        <v>138</v>
      </c>
      <c r="N17" s="281">
        <f>J22</f>
        <v>3.9278627965422176E-2</v>
      </c>
    </row>
    <row r="18" spans="2:14" x14ac:dyDescent="0.3">
      <c r="B18" s="271" t="s">
        <v>139</v>
      </c>
      <c r="D18" s="284">
        <v>4.3299999999999998E-2</v>
      </c>
      <c r="L18" s="285" t="s">
        <v>3</v>
      </c>
      <c r="M18" s="286"/>
      <c r="N18" s="287">
        <f>(N14*N15)+(N16*N17)</f>
        <v>9.4732818327027513E-2</v>
      </c>
    </row>
    <row r="19" spans="2:14" x14ac:dyDescent="0.3">
      <c r="B19" s="271" t="s">
        <v>141</v>
      </c>
      <c r="D19" s="288">
        <v>1.28</v>
      </c>
      <c r="F19" s="271" t="s">
        <v>137</v>
      </c>
      <c r="J19" s="274">
        <f>'Financial Model'!G391</f>
        <v>1283</v>
      </c>
    </row>
    <row r="20" spans="2:14" x14ac:dyDescent="0.3">
      <c r="B20" s="271" t="s">
        <v>143</v>
      </c>
      <c r="D20" s="284">
        <v>4.1200000000000001E-2</v>
      </c>
      <c r="F20" s="271" t="s">
        <v>140</v>
      </c>
      <c r="J20" s="284">
        <f>J19/J15</f>
        <v>4.4508429889682927E-2</v>
      </c>
    </row>
    <row r="21" spans="2:14" x14ac:dyDescent="0.3">
      <c r="B21" s="277" t="s">
        <v>134</v>
      </c>
      <c r="D21" s="289">
        <f>D18+(D19*D20)</f>
        <v>9.603600000000001E-2</v>
      </c>
      <c r="F21" s="271" t="s">
        <v>142</v>
      </c>
      <c r="J21" s="290">
        <f>'Financial Model'!G394/'Financial Model'!G392</f>
        <v>0.11750137978857393</v>
      </c>
    </row>
    <row r="22" spans="2:14" x14ac:dyDescent="0.3">
      <c r="F22" s="277" t="s">
        <v>138</v>
      </c>
      <c r="J22" s="291">
        <f>J20*(1-J21)</f>
        <v>3.9278627965422176E-2</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9217" r:id="rId4" name="Drop Down 1">
              <controlPr defaultSize="0" autoLine="0" autoPict="0">
                <anchor moveWithCells="1">
                  <from>
                    <xdr:col>2</xdr:col>
                    <xdr:colOff>76200</xdr:colOff>
                    <xdr:row>2</xdr:row>
                    <xdr:rowOff>0</xdr:rowOff>
                  </from>
                  <to>
                    <xdr:col>3</xdr:col>
                    <xdr:colOff>556260</xdr:colOff>
                    <xdr:row>2</xdr:row>
                    <xdr:rowOff>182880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C0ED-5DC8-4A56-A636-85B70F97BFB0}">
  <dimension ref="B1:N63"/>
  <sheetViews>
    <sheetView showGridLines="0" topLeftCell="A37" zoomScale="85" zoomScaleNormal="85" workbookViewId="0">
      <selection activeCell="E57" sqref="E57"/>
    </sheetView>
  </sheetViews>
  <sheetFormatPr defaultRowHeight="15.6" x14ac:dyDescent="0.3"/>
  <cols>
    <col min="1" max="1" width="10.88671875" style="164" customWidth="1"/>
    <col min="2" max="2" width="25.77734375" style="164" customWidth="1"/>
    <col min="3" max="3" width="12.109375" style="164" customWidth="1"/>
    <col min="4" max="4" width="9.77734375" style="164" customWidth="1"/>
    <col min="5" max="5" width="10.44140625" style="164" customWidth="1"/>
    <col min="6" max="6" width="9.77734375" style="164" customWidth="1"/>
    <col min="7" max="14" width="10.77734375" style="164" customWidth="1"/>
    <col min="15" max="16384" width="8.88671875" style="164"/>
  </cols>
  <sheetData>
    <row r="1" spans="2:14" ht="86.4" customHeight="1" x14ac:dyDescent="0.3">
      <c r="B1" s="187"/>
      <c r="C1" s="187"/>
      <c r="D1" s="187"/>
      <c r="E1" s="187"/>
      <c r="F1" s="187"/>
      <c r="G1" s="187"/>
      <c r="H1" s="187"/>
      <c r="I1" s="187"/>
      <c r="J1" s="187"/>
      <c r="K1" s="187"/>
      <c r="L1" s="187"/>
      <c r="M1" s="187"/>
      <c r="N1" s="187"/>
    </row>
    <row r="3" spans="2:14" x14ac:dyDescent="0.3">
      <c r="B3" s="261" t="s">
        <v>71</v>
      </c>
      <c r="C3" s="188">
        <f>Dashboard!C3</f>
        <v>1</v>
      </c>
    </row>
    <row r="5" spans="2:14" ht="18.600000000000001" customHeight="1" x14ac:dyDescent="0.3">
      <c r="B5" s="186" t="s">
        <v>146</v>
      </c>
      <c r="C5" s="186"/>
      <c r="D5" s="186"/>
      <c r="E5" s="186"/>
      <c r="F5" s="186"/>
      <c r="G5" s="186"/>
      <c r="H5" s="186"/>
      <c r="I5" s="186"/>
      <c r="J5" s="186"/>
      <c r="K5" s="186"/>
      <c r="L5" s="186"/>
      <c r="M5" s="186"/>
      <c r="N5" s="186"/>
    </row>
    <row r="7" spans="2:14" ht="16.2" thickBot="1" x14ac:dyDescent="0.4">
      <c r="B7" s="326" t="s">
        <v>74</v>
      </c>
      <c r="C7" s="326"/>
      <c r="D7" s="190"/>
      <c r="E7" s="190"/>
      <c r="F7" s="190"/>
      <c r="G7" s="191">
        <v>2022</v>
      </c>
      <c r="H7" s="191">
        <f t="shared" ref="H7:N7" si="0">G7+1</f>
        <v>2023</v>
      </c>
      <c r="I7" s="191">
        <f t="shared" si="0"/>
        <v>2024</v>
      </c>
      <c r="J7" s="192">
        <f t="shared" si="0"/>
        <v>2025</v>
      </c>
      <c r="K7" s="192">
        <f t="shared" si="0"/>
        <v>2026</v>
      </c>
      <c r="L7" s="192">
        <f t="shared" si="0"/>
        <v>2027</v>
      </c>
      <c r="M7" s="192">
        <f t="shared" si="0"/>
        <v>2028</v>
      </c>
      <c r="N7" s="192">
        <f t="shared" si="0"/>
        <v>2029</v>
      </c>
    </row>
    <row r="8" spans="2:14" x14ac:dyDescent="0.35">
      <c r="D8" s="190"/>
      <c r="E8" s="190"/>
      <c r="F8" s="190"/>
    </row>
    <row r="9" spans="2:14" x14ac:dyDescent="0.35">
      <c r="B9" s="195" t="s">
        <v>147</v>
      </c>
      <c r="D9" s="190"/>
      <c r="E9" s="190"/>
      <c r="F9" s="190"/>
      <c r="G9" s="258">
        <f>'Financial Model'!E18</f>
        <v>0.19497553697213643</v>
      </c>
      <c r="H9" s="258">
        <f>'Financial Model'!F18</f>
        <v>0.17563464620055663</v>
      </c>
      <c r="I9" s="258">
        <f>'Financial Model'!G18</f>
        <v>0.11750137978857393</v>
      </c>
      <c r="J9" s="258">
        <f>'Financial Model'!H18</f>
        <v>0.16270385432042234</v>
      </c>
      <c r="K9" s="258">
        <f>'Financial Model'!I18</f>
        <v>0.16270385432042234</v>
      </c>
      <c r="L9" s="258">
        <f>'Financial Model'!J18</f>
        <v>0.16270385432042234</v>
      </c>
      <c r="M9" s="258">
        <f>'Financial Model'!K18</f>
        <v>0.16270385432042234</v>
      </c>
      <c r="N9" s="258">
        <f>'Financial Model'!L18</f>
        <v>0.16270385432042234</v>
      </c>
    </row>
    <row r="10" spans="2:14" x14ac:dyDescent="0.35">
      <c r="B10" s="195"/>
      <c r="D10" s="190"/>
      <c r="E10" s="190"/>
      <c r="F10" s="190"/>
      <c r="G10" s="258"/>
      <c r="H10" s="258"/>
      <c r="I10" s="258"/>
      <c r="J10" s="258"/>
      <c r="K10" s="258"/>
      <c r="L10" s="258"/>
      <c r="M10" s="258"/>
      <c r="N10" s="258"/>
    </row>
    <row r="11" spans="2:14" x14ac:dyDescent="0.35">
      <c r="B11" s="195" t="s">
        <v>14</v>
      </c>
      <c r="D11" s="190"/>
      <c r="E11" s="190"/>
      <c r="F11" s="190"/>
      <c r="G11" s="196">
        <f>'Financial Model'!E389</f>
        <v>28944</v>
      </c>
      <c r="H11" s="196">
        <f>'Financial Model'!F389</f>
        <v>46751</v>
      </c>
      <c r="I11" s="196">
        <f>'Financial Model'!G389</f>
        <v>69380</v>
      </c>
      <c r="J11" s="196">
        <f>'Financial Model'!H389</f>
        <v>71985.724407347443</v>
      </c>
      <c r="K11" s="196">
        <f>'Financial Model'!I389</f>
        <v>82783.58306844956</v>
      </c>
      <c r="L11" s="196">
        <f>'Financial Model'!J389</f>
        <v>95201.120528716972</v>
      </c>
      <c r="M11" s="196">
        <f>'Financial Model'!K389</f>
        <v>109481.28860802451</v>
      </c>
      <c r="N11" s="196">
        <f>'Financial Model'!L389</f>
        <v>125903.48189922818</v>
      </c>
    </row>
    <row r="12" spans="2:14" x14ac:dyDescent="0.35">
      <c r="B12" s="195" t="s">
        <v>148</v>
      </c>
      <c r="D12" s="190"/>
      <c r="E12" s="190"/>
      <c r="F12" s="190"/>
      <c r="G12" s="196">
        <f>-'Financial Model'!E394</f>
        <v>-5619</v>
      </c>
      <c r="H12" s="196">
        <f>-'Financial Model'!F394</f>
        <v>-8330</v>
      </c>
      <c r="I12" s="196">
        <f>-'Financial Model'!G394</f>
        <v>-8303</v>
      </c>
      <c r="J12" s="196">
        <f>-'Financial Model'!H394</f>
        <v>-11591.843675254268</v>
      </c>
      <c r="K12" s="196">
        <f>-'Financial Model'!I394</f>
        <v>-13330.620226542407</v>
      </c>
      <c r="L12" s="196">
        <f>-'Financial Model'!J394</f>
        <v>-15330.213260523766</v>
      </c>
      <c r="M12" s="196">
        <f>-'Financial Model'!K394</f>
        <v>-17629.745249602329</v>
      </c>
      <c r="N12" s="196">
        <f>-'Financial Model'!L394</f>
        <v>-20274.207037042677</v>
      </c>
    </row>
    <row r="13" spans="2:14" x14ac:dyDescent="0.35">
      <c r="B13" s="163" t="s">
        <v>149</v>
      </c>
      <c r="D13" s="190"/>
      <c r="E13" s="190"/>
      <c r="F13" s="190"/>
      <c r="G13" s="256">
        <f t="shared" ref="G13:N13" si="1">SUM(G11:G12)</f>
        <v>23325</v>
      </c>
      <c r="H13" s="256">
        <f t="shared" si="1"/>
        <v>38421</v>
      </c>
      <c r="I13" s="256">
        <f t="shared" si="1"/>
        <v>61077</v>
      </c>
      <c r="J13" s="256">
        <f t="shared" si="1"/>
        <v>60393.880732093174</v>
      </c>
      <c r="K13" s="256">
        <f t="shared" si="1"/>
        <v>69452.962841907152</v>
      </c>
      <c r="L13" s="256">
        <f t="shared" si="1"/>
        <v>79870.907268193201</v>
      </c>
      <c r="M13" s="256">
        <f t="shared" si="1"/>
        <v>91851.543358422176</v>
      </c>
      <c r="N13" s="256">
        <f t="shared" si="1"/>
        <v>105629.2748621855</v>
      </c>
    </row>
    <row r="14" spans="2:14" x14ac:dyDescent="0.35">
      <c r="D14" s="190"/>
      <c r="E14" s="190"/>
      <c r="F14" s="190"/>
    </row>
    <row r="15" spans="2:14" x14ac:dyDescent="0.35">
      <c r="B15" s="195" t="s">
        <v>150</v>
      </c>
      <c r="D15" s="190"/>
      <c r="E15" s="190"/>
      <c r="F15" s="190"/>
      <c r="G15" s="196">
        <f>'Financial Model'!E404</f>
        <v>8686</v>
      </c>
      <c r="H15" s="196">
        <f>'Financial Model'!F404</f>
        <v>11178</v>
      </c>
      <c r="I15" s="196">
        <f>'Financial Model'!E404</f>
        <v>8686</v>
      </c>
      <c r="J15" s="196">
        <f>'Financial Model'!H404</f>
        <v>18469.055837769065</v>
      </c>
      <c r="K15" s="196">
        <f>'Financial Model'!I404</f>
        <v>22795.919927720141</v>
      </c>
      <c r="L15" s="196">
        <f>'Financial Model'!J404</f>
        <v>27771.813631163874</v>
      </c>
      <c r="M15" s="196">
        <f>'Financial Model'!K404</f>
        <v>33494.091390124166</v>
      </c>
      <c r="N15" s="196">
        <f>'Financial Model'!L404</f>
        <v>40074.710812928512</v>
      </c>
    </row>
    <row r="16" spans="2:14" x14ac:dyDescent="0.35">
      <c r="B16" s="195" t="s">
        <v>151</v>
      </c>
      <c r="D16" s="190"/>
      <c r="E16" s="190"/>
      <c r="F16" s="190"/>
      <c r="G16" s="196">
        <f>'Financial Model'!E420</f>
        <v>-31186</v>
      </c>
      <c r="H16" s="196">
        <f>'Financial Model'!F420</f>
        <v>-27045</v>
      </c>
      <c r="I16" s="196">
        <f>'Financial Model'!G420</f>
        <v>-37256</v>
      </c>
      <c r="J16" s="196">
        <f>'Financial Model'!H420</f>
        <v>-37835.230000000003</v>
      </c>
      <c r="K16" s="196">
        <f>'Financial Model'!I420</f>
        <v>-43510.514499999997</v>
      </c>
      <c r="L16" s="196">
        <f>'Financial Model'!J420</f>
        <v>-50037.091674999996</v>
      </c>
      <c r="M16" s="196">
        <f>'Financial Model'!K420</f>
        <v>-57542.655426249992</v>
      </c>
      <c r="N16" s="196">
        <f>'Financial Model'!L420</f>
        <v>-66174.05374018749</v>
      </c>
    </row>
    <row r="17" spans="2:14" x14ac:dyDescent="0.35">
      <c r="D17" s="190"/>
      <c r="E17" s="190"/>
      <c r="F17" s="190"/>
    </row>
    <row r="18" spans="2:14" x14ac:dyDescent="0.35">
      <c r="B18" s="163" t="s">
        <v>152</v>
      </c>
      <c r="D18" s="190"/>
      <c r="E18" s="190"/>
      <c r="F18" s="190"/>
    </row>
    <row r="19" spans="2:14" x14ac:dyDescent="0.35">
      <c r="B19" s="195" t="s">
        <v>50</v>
      </c>
      <c r="D19" s="190"/>
      <c r="E19" s="190"/>
      <c r="F19" s="190"/>
      <c r="G19" s="196">
        <f>'Financial Model'!E450</f>
        <v>13466</v>
      </c>
      <c r="H19" s="196">
        <f>'Financial Model'!F450</f>
        <v>16169</v>
      </c>
      <c r="I19" s="196">
        <f>'Financial Model'!G450</f>
        <v>16994</v>
      </c>
      <c r="J19" s="196">
        <f>'Financial Model'!H450</f>
        <v>19695.051232876714</v>
      </c>
      <c r="K19" s="196">
        <f>'Financial Model'!I450</f>
        <v>25033.446698630138</v>
      </c>
      <c r="L19" s="196">
        <f>'Financial Model'!J450</f>
        <v>28788.463703424652</v>
      </c>
      <c r="M19" s="196">
        <f>'Financial Model'!K450</f>
        <v>33106.733258938351</v>
      </c>
      <c r="N19" s="196">
        <f>'Financial Model'!L450</f>
        <v>38072.743247779101</v>
      </c>
    </row>
    <row r="20" spans="2:14" x14ac:dyDescent="0.35">
      <c r="B20" s="195" t="s">
        <v>253</v>
      </c>
      <c r="D20" s="190"/>
      <c r="E20" s="190"/>
      <c r="F20" s="190"/>
      <c r="G20" s="196">
        <f>'Financial Model'!E451</f>
        <v>5345</v>
      </c>
      <c r="H20" s="196">
        <f>'Financial Model'!F451</f>
        <v>3793</v>
      </c>
      <c r="I20" s="196">
        <f>'Financial Model'!G451</f>
        <v>5236</v>
      </c>
      <c r="J20" s="196">
        <f>'Financial Model'!H451</f>
        <v>6053.6368000000002</v>
      </c>
      <c r="K20" s="196">
        <f>'Financial Model'!I451</f>
        <v>8266.9977549999985</v>
      </c>
      <c r="L20" s="196">
        <f>'Financial Model'!J451</f>
        <v>9507.0474182499984</v>
      </c>
      <c r="M20" s="196">
        <f>'Financial Model'!K451</f>
        <v>11508.531085249999</v>
      </c>
      <c r="N20" s="196">
        <f>'Financial Model'!L451</f>
        <v>13234.810748037498</v>
      </c>
    </row>
    <row r="21" spans="2:14" x14ac:dyDescent="0.35">
      <c r="B21" s="163" t="s">
        <v>153</v>
      </c>
      <c r="D21" s="190"/>
      <c r="E21" s="190"/>
      <c r="F21" s="190"/>
      <c r="G21" s="256">
        <f t="shared" ref="G21:N21" si="2">SUM(G19:G20)</f>
        <v>18811</v>
      </c>
      <c r="H21" s="256">
        <f t="shared" si="2"/>
        <v>19962</v>
      </c>
      <c r="I21" s="256">
        <f t="shared" si="2"/>
        <v>22230</v>
      </c>
      <c r="J21" s="256">
        <f t="shared" si="2"/>
        <v>25748.688032876715</v>
      </c>
      <c r="K21" s="256">
        <f t="shared" si="2"/>
        <v>33300.444453630138</v>
      </c>
      <c r="L21" s="256">
        <f t="shared" si="2"/>
        <v>38295.511121674652</v>
      </c>
      <c r="M21" s="256">
        <f t="shared" si="2"/>
        <v>44615.264344188348</v>
      </c>
      <c r="N21" s="256">
        <f t="shared" si="2"/>
        <v>51307.553995816597</v>
      </c>
    </row>
    <row r="22" spans="2:14" x14ac:dyDescent="0.35">
      <c r="D22" s="190"/>
      <c r="E22" s="190"/>
      <c r="F22" s="190"/>
    </row>
    <row r="23" spans="2:14" x14ac:dyDescent="0.35">
      <c r="B23" s="195" t="s">
        <v>27</v>
      </c>
      <c r="D23" s="190"/>
      <c r="E23" s="190"/>
      <c r="F23" s="190"/>
      <c r="G23" s="196">
        <f>'Financial Model'!E465</f>
        <v>4990</v>
      </c>
      <c r="H23" s="196">
        <f>'Financial Model'!F465</f>
        <v>4849</v>
      </c>
      <c r="I23" s="196">
        <f>'Financial Model'!G465</f>
        <v>7687</v>
      </c>
      <c r="J23" s="196">
        <f>'Financial Model'!H465</f>
        <v>8478.3174449649432</v>
      </c>
      <c r="K23" s="196">
        <f>'Financial Model'!I465</f>
        <v>9506.3134351669414</v>
      </c>
      <c r="L23" s="196">
        <f>'Financial Model'!J465</f>
        <v>10932.260450441981</v>
      </c>
      <c r="M23" s="196">
        <f>'Financial Model'!K465</f>
        <v>12572.099518008281</v>
      </c>
      <c r="N23" s="196">
        <f>'Financial Model'!L465</f>
        <v>14457.914445709521</v>
      </c>
    </row>
    <row r="24" spans="2:14" x14ac:dyDescent="0.35">
      <c r="B24" s="195" t="s">
        <v>263</v>
      </c>
      <c r="D24" s="190"/>
      <c r="E24" s="190"/>
      <c r="F24" s="190"/>
      <c r="G24" s="196">
        <f>'Financial Model'!E466</f>
        <v>1117</v>
      </c>
      <c r="H24" s="196">
        <f>'Financial Model'!F466</f>
        <v>0</v>
      </c>
      <c r="I24" s="196">
        <f>'Financial Model'!G466</f>
        <v>0</v>
      </c>
      <c r="J24" s="196">
        <f>'Financial Model'!H466</f>
        <v>0</v>
      </c>
      <c r="K24" s="196">
        <f>'Financial Model'!I466</f>
        <v>0</v>
      </c>
      <c r="L24" s="196">
        <f>'Financial Model'!J466</f>
        <v>0</v>
      </c>
      <c r="M24" s="196">
        <f>'Financial Model'!K466</f>
        <v>0</v>
      </c>
      <c r="N24" s="196">
        <f>'Financial Model'!L466</f>
        <v>0</v>
      </c>
    </row>
    <row r="25" spans="2:14" x14ac:dyDescent="0.35">
      <c r="B25" s="195" t="s">
        <v>241</v>
      </c>
      <c r="D25" s="190"/>
      <c r="E25" s="190"/>
      <c r="F25" s="190"/>
      <c r="G25" s="196">
        <f>'Financial Model'!E468</f>
        <v>19552</v>
      </c>
      <c r="H25" s="196">
        <f>'Financial Model'!F468</f>
        <v>25488</v>
      </c>
      <c r="I25" s="196">
        <f>'Financial Model'!G468</f>
        <v>23967</v>
      </c>
      <c r="J25" s="196">
        <f>'Financial Model'!H468</f>
        <v>24126.514234096619</v>
      </c>
      <c r="K25" s="196">
        <f>'Financial Model'!I468</f>
        <v>27745.491369211115</v>
      </c>
      <c r="L25" s="196">
        <f>'Financial Model'!J468</f>
        <v>29214.630539481295</v>
      </c>
      <c r="M25" s="196">
        <f>'Financial Model'!K468</f>
        <v>33596.825120403482</v>
      </c>
      <c r="N25" s="196">
        <f>'Financial Model'!L468</f>
        <v>38636.34888846401</v>
      </c>
    </row>
    <row r="26" spans="2:14" x14ac:dyDescent="0.35">
      <c r="B26" s="163" t="s">
        <v>153</v>
      </c>
      <c r="D26" s="190"/>
      <c r="E26" s="190"/>
      <c r="F26" s="190"/>
      <c r="G26" s="256">
        <f>SUM(G23:G25)</f>
        <v>25659</v>
      </c>
      <c r="H26" s="256">
        <f t="shared" ref="H26:N26" si="3">SUM(H23:H25)</f>
        <v>30337</v>
      </c>
      <c r="I26" s="256">
        <f t="shared" si="3"/>
        <v>31654</v>
      </c>
      <c r="J26" s="256">
        <f t="shared" si="3"/>
        <v>32604.831679061565</v>
      </c>
      <c r="K26" s="256">
        <f t="shared" si="3"/>
        <v>37251.804804378058</v>
      </c>
      <c r="L26" s="256">
        <f t="shared" si="3"/>
        <v>40146.890989923275</v>
      </c>
      <c r="M26" s="256">
        <f t="shared" si="3"/>
        <v>46168.924638411765</v>
      </c>
      <c r="N26" s="256">
        <f t="shared" si="3"/>
        <v>53094.263334173535</v>
      </c>
    </row>
    <row r="27" spans="2:14" x14ac:dyDescent="0.35">
      <c r="D27" s="190"/>
      <c r="E27" s="190"/>
      <c r="F27" s="190"/>
    </row>
    <row r="28" spans="2:14" x14ac:dyDescent="0.35">
      <c r="B28" s="195" t="s">
        <v>154</v>
      </c>
      <c r="D28" s="190"/>
      <c r="E28" s="190"/>
      <c r="F28" s="190"/>
      <c r="G28" s="196">
        <f t="shared" ref="G28:N28" si="4">G21-G26</f>
        <v>-6848</v>
      </c>
      <c r="H28" s="196">
        <f t="shared" si="4"/>
        <v>-10375</v>
      </c>
      <c r="I28" s="196">
        <f t="shared" si="4"/>
        <v>-9424</v>
      </c>
      <c r="J28" s="196">
        <f t="shared" si="4"/>
        <v>-6856.1436461848498</v>
      </c>
      <c r="K28" s="196">
        <f t="shared" si="4"/>
        <v>-3951.3603507479202</v>
      </c>
      <c r="L28" s="196">
        <f t="shared" si="4"/>
        <v>-1851.3798682486231</v>
      </c>
      <c r="M28" s="196">
        <f t="shared" si="4"/>
        <v>-1553.6602942234167</v>
      </c>
      <c r="N28" s="196">
        <f t="shared" si="4"/>
        <v>-1786.7093383569372</v>
      </c>
    </row>
    <row r="29" spans="2:14" x14ac:dyDescent="0.35">
      <c r="B29" s="163" t="s">
        <v>152</v>
      </c>
      <c r="D29" s="190"/>
      <c r="E29" s="190"/>
      <c r="F29" s="190"/>
      <c r="G29" s="256">
        <f>G28-F28</f>
        <v>-6848</v>
      </c>
      <c r="H29" s="256">
        <f t="shared" ref="H29:N29" si="5">H28-G28</f>
        <v>-3527</v>
      </c>
      <c r="I29" s="256">
        <f t="shared" si="5"/>
        <v>951</v>
      </c>
      <c r="J29" s="256">
        <f t="shared" si="5"/>
        <v>2567.8563538151502</v>
      </c>
      <c r="K29" s="256">
        <f t="shared" si="5"/>
        <v>2904.7832954369296</v>
      </c>
      <c r="L29" s="256">
        <f t="shared" si="5"/>
        <v>2099.9804824992971</v>
      </c>
      <c r="M29" s="256">
        <f t="shared" si="5"/>
        <v>297.71957402520638</v>
      </c>
      <c r="N29" s="256">
        <f t="shared" si="5"/>
        <v>-233.04904413352051</v>
      </c>
    </row>
    <row r="30" spans="2:14" x14ac:dyDescent="0.35">
      <c r="D30" s="190"/>
      <c r="E30" s="190"/>
      <c r="F30" s="190"/>
    </row>
    <row r="31" spans="2:14" x14ac:dyDescent="0.35">
      <c r="B31" s="163" t="s">
        <v>155</v>
      </c>
      <c r="D31" s="190"/>
      <c r="E31" s="190"/>
      <c r="F31" s="190"/>
      <c r="G31" s="292">
        <f t="shared" ref="G31:N31" si="6">G13+G15+G16-G29</f>
        <v>7673</v>
      </c>
      <c r="H31" s="293">
        <f t="shared" si="6"/>
        <v>26081</v>
      </c>
      <c r="I31" s="293">
        <f t="shared" si="6"/>
        <v>31556</v>
      </c>
      <c r="J31" s="293">
        <f t="shared" si="6"/>
        <v>38459.850216047089</v>
      </c>
      <c r="K31" s="293">
        <f t="shared" si="6"/>
        <v>45833.584974190366</v>
      </c>
      <c r="L31" s="293">
        <f t="shared" si="6"/>
        <v>55505.648741857789</v>
      </c>
      <c r="M31" s="293">
        <f t="shared" si="6"/>
        <v>67505.259748271157</v>
      </c>
      <c r="N31" s="294">
        <f t="shared" si="6"/>
        <v>79762.980979060027</v>
      </c>
    </row>
    <row r="33" spans="2:14" ht="18.600000000000001" customHeight="1" x14ac:dyDescent="0.3">
      <c r="B33" s="186" t="s">
        <v>156</v>
      </c>
      <c r="C33" s="186"/>
      <c r="D33" s="186"/>
      <c r="E33" s="186"/>
      <c r="F33" s="186"/>
      <c r="G33" s="186"/>
      <c r="H33" s="186"/>
      <c r="I33" s="186"/>
      <c r="J33" s="186"/>
      <c r="K33" s="186"/>
      <c r="L33" s="186"/>
      <c r="M33" s="186"/>
      <c r="N33" s="186"/>
    </row>
    <row r="35" spans="2:14" ht="16.05" customHeight="1" x14ac:dyDescent="0.3">
      <c r="B35" s="326" t="s">
        <v>74</v>
      </c>
      <c r="C35" s="326"/>
      <c r="G35" s="295" t="s">
        <v>157</v>
      </c>
      <c r="H35" s="296" t="s">
        <v>158</v>
      </c>
      <c r="I35" s="296"/>
      <c r="J35" s="296"/>
      <c r="K35" s="296"/>
      <c r="L35" s="296"/>
      <c r="M35" s="297" t="s">
        <v>159</v>
      </c>
    </row>
    <row r="36" spans="2:14" x14ac:dyDescent="0.3">
      <c r="G36" s="318" t="s">
        <v>160</v>
      </c>
      <c r="H36" s="319" t="s">
        <v>160</v>
      </c>
      <c r="I36" s="320" t="s">
        <v>160</v>
      </c>
      <c r="J36" s="320" t="s">
        <v>160</v>
      </c>
      <c r="K36" s="320" t="s">
        <v>160</v>
      </c>
      <c r="L36" s="321" t="s">
        <v>160</v>
      </c>
      <c r="M36" s="321" t="s">
        <v>160</v>
      </c>
    </row>
    <row r="37" spans="2:14" ht="16.05" customHeight="1" x14ac:dyDescent="0.3">
      <c r="B37" s="208" t="s">
        <v>127</v>
      </c>
      <c r="C37" s="298">
        <v>0.03</v>
      </c>
      <c r="E37" s="299" t="s">
        <v>161</v>
      </c>
      <c r="F37" s="206"/>
      <c r="G37" s="322">
        <f>DATE(2024,12,31)</f>
        <v>45657</v>
      </c>
      <c r="H37" s="323">
        <f>EDATE(G37,12)</f>
        <v>46022</v>
      </c>
      <c r="I37" s="324">
        <f t="shared" ref="I37:M37" si="7">EDATE(H37,12)</f>
        <v>46387</v>
      </c>
      <c r="J37" s="324">
        <f t="shared" si="7"/>
        <v>46752</v>
      </c>
      <c r="K37" s="324">
        <f t="shared" si="7"/>
        <v>47118</v>
      </c>
      <c r="L37" s="325">
        <f t="shared" si="7"/>
        <v>47483</v>
      </c>
      <c r="M37" s="325">
        <f t="shared" si="7"/>
        <v>47848</v>
      </c>
    </row>
    <row r="38" spans="2:14" x14ac:dyDescent="0.3">
      <c r="B38" s="214" t="s">
        <v>3</v>
      </c>
      <c r="C38" s="300">
        <f>Dashboard!I84</f>
        <v>9.4732818327027513E-2</v>
      </c>
    </row>
    <row r="40" spans="2:14" x14ac:dyDescent="0.3">
      <c r="B40" s="163" t="s">
        <v>146</v>
      </c>
      <c r="G40" s="301">
        <v>0</v>
      </c>
      <c r="H40" s="302">
        <f>J31</f>
        <v>38459.850216047089</v>
      </c>
      <c r="I40" s="302">
        <f>K31</f>
        <v>45833.584974190366</v>
      </c>
      <c r="J40" s="302">
        <f>L31</f>
        <v>55505.648741857789</v>
      </c>
      <c r="K40" s="302">
        <f>M31</f>
        <v>67505.259748271157</v>
      </c>
      <c r="L40" s="302">
        <f>N31</f>
        <v>79762.980979060027</v>
      </c>
      <c r="M40" s="303">
        <f>L40*(1+C37)</f>
        <v>82155.870408431831</v>
      </c>
    </row>
    <row r="41" spans="2:14" x14ac:dyDescent="0.3">
      <c r="B41" s="195"/>
      <c r="M41" s="165"/>
    </row>
    <row r="42" spans="2:14" x14ac:dyDescent="0.3">
      <c r="B42" s="163" t="s">
        <v>162</v>
      </c>
      <c r="M42" s="165"/>
    </row>
    <row r="43" spans="2:14" x14ac:dyDescent="0.3">
      <c r="B43" s="195" t="s">
        <v>158</v>
      </c>
      <c r="G43" s="304">
        <v>0</v>
      </c>
      <c r="H43" s="305">
        <f>H40</f>
        <v>38459.850216047089</v>
      </c>
      <c r="I43" s="305">
        <f t="shared" ref="I43:L43" si="8">I40</f>
        <v>45833.584974190366</v>
      </c>
      <c r="J43" s="305">
        <f t="shared" si="8"/>
        <v>55505.648741857789</v>
      </c>
      <c r="K43" s="305">
        <f t="shared" si="8"/>
        <v>67505.259748271157</v>
      </c>
      <c r="L43" s="305">
        <f t="shared" si="8"/>
        <v>79762.980979060027</v>
      </c>
      <c r="M43" s="165"/>
    </row>
    <row r="44" spans="2:14" x14ac:dyDescent="0.3">
      <c r="B44" s="195" t="s">
        <v>163</v>
      </c>
      <c r="G44" s="304">
        <v>0</v>
      </c>
      <c r="H44" s="305">
        <v>0</v>
      </c>
      <c r="I44" s="305">
        <v>0</v>
      </c>
      <c r="J44" s="305">
        <v>0</v>
      </c>
      <c r="K44" s="305">
        <v>0</v>
      </c>
      <c r="L44" s="305">
        <f>M40/(C38-C37)</f>
        <v>1269153.3063396651</v>
      </c>
      <c r="M44" s="165"/>
    </row>
    <row r="45" spans="2:14" x14ac:dyDescent="0.3">
      <c r="B45" s="195" t="s">
        <v>164</v>
      </c>
      <c r="G45" s="256">
        <f t="shared" ref="G45:L45" si="9">SUM(G43:G44)</f>
        <v>0</v>
      </c>
      <c r="H45" s="256">
        <f t="shared" si="9"/>
        <v>38459.850216047089</v>
      </c>
      <c r="I45" s="256">
        <f t="shared" si="9"/>
        <v>45833.584974190366</v>
      </c>
      <c r="J45" s="256">
        <f t="shared" si="9"/>
        <v>55505.648741857789</v>
      </c>
      <c r="K45" s="256">
        <f t="shared" si="9"/>
        <v>67505.259748271157</v>
      </c>
      <c r="L45" s="256">
        <f t="shared" si="9"/>
        <v>1348916.2873187251</v>
      </c>
      <c r="M45" s="165"/>
    </row>
    <row r="46" spans="2:14" x14ac:dyDescent="0.3">
      <c r="B46" s="195"/>
      <c r="M46" s="165"/>
    </row>
    <row r="47" spans="2:14" x14ac:dyDescent="0.3">
      <c r="B47" s="195" t="s">
        <v>165</v>
      </c>
      <c r="G47" s="304">
        <v>0</v>
      </c>
      <c r="H47" s="306">
        <f>YEARFRAC($G$37,H37)</f>
        <v>1</v>
      </c>
      <c r="I47" s="306">
        <f>YEARFRAC($G$37,I37)</f>
        <v>2</v>
      </c>
      <c r="J47" s="306">
        <f>YEARFRAC($G$37,J37)</f>
        <v>3</v>
      </c>
      <c r="K47" s="306">
        <f>YEARFRAC($G$37,K37)</f>
        <v>4</v>
      </c>
      <c r="L47" s="306">
        <f>YEARFRAC($G$37,L37)</f>
        <v>5</v>
      </c>
    </row>
    <row r="48" spans="2:14" x14ac:dyDescent="0.3">
      <c r="B48" s="195"/>
    </row>
    <row r="49" spans="2:14" x14ac:dyDescent="0.3">
      <c r="B49" s="163" t="s">
        <v>166</v>
      </c>
    </row>
    <row r="50" spans="2:14" x14ac:dyDescent="0.3">
      <c r="B50" s="195" t="s">
        <v>158</v>
      </c>
      <c r="G50" s="304">
        <v>0</v>
      </c>
      <c r="H50" s="305">
        <f>H43/(1+$C$38)^H47</f>
        <v>35131.72307634067</v>
      </c>
      <c r="I50" s="305">
        <f>I43/(1+$C$38)^I47</f>
        <v>38244.373630842638</v>
      </c>
      <c r="J50" s="305">
        <f>J43/(1+$C$38)^J47</f>
        <v>42307.052537238727</v>
      </c>
      <c r="K50" s="305">
        <f>K43/(1+$C$38)^K47</f>
        <v>47000.779617066233</v>
      </c>
      <c r="L50" s="305">
        <f>L43/(1+$C$38)^L47</f>
        <v>50729.512380552012</v>
      </c>
    </row>
    <row r="51" spans="2:14" x14ac:dyDescent="0.3">
      <c r="B51" s="195" t="s">
        <v>163</v>
      </c>
      <c r="G51" s="304">
        <v>0</v>
      </c>
      <c r="H51" s="305">
        <v>0</v>
      </c>
      <c r="I51" s="305">
        <v>0</v>
      </c>
      <c r="J51" s="305">
        <v>0</v>
      </c>
      <c r="K51" s="305">
        <v>0</v>
      </c>
      <c r="L51" s="305">
        <f>L44/(1+C38)^L47</f>
        <v>807185.58379455504</v>
      </c>
    </row>
    <row r="52" spans="2:14" x14ac:dyDescent="0.3">
      <c r="B52" s="195" t="s">
        <v>164</v>
      </c>
      <c r="G52" s="256">
        <f>SUM(G50:G51)</f>
        <v>0</v>
      </c>
      <c r="H52" s="256">
        <f>SUM(H50:H51)</f>
        <v>35131.72307634067</v>
      </c>
      <c r="I52" s="256">
        <f t="shared" ref="I52:L52" si="10">SUM(I50:I51)</f>
        <v>38244.373630842638</v>
      </c>
      <c r="J52" s="256">
        <f t="shared" si="10"/>
        <v>42307.052537238727</v>
      </c>
      <c r="K52" s="256">
        <f t="shared" si="10"/>
        <v>47000.779617066233</v>
      </c>
      <c r="L52" s="256">
        <f t="shared" si="10"/>
        <v>857915.09617510706</v>
      </c>
    </row>
    <row r="53" spans="2:14" x14ac:dyDescent="0.3">
      <c r="B53" s="195"/>
    </row>
    <row r="54" spans="2:14" x14ac:dyDescent="0.3">
      <c r="B54" s="195"/>
    </row>
    <row r="55" spans="2:14" ht="16.5" customHeight="1" x14ac:dyDescent="0.3">
      <c r="B55" s="195"/>
      <c r="C55" s="254" t="s">
        <v>167</v>
      </c>
      <c r="G55" s="254" t="s">
        <v>167</v>
      </c>
      <c r="L55" s="254" t="s">
        <v>187</v>
      </c>
    </row>
    <row r="56" spans="2:14" ht="16.95" customHeight="1" x14ac:dyDescent="0.3">
      <c r="B56" s="195"/>
      <c r="C56" s="252" t="s">
        <v>168</v>
      </c>
      <c r="D56" s="209"/>
      <c r="E56" s="210">
        <f>SUM(G52:L52)</f>
        <v>1020599.0250365953</v>
      </c>
      <c r="G56" s="252" t="s">
        <v>169</v>
      </c>
      <c r="H56" s="209"/>
      <c r="I56" s="307">
        <f>J56/$J$58</f>
        <v>0.20910606027120981</v>
      </c>
      <c r="J56" s="308">
        <f>SUM(H50:L50)</f>
        <v>213413.44124204028</v>
      </c>
      <c r="L56" s="252" t="s">
        <v>170</v>
      </c>
      <c r="M56" s="209"/>
      <c r="N56" s="308">
        <f>WACC!J15</f>
        <v>28826</v>
      </c>
    </row>
    <row r="57" spans="2:14" x14ac:dyDescent="0.3">
      <c r="C57" s="253" t="s">
        <v>171</v>
      </c>
      <c r="D57" s="215"/>
      <c r="E57" s="309">
        <f>XNPV(C38,G45:L45,G37:L37)</f>
        <v>1020374.6576883234</v>
      </c>
      <c r="G57" s="257" t="s">
        <v>172</v>
      </c>
      <c r="I57" s="310">
        <f>J57/$J$58</f>
        <v>0.79089393972879019</v>
      </c>
      <c r="J57" s="311">
        <f>L51</f>
        <v>807185.58379455504</v>
      </c>
      <c r="L57" s="257" t="s">
        <v>173</v>
      </c>
      <c r="N57" s="311">
        <f>'Financial Model'!G448+'Financial Model'!G449</f>
        <v>77815</v>
      </c>
    </row>
    <row r="58" spans="2:14" x14ac:dyDescent="0.3">
      <c r="G58" s="214" t="s">
        <v>174</v>
      </c>
      <c r="H58" s="312"/>
      <c r="I58" s="313">
        <f>SUM(I56:I57)</f>
        <v>1</v>
      </c>
      <c r="J58" s="314">
        <f>SUM(J56:J57)</f>
        <v>1020599.0250365953</v>
      </c>
      <c r="L58" s="214" t="s">
        <v>175</v>
      </c>
      <c r="M58" s="312"/>
      <c r="N58" s="314">
        <f>N56-N57</f>
        <v>-48989</v>
      </c>
    </row>
    <row r="59" spans="2:14" x14ac:dyDescent="0.3">
      <c r="E59" s="315"/>
    </row>
    <row r="60" spans="2:14" x14ac:dyDescent="0.3">
      <c r="C60" s="254" t="s">
        <v>176</v>
      </c>
      <c r="G60" s="254" t="s">
        <v>177</v>
      </c>
    </row>
    <row r="61" spans="2:14" ht="16.5" customHeight="1" x14ac:dyDescent="0.3">
      <c r="C61" s="252" t="s">
        <v>174</v>
      </c>
      <c r="D61" s="209"/>
      <c r="E61" s="308">
        <f>E57</f>
        <v>1020374.6576883234</v>
      </c>
      <c r="G61" s="252" t="s">
        <v>178</v>
      </c>
      <c r="H61" s="209"/>
      <c r="I61" s="209"/>
      <c r="J61" s="308">
        <f>E63</f>
        <v>1069363.6576883234</v>
      </c>
    </row>
    <row r="62" spans="2:14" x14ac:dyDescent="0.3">
      <c r="C62" s="257" t="s">
        <v>179</v>
      </c>
      <c r="E62" s="311">
        <f>-N58</f>
        <v>48989</v>
      </c>
      <c r="G62" s="257" t="s">
        <v>180</v>
      </c>
      <c r="J62" s="311">
        <f>WACC!D15</f>
        <v>2533</v>
      </c>
    </row>
    <row r="63" spans="2:14" x14ac:dyDescent="0.3">
      <c r="C63" s="214" t="s">
        <v>178</v>
      </c>
      <c r="D63" s="312"/>
      <c r="E63" s="314">
        <f>SUM(E61:E62)</f>
        <v>1069363.6576883234</v>
      </c>
      <c r="G63" s="214" t="s">
        <v>181</v>
      </c>
      <c r="H63" s="312"/>
      <c r="I63" s="316" t="s">
        <v>130</v>
      </c>
      <c r="J63" s="317">
        <f>J61/J62</f>
        <v>422.1727823483314</v>
      </c>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Drop Down 1">
              <controlPr defaultSize="0" autoLine="0" autoPict="0">
                <anchor moveWithCells="1">
                  <from>
                    <xdr:col>2</xdr:col>
                    <xdr:colOff>0</xdr:colOff>
                    <xdr:row>2</xdr:row>
                    <xdr:rowOff>0</xdr:rowOff>
                  </from>
                  <to>
                    <xdr:col>3</xdr:col>
                    <xdr:colOff>388620</xdr:colOff>
                    <xdr:row>2</xdr:row>
                    <xdr:rowOff>182880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E87BF-E4FE-4A9A-949E-7E767EC2E87C}">
  <dimension ref="B1:R494"/>
  <sheetViews>
    <sheetView showGridLines="0" topLeftCell="A14" zoomScale="85" zoomScaleNormal="85" workbookViewId="0">
      <selection activeCell="B16" sqref="B16"/>
    </sheetView>
  </sheetViews>
  <sheetFormatPr defaultRowHeight="15.6" x14ac:dyDescent="0.3"/>
  <cols>
    <col min="1" max="8" width="8.88671875" style="164"/>
    <col min="9" max="9" width="16.109375" style="164" customWidth="1"/>
    <col min="10" max="16384" width="8.88671875" style="164"/>
  </cols>
  <sheetData>
    <row r="1" spans="2:18" ht="86.4" customHeight="1" x14ac:dyDescent="0.3">
      <c r="B1" s="187"/>
      <c r="C1" s="187"/>
      <c r="D1" s="187"/>
      <c r="E1" s="187"/>
      <c r="F1" s="187"/>
      <c r="G1" s="187"/>
      <c r="H1" s="187"/>
      <c r="I1" s="187"/>
      <c r="J1" s="187"/>
      <c r="K1" s="187"/>
      <c r="L1" s="187"/>
      <c r="M1" s="187"/>
      <c r="N1" s="187"/>
      <c r="O1" s="187"/>
      <c r="P1" s="187"/>
      <c r="Q1" s="187"/>
      <c r="R1" s="187"/>
    </row>
    <row r="3" spans="2:18" ht="18.600000000000001" customHeight="1" x14ac:dyDescent="0.3">
      <c r="B3" s="186" t="s">
        <v>197</v>
      </c>
      <c r="C3" s="186"/>
      <c r="D3" s="186"/>
      <c r="E3" s="186"/>
      <c r="F3" s="186"/>
      <c r="G3" s="186"/>
      <c r="H3" s="186"/>
      <c r="I3" s="186"/>
      <c r="J3" s="186"/>
      <c r="K3" s="186"/>
      <c r="L3" s="186"/>
      <c r="M3" s="186"/>
      <c r="N3" s="186"/>
      <c r="O3" s="186"/>
      <c r="P3" s="186"/>
      <c r="Q3" s="186"/>
      <c r="R3" s="186"/>
    </row>
    <row r="5" spans="2:18" x14ac:dyDescent="0.3">
      <c r="B5" s="261" t="s">
        <v>74</v>
      </c>
      <c r="C5" s="261"/>
      <c r="D5" s="261"/>
      <c r="E5" s="261"/>
      <c r="F5" s="261"/>
    </row>
    <row r="8" spans="2:18" ht="31.2" x14ac:dyDescent="0.3">
      <c r="B8" s="327" t="s">
        <v>198</v>
      </c>
      <c r="C8" s="328"/>
      <c r="D8" s="328"/>
      <c r="E8" s="328"/>
      <c r="F8" s="328"/>
      <c r="G8" s="329" t="s">
        <v>190</v>
      </c>
      <c r="H8" s="330" t="s">
        <v>199</v>
      </c>
      <c r="I8" s="330" t="s">
        <v>174</v>
      </c>
      <c r="J8" s="329" t="s">
        <v>200</v>
      </c>
      <c r="K8" s="331" t="s">
        <v>201</v>
      </c>
      <c r="L8" s="332" t="s">
        <v>202</v>
      </c>
      <c r="M8" s="330" t="s">
        <v>203</v>
      </c>
    </row>
    <row r="9" spans="2:18" x14ac:dyDescent="0.3">
      <c r="B9" s="255"/>
      <c r="C9" s="255"/>
      <c r="D9" s="255"/>
      <c r="E9" s="255"/>
      <c r="F9" s="255"/>
      <c r="G9" s="333"/>
      <c r="H9" s="334" t="s">
        <v>130</v>
      </c>
      <c r="I9" s="255"/>
      <c r="J9" s="333" t="s">
        <v>204</v>
      </c>
      <c r="K9" s="335" t="s">
        <v>204</v>
      </c>
      <c r="L9" s="333" t="s">
        <v>204</v>
      </c>
      <c r="M9" s="334" t="s">
        <v>204</v>
      </c>
    </row>
    <row r="10" spans="2:18" x14ac:dyDescent="0.3">
      <c r="B10" s="255"/>
      <c r="C10" s="255"/>
      <c r="D10" s="255"/>
      <c r="E10" s="255"/>
      <c r="F10" s="255"/>
      <c r="G10" s="333"/>
      <c r="H10" s="334"/>
      <c r="I10" s="255"/>
      <c r="J10" s="333"/>
      <c r="K10" s="335"/>
      <c r="L10" s="333"/>
      <c r="M10" s="334"/>
    </row>
    <row r="11" spans="2:18" x14ac:dyDescent="0.3">
      <c r="B11" s="166" t="s">
        <v>384</v>
      </c>
      <c r="G11" s="336" t="s">
        <v>385</v>
      </c>
      <c r="H11" s="337">
        <v>484.26</v>
      </c>
      <c r="I11" s="338">
        <v>1240000</v>
      </c>
      <c r="J11" s="339">
        <v>83720</v>
      </c>
      <c r="K11" s="337">
        <v>14.29</v>
      </c>
      <c r="L11" s="340">
        <v>23.87</v>
      </c>
      <c r="M11" s="337">
        <v>21.02</v>
      </c>
    </row>
    <row r="12" spans="2:18" x14ac:dyDescent="0.3">
      <c r="B12" s="166" t="s">
        <v>402</v>
      </c>
      <c r="G12" s="336" t="s">
        <v>401</v>
      </c>
      <c r="H12" s="337">
        <v>1047.45</v>
      </c>
      <c r="I12" s="338">
        <v>427070</v>
      </c>
      <c r="J12" s="339">
        <v>11450</v>
      </c>
      <c r="K12" s="337">
        <v>15.78</v>
      </c>
      <c r="L12" s="340">
        <v>21.14</v>
      </c>
      <c r="M12" s="337">
        <v>46.69</v>
      </c>
    </row>
    <row r="13" spans="2:18" x14ac:dyDescent="0.3">
      <c r="B13" s="166" t="s">
        <v>400</v>
      </c>
      <c r="G13" s="336" t="s">
        <v>212</v>
      </c>
      <c r="H13" s="337">
        <v>152.96</v>
      </c>
      <c r="I13" s="338">
        <v>1740000</v>
      </c>
      <c r="J13" s="339">
        <v>129500</v>
      </c>
      <c r="K13" s="337">
        <v>12.87</v>
      </c>
      <c r="L13" s="340">
        <v>8.0500000000000007</v>
      </c>
      <c r="M13" s="337">
        <v>19</v>
      </c>
    </row>
    <row r="14" spans="2:18" x14ac:dyDescent="0.3">
      <c r="B14" s="166" t="s">
        <v>210</v>
      </c>
      <c r="G14" s="336" t="s">
        <v>211</v>
      </c>
      <c r="H14" s="337">
        <v>198.65</v>
      </c>
      <c r="I14" s="338">
        <v>2940000</v>
      </c>
      <c r="J14" s="339">
        <v>137350</v>
      </c>
      <c r="K14" s="337">
        <v>21.44</v>
      </c>
      <c r="L14" s="340">
        <v>6.3</v>
      </c>
      <c r="M14" s="337">
        <v>31.56</v>
      </c>
    </row>
    <row r="15" spans="2:18" x14ac:dyDescent="0.3">
      <c r="B15" s="215"/>
      <c r="C15" s="215"/>
      <c r="D15" s="215"/>
      <c r="E15" s="215"/>
      <c r="F15" s="215"/>
      <c r="G15" s="343"/>
      <c r="H15" s="215"/>
      <c r="I15" s="215"/>
      <c r="J15" s="344"/>
      <c r="K15" s="345"/>
      <c r="L15" s="344"/>
      <c r="M15" s="215"/>
    </row>
    <row r="16" spans="2:18" x14ac:dyDescent="0.3">
      <c r="G16" s="346"/>
    </row>
    <row r="18" spans="2:18" ht="18.600000000000001" customHeight="1" x14ac:dyDescent="0.3">
      <c r="B18" s="186" t="s">
        <v>205</v>
      </c>
      <c r="C18" s="186"/>
      <c r="D18" s="186"/>
      <c r="E18" s="186"/>
      <c r="F18" s="186"/>
      <c r="G18" s="186"/>
      <c r="H18" s="186"/>
      <c r="I18" s="186"/>
      <c r="J18" s="186"/>
      <c r="K18" s="186"/>
      <c r="L18" s="186"/>
      <c r="M18" s="186"/>
      <c r="N18" s="186"/>
      <c r="O18" s="186"/>
      <c r="P18" s="186"/>
      <c r="Q18" s="186"/>
      <c r="R18" s="186"/>
    </row>
    <row r="20" spans="2:18" x14ac:dyDescent="0.3">
      <c r="B20" s="261" t="s">
        <v>74</v>
      </c>
      <c r="C20" s="261"/>
      <c r="D20" s="261"/>
      <c r="E20" s="261"/>
      <c r="F20" s="261"/>
    </row>
    <row r="22" spans="2:18" ht="31.2" x14ac:dyDescent="0.3">
      <c r="B22" s="327" t="s">
        <v>205</v>
      </c>
      <c r="C22" s="328"/>
      <c r="D22" s="328"/>
      <c r="E22" s="328"/>
      <c r="F22" s="328"/>
      <c r="G22" s="347"/>
      <c r="H22" s="330"/>
      <c r="I22" s="331" t="s">
        <v>174</v>
      </c>
      <c r="J22" s="347" t="s">
        <v>200</v>
      </c>
      <c r="K22" s="331" t="s">
        <v>201</v>
      </c>
    </row>
    <row r="23" spans="2:18" x14ac:dyDescent="0.3">
      <c r="B23" s="255"/>
      <c r="C23" s="255"/>
      <c r="D23" s="255"/>
      <c r="E23" s="255"/>
      <c r="F23" s="255"/>
      <c r="G23" s="334"/>
      <c r="H23" s="334"/>
      <c r="I23" s="348"/>
      <c r="J23" s="334" t="s">
        <v>204</v>
      </c>
      <c r="K23" s="335" t="s">
        <v>204</v>
      </c>
    </row>
    <row r="24" spans="2:18" x14ac:dyDescent="0.3">
      <c r="B24" s="166" t="s">
        <v>206</v>
      </c>
      <c r="G24" s="349"/>
      <c r="H24" s="341"/>
      <c r="I24" s="350">
        <f>K24*J24</f>
        <v>1347473.4</v>
      </c>
      <c r="J24" s="351">
        <v>83720</v>
      </c>
      <c r="K24" s="342">
        <f>AVERAGE($K$11:$K$14)</f>
        <v>16.094999999999999</v>
      </c>
    </row>
    <row r="25" spans="2:18" x14ac:dyDescent="0.3">
      <c r="B25" s="166" t="s">
        <v>207</v>
      </c>
      <c r="G25" s="349"/>
      <c r="H25" s="341"/>
      <c r="I25" s="350">
        <f t="shared" ref="I25:I27" si="0">K25*J25</f>
        <v>1258730.2</v>
      </c>
      <c r="J25" s="351">
        <v>83720</v>
      </c>
      <c r="K25" s="342">
        <f>MEDIAN($K$11:$K$14)</f>
        <v>15.035</v>
      </c>
    </row>
    <row r="26" spans="2:18" x14ac:dyDescent="0.3">
      <c r="B26" s="166" t="s">
        <v>208</v>
      </c>
      <c r="G26" s="349"/>
      <c r="H26" s="341"/>
      <c r="I26" s="350">
        <f t="shared" si="0"/>
        <v>1794956.8</v>
      </c>
      <c r="J26" s="351">
        <v>83720</v>
      </c>
      <c r="K26" s="342">
        <f>MAX($K$11:$K$14)</f>
        <v>21.44</v>
      </c>
    </row>
    <row r="27" spans="2:18" x14ac:dyDescent="0.3">
      <c r="B27" s="352" t="s">
        <v>209</v>
      </c>
      <c r="C27" s="215"/>
      <c r="D27" s="215"/>
      <c r="E27" s="215"/>
      <c r="F27" s="215"/>
      <c r="G27" s="353"/>
      <c r="H27" s="354"/>
      <c r="I27" s="355">
        <f t="shared" si="0"/>
        <v>1077476.3999999999</v>
      </c>
      <c r="J27" s="356">
        <v>83720</v>
      </c>
      <c r="K27" s="357">
        <f>MIN($K$11:$K$14)</f>
        <v>12.87</v>
      </c>
    </row>
    <row r="487" spans="2:15" x14ac:dyDescent="0.3">
      <c r="B487" s="164" t="s">
        <v>112</v>
      </c>
      <c r="E487" s="164">
        <f>E247</f>
        <v>0</v>
      </c>
      <c r="F487" s="164">
        <f t="shared" ref="F487:O487" si="1">F247</f>
        <v>0</v>
      </c>
      <c r="G487" s="164">
        <f t="shared" si="1"/>
        <v>0</v>
      </c>
      <c r="H487" s="164">
        <f t="shared" si="1"/>
        <v>0</v>
      </c>
      <c r="I487" s="164">
        <f t="shared" si="1"/>
        <v>0</v>
      </c>
      <c r="J487" s="164">
        <f t="shared" si="1"/>
        <v>0</v>
      </c>
      <c r="K487" s="164">
        <f t="shared" si="1"/>
        <v>0</v>
      </c>
      <c r="L487" s="164">
        <f t="shared" si="1"/>
        <v>0</v>
      </c>
      <c r="M487" s="164">
        <f t="shared" si="1"/>
        <v>0</v>
      </c>
      <c r="N487" s="164">
        <f t="shared" si="1"/>
        <v>0</v>
      </c>
      <c r="O487" s="164">
        <f t="shared" si="1"/>
        <v>0</v>
      </c>
    </row>
    <row r="494" spans="2:15" x14ac:dyDescent="0.3">
      <c r="E494" s="164" t="e">
        <f>-E500/E486</f>
        <v>#DIV/0!</v>
      </c>
      <c r="F494" s="164" t="e">
        <f t="shared" ref="F494:J494" si="2">-F500/F487</f>
        <v>#DIV/0!</v>
      </c>
      <c r="G494" s="164" t="e">
        <f t="shared" si="2"/>
        <v>#DIV/0!</v>
      </c>
      <c r="H494" s="164" t="e">
        <f t="shared" si="2"/>
        <v>#DIV/0!</v>
      </c>
      <c r="I494" s="164" t="e">
        <f t="shared" si="2"/>
        <v>#DIV/0!</v>
      </c>
      <c r="J494" s="164" t="e">
        <f t="shared" si="2"/>
        <v>#DIV/0!</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AA5E1-931E-4678-901B-1EE9C5C4A59D}">
  <dimension ref="B1:Q761"/>
  <sheetViews>
    <sheetView showGridLines="0" zoomScale="80" zoomScaleNormal="80" workbookViewId="0">
      <selection activeCell="E425" sqref="E425"/>
    </sheetView>
  </sheetViews>
  <sheetFormatPr defaultRowHeight="15.6" outlineLevelRow="1" x14ac:dyDescent="0.3"/>
  <cols>
    <col min="1" max="1" width="8.88671875" style="1"/>
    <col min="2" max="2" width="40.5546875" style="1" customWidth="1"/>
    <col min="3" max="3" width="11.21875" style="1" customWidth="1"/>
    <col min="4" max="4" width="8.88671875" style="1"/>
    <col min="5" max="5" width="9.5546875" style="1" customWidth="1"/>
    <col min="6" max="6" width="9.109375" style="1" customWidth="1"/>
    <col min="7" max="7" width="8.88671875" style="1"/>
    <col min="8" max="9" width="8.88671875" style="1" customWidth="1"/>
    <col min="10" max="12" width="10" style="1" bestFit="1" customWidth="1"/>
    <col min="13" max="14" width="8.88671875" style="1"/>
    <col min="15" max="15" width="11.77734375" style="1" bestFit="1" customWidth="1"/>
    <col min="16" max="16" width="13.5546875" style="1" bestFit="1" customWidth="1"/>
    <col min="17" max="16384" width="8.88671875" style="1"/>
  </cols>
  <sheetData>
    <row r="1" spans="2:14" ht="86.4" customHeight="1" x14ac:dyDescent="0.3">
      <c r="B1" s="358"/>
      <c r="C1" s="358"/>
      <c r="D1" s="358"/>
      <c r="E1" s="358"/>
      <c r="F1" s="358"/>
      <c r="G1" s="358"/>
      <c r="H1" s="358"/>
      <c r="I1" s="358"/>
      <c r="J1" s="358"/>
      <c r="K1" s="358"/>
      <c r="L1" s="358"/>
    </row>
    <row r="3" spans="2:14" x14ac:dyDescent="0.3">
      <c r="B3" s="261" t="s">
        <v>71</v>
      </c>
      <c r="C3" s="2">
        <f>Dashboard!C3</f>
        <v>1</v>
      </c>
      <c r="N3" s="3" t="s">
        <v>68</v>
      </c>
    </row>
    <row r="4" spans="2:14" x14ac:dyDescent="0.3">
      <c r="N4" s="3" t="s">
        <v>69</v>
      </c>
    </row>
    <row r="5" spans="2:14" ht="19.2" customHeight="1" x14ac:dyDescent="0.3">
      <c r="B5" s="186" t="s">
        <v>66</v>
      </c>
      <c r="C5" s="186"/>
      <c r="D5" s="186"/>
      <c r="E5" s="186"/>
      <c r="F5" s="186"/>
      <c r="G5" s="186"/>
      <c r="H5" s="186"/>
      <c r="I5" s="186"/>
      <c r="J5" s="186"/>
      <c r="K5" s="186"/>
      <c r="L5" s="186"/>
      <c r="N5" s="3" t="s">
        <v>70</v>
      </c>
    </row>
    <row r="6" spans="2:14" hidden="1" outlineLevel="1" x14ac:dyDescent="0.3"/>
    <row r="7" spans="2:14" ht="16.2" hidden="1" outlineLevel="1" thickBot="1" x14ac:dyDescent="0.35">
      <c r="B7" s="261" t="s">
        <v>74</v>
      </c>
      <c r="D7" s="4">
        <v>2021</v>
      </c>
      <c r="E7" s="4">
        <f>D7+1</f>
        <v>2022</v>
      </c>
      <c r="F7" s="4">
        <f t="shared" ref="F7" si="0">E7+1</f>
        <v>2023</v>
      </c>
      <c r="G7" s="4">
        <f t="shared" ref="G7" si="1">F7+1</f>
        <v>2024</v>
      </c>
      <c r="H7" s="5">
        <f t="shared" ref="H7" si="2">G7+1</f>
        <v>2025</v>
      </c>
      <c r="I7" s="5">
        <f t="shared" ref="I7" si="3">H7+1</f>
        <v>2026</v>
      </c>
      <c r="J7" s="5">
        <f t="shared" ref="J7" si="4">I7+1</f>
        <v>2027</v>
      </c>
      <c r="K7" s="5">
        <f t="shared" ref="K7" si="5">J7+1</f>
        <v>2028</v>
      </c>
      <c r="L7" s="5">
        <f t="shared" ref="L7" si="6">K7+1</f>
        <v>2029</v>
      </c>
    </row>
    <row r="8" spans="2:14" hidden="1" outlineLevel="1" x14ac:dyDescent="0.3">
      <c r="D8" s="6"/>
      <c r="E8" s="6"/>
      <c r="F8" s="6"/>
      <c r="G8" s="7"/>
      <c r="H8" s="7"/>
      <c r="I8" s="7"/>
      <c r="J8" s="7"/>
      <c r="K8" s="7"/>
      <c r="L8" s="7"/>
    </row>
    <row r="9" spans="2:14" hidden="1" outlineLevel="1" x14ac:dyDescent="0.3">
      <c r="B9" s="8" t="s">
        <v>7</v>
      </c>
      <c r="C9" s="8"/>
      <c r="D9" s="9">
        <v>365</v>
      </c>
      <c r="E9" s="9">
        <v>365</v>
      </c>
      <c r="F9" s="9">
        <v>365</v>
      </c>
      <c r="G9" s="9">
        <v>365</v>
      </c>
      <c r="H9" s="9">
        <v>365</v>
      </c>
      <c r="I9" s="9">
        <v>365</v>
      </c>
      <c r="J9" s="9">
        <v>365</v>
      </c>
      <c r="K9" s="9">
        <v>365</v>
      </c>
      <c r="L9" s="9">
        <v>365</v>
      </c>
    </row>
    <row r="10" spans="2:14" hidden="1" outlineLevel="1" x14ac:dyDescent="0.3">
      <c r="B10" s="8"/>
      <c r="C10" s="8"/>
      <c r="D10" s="9"/>
      <c r="E10" s="9"/>
      <c r="F10" s="9"/>
      <c r="G10" s="9"/>
      <c r="H10" s="9"/>
      <c r="I10" s="9"/>
      <c r="J10" s="9"/>
      <c r="K10" s="9"/>
      <c r="L10" s="9"/>
      <c r="N10" s="3"/>
    </row>
    <row r="11" spans="2:14" hidden="1" outlineLevel="1" x14ac:dyDescent="0.3">
      <c r="B11" s="8" t="s">
        <v>8</v>
      </c>
      <c r="C11" s="8"/>
      <c r="J11" s="10"/>
    </row>
    <row r="12" spans="2:14" hidden="1" outlineLevel="1" x14ac:dyDescent="0.35">
      <c r="B12" s="11" t="s">
        <v>72</v>
      </c>
      <c r="C12" s="11"/>
      <c r="D12" s="12"/>
      <c r="E12" s="13">
        <f>E379/D379-1</f>
        <v>-1.1193175554782941E-2</v>
      </c>
      <c r="F12" s="13">
        <f t="shared" ref="F12:G12" si="7">F379/E379-1</f>
        <v>0.15687468377226454</v>
      </c>
      <c r="G12" s="13">
        <f t="shared" si="7"/>
        <v>0.21941112807816054</v>
      </c>
      <c r="H12" s="14">
        <f t="shared" ref="H12:L18" si="8">CHOOSE($C$3,H108,H198,H288)</f>
        <v>0.15</v>
      </c>
      <c r="I12" s="14">
        <f t="shared" si="8"/>
        <v>0.15</v>
      </c>
      <c r="J12" s="14">
        <f t="shared" si="8"/>
        <v>0.15</v>
      </c>
      <c r="K12" s="14">
        <f t="shared" si="8"/>
        <v>0.15</v>
      </c>
      <c r="L12" s="14">
        <f t="shared" si="8"/>
        <v>0.15</v>
      </c>
    </row>
    <row r="13" spans="2:14" hidden="1" outlineLevel="1" x14ac:dyDescent="0.35">
      <c r="B13" s="11" t="s">
        <v>124</v>
      </c>
      <c r="C13" s="11"/>
      <c r="D13" s="12"/>
      <c r="E13" s="13">
        <f>E380/E379</f>
        <v>0.21652702621581524</v>
      </c>
      <c r="F13" s="13">
        <f t="shared" ref="F13:G13" si="9">F380/F379</f>
        <v>0.19242857778239017</v>
      </c>
      <c r="G13" s="13">
        <f t="shared" si="9"/>
        <v>0.18334842949282984</v>
      </c>
      <c r="H13" s="14">
        <f t="shared" si="8"/>
        <v>0.2044778019991027</v>
      </c>
      <c r="I13" s="14">
        <f t="shared" si="8"/>
        <v>0.2044778019991027</v>
      </c>
      <c r="J13" s="14">
        <f t="shared" si="8"/>
        <v>0.2044778019991027</v>
      </c>
      <c r="K13" s="14">
        <f t="shared" si="8"/>
        <v>0.2044778019991027</v>
      </c>
      <c r="L13" s="14">
        <f t="shared" si="8"/>
        <v>0.2044778019991027</v>
      </c>
    </row>
    <row r="14" spans="2:14" hidden="1" outlineLevel="1" x14ac:dyDescent="0.35">
      <c r="B14" s="11" t="s">
        <v>64</v>
      </c>
      <c r="C14" s="11"/>
      <c r="D14" s="12"/>
      <c r="E14" s="13">
        <f>E384/E379</f>
        <v>0.30304693462768739</v>
      </c>
      <c r="F14" s="13">
        <f t="shared" ref="F14:G14" si="10">F384/F379</f>
        <v>0.28526634149234259</v>
      </c>
      <c r="G14" s="13">
        <f t="shared" si="10"/>
        <v>0.26670354587510109</v>
      </c>
      <c r="H14" s="14">
        <f t="shared" si="8"/>
        <v>0.26</v>
      </c>
      <c r="I14" s="14">
        <f t="shared" si="8"/>
        <v>0.26</v>
      </c>
      <c r="J14" s="14">
        <f t="shared" si="8"/>
        <v>0.26</v>
      </c>
      <c r="K14" s="14">
        <f t="shared" si="8"/>
        <v>0.26</v>
      </c>
      <c r="L14" s="14">
        <f t="shared" si="8"/>
        <v>0.26</v>
      </c>
    </row>
    <row r="15" spans="2:14" hidden="1" outlineLevel="1" x14ac:dyDescent="0.35">
      <c r="B15" s="11" t="s">
        <v>264</v>
      </c>
      <c r="C15" s="11"/>
      <c r="D15" s="12"/>
      <c r="E15" s="13">
        <f>E385/E379</f>
        <v>0.13088183587887728</v>
      </c>
      <c r="F15" s="13">
        <f t="shared" ref="F15:G15" si="11">F385/F379</f>
        <v>9.118471186490934E-2</v>
      </c>
      <c r="G15" s="13">
        <f t="shared" si="11"/>
        <v>6.8978304083257849E-2</v>
      </c>
      <c r="H15" s="14">
        <f t="shared" si="8"/>
        <v>8.5000000000000006E-2</v>
      </c>
      <c r="I15" s="14">
        <f t="shared" si="8"/>
        <v>8.5000000000000006E-2</v>
      </c>
      <c r="J15" s="14">
        <f t="shared" si="8"/>
        <v>8.5000000000000006E-2</v>
      </c>
      <c r="K15" s="14">
        <f t="shared" si="8"/>
        <v>8.5000000000000006E-2</v>
      </c>
      <c r="L15" s="14">
        <f t="shared" si="8"/>
        <v>8.5000000000000006E-2</v>
      </c>
    </row>
    <row r="16" spans="2:14" hidden="1" outlineLevel="1" x14ac:dyDescent="0.35">
      <c r="B16" s="11" t="s">
        <v>265</v>
      </c>
      <c r="C16" s="11"/>
      <c r="D16" s="12"/>
      <c r="E16" s="13">
        <f>E386/E379</f>
        <v>0.10133008601394404</v>
      </c>
      <c r="F16" s="13">
        <f t="shared" ref="F16:G16" si="12">F386/F379</f>
        <v>8.4565091696194278E-2</v>
      </c>
      <c r="G16" s="13">
        <f t="shared" si="12"/>
        <v>5.9209366508410285E-2</v>
      </c>
      <c r="H16" s="14">
        <f t="shared" si="8"/>
        <v>7.0000000000000007E-2</v>
      </c>
      <c r="I16" s="14">
        <f t="shared" si="8"/>
        <v>7.0000000000000007E-2</v>
      </c>
      <c r="J16" s="14">
        <f t="shared" si="8"/>
        <v>7.0000000000000007E-2</v>
      </c>
      <c r="K16" s="14">
        <f t="shared" si="8"/>
        <v>7.0000000000000007E-2</v>
      </c>
      <c r="L16" s="14">
        <f t="shared" si="8"/>
        <v>7.0000000000000007E-2</v>
      </c>
    </row>
    <row r="17" spans="2:13" hidden="1" outlineLevel="1" x14ac:dyDescent="0.35">
      <c r="B17" s="11" t="s">
        <v>233</v>
      </c>
      <c r="C17" s="11"/>
      <c r="D17" s="12"/>
      <c r="E17" s="15">
        <f>E391/E379</f>
        <v>-1.0719584251644384E-3</v>
      </c>
      <c r="F17" s="15">
        <f t="shared" ref="F17:G17" si="13">F391/F379</f>
        <v>5.018457843471557E-3</v>
      </c>
      <c r="G17" s="15">
        <f t="shared" si="13"/>
        <v>7.7993446848347425E-3</v>
      </c>
      <c r="H17" s="14">
        <f t="shared" si="8"/>
        <v>3.9152813677139535E-3</v>
      </c>
      <c r="I17" s="14">
        <f t="shared" si="8"/>
        <v>3.9152813677139535E-3</v>
      </c>
      <c r="J17" s="14">
        <f t="shared" si="8"/>
        <v>3.9152813677139535E-3</v>
      </c>
      <c r="K17" s="14">
        <f t="shared" si="8"/>
        <v>3.9152813677139535E-3</v>
      </c>
      <c r="L17" s="14">
        <f t="shared" si="8"/>
        <v>3.9152813677139535E-3</v>
      </c>
    </row>
    <row r="18" spans="2:13" hidden="1" outlineLevel="1" x14ac:dyDescent="0.35">
      <c r="B18" s="11" t="s">
        <v>266</v>
      </c>
      <c r="C18" s="11"/>
      <c r="D18" s="12"/>
      <c r="E18" s="13">
        <f>E394/E392</f>
        <v>0.19497553697213643</v>
      </c>
      <c r="F18" s="13">
        <f t="shared" ref="F18:G18" si="14">F394/F392</f>
        <v>0.17563464620055663</v>
      </c>
      <c r="G18" s="13">
        <f t="shared" si="14"/>
        <v>0.11750137978857393</v>
      </c>
      <c r="H18" s="14">
        <f t="shared" si="8"/>
        <v>0.16270385432042234</v>
      </c>
      <c r="I18" s="14">
        <f t="shared" si="8"/>
        <v>0.16270385432042234</v>
      </c>
      <c r="J18" s="14">
        <f t="shared" si="8"/>
        <v>0.16270385432042234</v>
      </c>
      <c r="K18" s="14">
        <f t="shared" si="8"/>
        <v>0.16270385432042234</v>
      </c>
      <c r="L18" s="14">
        <f t="shared" si="8"/>
        <v>0.16270385432042234</v>
      </c>
      <c r="M18" s="16"/>
    </row>
    <row r="19" spans="2:13" hidden="1" outlineLevel="1" x14ac:dyDescent="0.35">
      <c r="B19" s="11"/>
      <c r="C19" s="11"/>
      <c r="D19" s="12"/>
      <c r="I19" s="17"/>
      <c r="J19" s="17"/>
      <c r="K19" s="17"/>
      <c r="L19" s="17"/>
    </row>
    <row r="20" spans="2:13" hidden="1" outlineLevel="1" x14ac:dyDescent="0.35">
      <c r="B20" s="8" t="s">
        <v>9</v>
      </c>
      <c r="C20" s="8"/>
      <c r="D20" s="12"/>
      <c r="I20" s="17"/>
      <c r="J20" s="17"/>
      <c r="K20" s="17"/>
      <c r="L20" s="17"/>
    </row>
    <row r="21" spans="2:13" hidden="1" outlineLevel="1" x14ac:dyDescent="0.35">
      <c r="B21" s="11" t="s">
        <v>59</v>
      </c>
      <c r="C21" s="8"/>
      <c r="D21" s="12"/>
      <c r="E21" s="18">
        <f>(E9*E450)/E379</f>
        <v>42.150177087531837</v>
      </c>
      <c r="F21" s="18">
        <f>(F9*F450)/F379</f>
        <v>43.747942951179375</v>
      </c>
      <c r="G21" s="18">
        <f>(G9*G450)/G379</f>
        <v>37.706822450927348</v>
      </c>
      <c r="H21" s="19">
        <f t="shared" ref="H21:L31" si="15">CHOOSE($C$3,H117,H207,H297)</f>
        <v>38</v>
      </c>
      <c r="I21" s="19">
        <f t="shared" si="15"/>
        <v>42</v>
      </c>
      <c r="J21" s="19">
        <f t="shared" si="15"/>
        <v>42</v>
      </c>
      <c r="K21" s="19">
        <f t="shared" si="15"/>
        <v>42</v>
      </c>
      <c r="L21" s="19">
        <f t="shared" si="15"/>
        <v>42</v>
      </c>
    </row>
    <row r="22" spans="2:13" hidden="1" outlineLevel="1" x14ac:dyDescent="0.35">
      <c r="B22" s="11" t="s">
        <v>60</v>
      </c>
      <c r="C22" s="8"/>
      <c r="D22" s="12"/>
      <c r="E22" s="18">
        <f>(E9*E465)/E380</f>
        <v>72.135530120004759</v>
      </c>
      <c r="F22" s="18">
        <f>(F9*F465)/F380</f>
        <v>68.18001463846835</v>
      </c>
      <c r="G22" s="18">
        <f>(G9*G465)/G380</f>
        <v>93.02592752229701</v>
      </c>
      <c r="H22" s="19">
        <f t="shared" si="15"/>
        <v>80</v>
      </c>
      <c r="I22" s="19">
        <f t="shared" si="15"/>
        <v>78</v>
      </c>
      <c r="J22" s="19">
        <f t="shared" si="15"/>
        <v>78</v>
      </c>
      <c r="K22" s="19">
        <f t="shared" si="15"/>
        <v>78</v>
      </c>
      <c r="L22" s="19">
        <f t="shared" si="15"/>
        <v>78</v>
      </c>
    </row>
    <row r="23" spans="2:13" hidden="1" outlineLevel="1" x14ac:dyDescent="0.35">
      <c r="B23" s="11" t="s">
        <v>65</v>
      </c>
      <c r="D23" s="12"/>
      <c r="E23" s="13">
        <f>E449/E379</f>
        <v>0.22345616547607819</v>
      </c>
      <c r="F23" s="13">
        <f t="shared" ref="F23:G23" si="16">F449/F379</f>
        <v>0.17450445508591422</v>
      </c>
      <c r="G23" s="13">
        <f t="shared" si="16"/>
        <v>0.20623582835362703</v>
      </c>
      <c r="H23" s="14">
        <f t="shared" si="15"/>
        <v>0.20599999999999999</v>
      </c>
      <c r="I23" s="14">
        <f t="shared" si="15"/>
        <v>0.21</v>
      </c>
      <c r="J23" s="14">
        <f t="shared" si="15"/>
        <v>0.215</v>
      </c>
      <c r="K23" s="14">
        <f t="shared" si="15"/>
        <v>0.22</v>
      </c>
      <c r="L23" s="14">
        <f t="shared" si="15"/>
        <v>0.22</v>
      </c>
    </row>
    <row r="24" spans="2:13" hidden="1" outlineLevel="1" x14ac:dyDescent="0.35">
      <c r="B24" s="11" t="s">
        <v>326</v>
      </c>
      <c r="D24" s="12"/>
      <c r="E24" s="13">
        <f>E451/E379</f>
        <v>4.5836942260031384E-2</v>
      </c>
      <c r="F24" s="13">
        <f t="shared" ref="F24:G24" si="17">F451/F379</f>
        <v>2.8116706942817749E-2</v>
      </c>
      <c r="G24" s="13">
        <f t="shared" si="17"/>
        <v>3.1829593741071485E-2</v>
      </c>
      <c r="H24" s="14">
        <f t="shared" si="15"/>
        <v>3.2000000000000001E-2</v>
      </c>
      <c r="I24" s="14">
        <f t="shared" si="15"/>
        <v>3.7999999999999999E-2</v>
      </c>
      <c r="J24" s="14">
        <f t="shared" si="15"/>
        <v>3.7999999999999999E-2</v>
      </c>
      <c r="K24" s="14">
        <f t="shared" si="15"/>
        <v>0.04</v>
      </c>
      <c r="L24" s="14">
        <f t="shared" si="15"/>
        <v>0.04</v>
      </c>
    </row>
    <row r="25" spans="2:13" hidden="1" outlineLevel="1" x14ac:dyDescent="0.35">
      <c r="B25" s="11" t="s">
        <v>254</v>
      </c>
      <c r="D25" s="12"/>
      <c r="E25" s="18">
        <f>E455</f>
        <v>6201</v>
      </c>
      <c r="F25" s="18">
        <f t="shared" ref="F25:G25" si="18">F455</f>
        <v>6141</v>
      </c>
      <c r="G25" s="18">
        <f t="shared" si="18"/>
        <v>6070</v>
      </c>
      <c r="H25" s="20">
        <f t="shared" si="15"/>
        <v>6070</v>
      </c>
      <c r="I25" s="20">
        <f t="shared" si="15"/>
        <v>6300</v>
      </c>
      <c r="J25" s="20">
        <f t="shared" si="15"/>
        <v>6200</v>
      </c>
      <c r="K25" s="20">
        <f t="shared" si="15"/>
        <v>6200</v>
      </c>
      <c r="L25" s="20">
        <f t="shared" si="15"/>
        <v>6200</v>
      </c>
    </row>
    <row r="26" spans="2:13" hidden="1" outlineLevel="1" x14ac:dyDescent="0.35">
      <c r="B26" s="11" t="s">
        <v>262</v>
      </c>
      <c r="D26" s="12"/>
      <c r="E26" s="21">
        <f>E458</f>
        <v>897</v>
      </c>
      <c r="F26" s="21">
        <f t="shared" ref="F26:G26" si="19">F458</f>
        <v>0</v>
      </c>
      <c r="G26" s="21">
        <f t="shared" si="19"/>
        <v>0</v>
      </c>
      <c r="H26" s="22">
        <f t="shared" si="15"/>
        <v>0</v>
      </c>
      <c r="I26" s="22">
        <f t="shared" si="15"/>
        <v>0</v>
      </c>
      <c r="J26" s="22">
        <f t="shared" si="15"/>
        <v>0</v>
      </c>
      <c r="K26" s="22">
        <f t="shared" si="15"/>
        <v>0</v>
      </c>
      <c r="L26" s="22">
        <f t="shared" si="15"/>
        <v>0</v>
      </c>
    </row>
    <row r="27" spans="2:13" hidden="1" outlineLevel="1" x14ac:dyDescent="0.35">
      <c r="B27" s="11" t="s">
        <v>256</v>
      </c>
      <c r="D27" s="12"/>
      <c r="E27" s="23">
        <f t="shared" ref="E27:G27" si="20">E459</f>
        <v>20306</v>
      </c>
      <c r="F27" s="23">
        <f t="shared" si="20"/>
        <v>20654</v>
      </c>
      <c r="G27" s="23">
        <f t="shared" si="20"/>
        <v>20654</v>
      </c>
      <c r="H27" s="24">
        <f t="shared" si="15"/>
        <v>20654</v>
      </c>
      <c r="I27" s="24">
        <f t="shared" si="15"/>
        <v>20654</v>
      </c>
      <c r="J27" s="24">
        <f t="shared" si="15"/>
        <v>21000</v>
      </c>
      <c r="K27" s="24">
        <f t="shared" si="15"/>
        <v>21000</v>
      </c>
      <c r="L27" s="24">
        <f t="shared" si="15"/>
        <v>21000</v>
      </c>
    </row>
    <row r="28" spans="2:13" hidden="1" outlineLevel="1" x14ac:dyDescent="0.35">
      <c r="B28" s="11" t="s">
        <v>334</v>
      </c>
      <c r="D28" s="12"/>
      <c r="E28" s="13">
        <f>E460/E379</f>
        <v>5.6453618502859987E-2</v>
      </c>
      <c r="F28" s="13">
        <f>F460/F379</f>
        <v>5.6203762731464324E-2</v>
      </c>
      <c r="G28" s="13">
        <f>G460/G379</f>
        <v>7.9130218053385687E-2</v>
      </c>
      <c r="H28" s="14">
        <f t="shared" si="15"/>
        <v>7.9000000000000001E-2</v>
      </c>
      <c r="I28" s="14">
        <f t="shared" si="15"/>
        <v>0.08</v>
      </c>
      <c r="J28" s="14">
        <f t="shared" si="15"/>
        <v>8.2000000000000003E-2</v>
      </c>
      <c r="K28" s="14">
        <f t="shared" si="15"/>
        <v>8.5000000000000006E-2</v>
      </c>
      <c r="L28" s="14">
        <f t="shared" si="15"/>
        <v>8.5000000000000006E-2</v>
      </c>
    </row>
    <row r="29" spans="2:13" hidden="1" outlineLevel="1" x14ac:dyDescent="0.35">
      <c r="B29" s="11" t="s">
        <v>263</v>
      </c>
      <c r="D29" s="12"/>
      <c r="E29" s="21">
        <f>E466</f>
        <v>1117</v>
      </c>
      <c r="F29" s="21">
        <f t="shared" ref="F29:G29" si="21">F466</f>
        <v>0</v>
      </c>
      <c r="G29" s="21">
        <f t="shared" si="21"/>
        <v>0</v>
      </c>
      <c r="H29" s="14">
        <f t="shared" si="15"/>
        <v>0</v>
      </c>
      <c r="I29" s="14">
        <f t="shared" si="15"/>
        <v>0</v>
      </c>
      <c r="J29" s="14">
        <f t="shared" si="15"/>
        <v>0</v>
      </c>
      <c r="K29" s="14">
        <f t="shared" si="15"/>
        <v>0</v>
      </c>
      <c r="L29" s="14">
        <f t="shared" si="15"/>
        <v>0</v>
      </c>
    </row>
    <row r="30" spans="2:13" hidden="1" outlineLevel="1" x14ac:dyDescent="0.35">
      <c r="B30" s="11" t="s">
        <v>379</v>
      </c>
      <c r="D30" s="12"/>
      <c r="E30" s="13">
        <f>E474/(E456+E458)</f>
        <v>0</v>
      </c>
      <c r="F30" s="13">
        <f t="shared" ref="F30:G30" si="22">F474/(F456+F458)</f>
        <v>7.7795148415418222E-2</v>
      </c>
      <c r="G30" s="13">
        <f t="shared" si="22"/>
        <v>8.2301847609315512E-2</v>
      </c>
      <c r="H30" s="14">
        <f t="shared" si="15"/>
        <v>0.08</v>
      </c>
      <c r="I30" s="14">
        <f t="shared" si="15"/>
        <v>7.4999999999999997E-2</v>
      </c>
      <c r="J30" s="14">
        <f t="shared" si="15"/>
        <v>7.0000000000000007E-2</v>
      </c>
      <c r="K30" s="14">
        <f t="shared" si="15"/>
        <v>7.0000000000000007E-2</v>
      </c>
      <c r="L30" s="14">
        <f t="shared" si="15"/>
        <v>7.0000000000000007E-2</v>
      </c>
    </row>
    <row r="31" spans="2:13" hidden="1" outlineLevel="1" x14ac:dyDescent="0.35">
      <c r="B31" s="11" t="s">
        <v>333</v>
      </c>
      <c r="D31" s="12"/>
      <c r="E31" s="13">
        <f>E475/E379</f>
        <v>6.6581481703813603E-2</v>
      </c>
      <c r="F31" s="13">
        <f t="shared" ref="F31:G31" si="23">F475/F379</f>
        <v>1.0155520303627819E-2</v>
      </c>
      <c r="G31" s="13">
        <f t="shared" si="23"/>
        <v>1.6510537929860607E-2</v>
      </c>
      <c r="H31" s="14">
        <f t="shared" si="15"/>
        <v>1.7000000000000001E-2</v>
      </c>
      <c r="I31" s="14">
        <f t="shared" si="15"/>
        <v>1.4999999999999999E-2</v>
      </c>
      <c r="J31" s="14">
        <f t="shared" si="15"/>
        <v>1.4999999999999999E-2</v>
      </c>
      <c r="K31" s="14">
        <f t="shared" si="15"/>
        <v>1.4999999999999999E-2</v>
      </c>
      <c r="L31" s="14">
        <f t="shared" si="15"/>
        <v>1.4999999999999999E-2</v>
      </c>
    </row>
    <row r="32" spans="2:13" hidden="1" outlineLevel="1" x14ac:dyDescent="0.35">
      <c r="B32" s="11"/>
      <c r="D32" s="12"/>
      <c r="E32" s="11"/>
      <c r="F32" s="11"/>
      <c r="G32" s="11"/>
      <c r="H32" s="14"/>
      <c r="I32" s="14"/>
      <c r="J32" s="14"/>
      <c r="K32" s="14"/>
      <c r="L32" s="14"/>
    </row>
    <row r="33" spans="2:12" hidden="1" outlineLevel="1" x14ac:dyDescent="0.35">
      <c r="B33" s="8" t="s">
        <v>380</v>
      </c>
      <c r="D33" s="12"/>
      <c r="E33" s="11"/>
      <c r="F33" s="11"/>
      <c r="G33" s="11"/>
      <c r="H33" s="14"/>
      <c r="I33" s="14"/>
      <c r="J33" s="14"/>
      <c r="K33" s="14"/>
      <c r="L33" s="14"/>
    </row>
    <row r="34" spans="2:12" hidden="1" outlineLevel="1" x14ac:dyDescent="0.35">
      <c r="B34" s="28" t="s">
        <v>281</v>
      </c>
      <c r="D34" s="12"/>
      <c r="E34" s="13">
        <f>E572/E560</f>
        <v>0.29440266188716135</v>
      </c>
      <c r="F34" s="13">
        <f t="shared" ref="F34:G34" si="24">F572/F560</f>
        <v>0.3472001897673867</v>
      </c>
      <c r="G34" s="13">
        <f t="shared" si="24"/>
        <v>0.41578470647594845</v>
      </c>
      <c r="H34" s="14">
        <f t="shared" ref="H34:L38" si="25">CHOOSE($C$3,H130,H220,H310)</f>
        <v>0.43827699662015879</v>
      </c>
      <c r="I34" s="14">
        <f t="shared" si="25"/>
        <v>0.43827699662015879</v>
      </c>
      <c r="J34" s="14">
        <f t="shared" si="25"/>
        <v>0.43827699662015879</v>
      </c>
      <c r="K34" s="14">
        <f t="shared" si="25"/>
        <v>0.43827699662015879</v>
      </c>
      <c r="L34" s="14">
        <f t="shared" si="25"/>
        <v>0.43827699662015879</v>
      </c>
    </row>
    <row r="35" spans="2:12" hidden="1" outlineLevel="1" x14ac:dyDescent="0.35">
      <c r="B35" s="28" t="s">
        <v>283</v>
      </c>
      <c r="D35" s="12"/>
      <c r="E35" s="13">
        <f>E574/E560</f>
        <v>5.593050279137974E-2</v>
      </c>
      <c r="F35" s="13">
        <f t="shared" ref="F35:G35" si="26">F574/F560</f>
        <v>5.1681961720359965E-2</v>
      </c>
      <c r="G35" s="13">
        <f t="shared" si="26"/>
        <v>4.4334076996492423E-2</v>
      </c>
      <c r="H35" s="14">
        <f t="shared" si="25"/>
        <v>6.3224104431687481E-2</v>
      </c>
      <c r="I35" s="14">
        <f t="shared" si="25"/>
        <v>6.3224104431687481E-2</v>
      </c>
      <c r="J35" s="14">
        <f t="shared" si="25"/>
        <v>6.3224104431687481E-2</v>
      </c>
      <c r="K35" s="14">
        <f t="shared" si="25"/>
        <v>6.3224104431687481E-2</v>
      </c>
      <c r="L35" s="14">
        <f t="shared" si="25"/>
        <v>6.3224104431687481E-2</v>
      </c>
    </row>
    <row r="36" spans="2:12" hidden="1" outlineLevel="1" x14ac:dyDescent="0.35">
      <c r="B36" s="28" t="s">
        <v>284</v>
      </c>
      <c r="D36" s="12"/>
      <c r="E36" s="13">
        <f>E575/E560</f>
        <v>4.8383915478222093E-2</v>
      </c>
      <c r="F36" s="13">
        <f t="shared" ref="F36:G36" si="27">F575/F560</f>
        <v>5.4973239833360513E-2</v>
      </c>
      <c r="G36" s="13">
        <f t="shared" si="27"/>
        <v>4.3464781369110216E-2</v>
      </c>
      <c r="H36" s="14">
        <f t="shared" si="25"/>
        <v>6.1017050519502493E-2</v>
      </c>
      <c r="I36" s="14">
        <f t="shared" si="25"/>
        <v>6.1017050519502493E-2</v>
      </c>
      <c r="J36" s="14">
        <f t="shared" si="25"/>
        <v>6.1017050519502493E-2</v>
      </c>
      <c r="K36" s="14">
        <f t="shared" si="25"/>
        <v>6.1017050519502493E-2</v>
      </c>
      <c r="L36" s="14">
        <f t="shared" si="25"/>
        <v>6.1017050519502493E-2</v>
      </c>
    </row>
    <row r="37" spans="2:12" hidden="1" outlineLevel="1" x14ac:dyDescent="0.35">
      <c r="B37" s="28" t="s">
        <v>285</v>
      </c>
      <c r="D37" s="12"/>
      <c r="E37" s="13">
        <f>E577/E562</f>
        <v>0.80330917719489514</v>
      </c>
      <c r="F37" s="13">
        <f t="shared" ref="F37:G37" si="28">F577/F562</f>
        <v>0.89735625808837127</v>
      </c>
      <c r="G37" s="13">
        <f t="shared" si="28"/>
        <v>0.71940090186815542</v>
      </c>
      <c r="H37" s="14">
        <f t="shared" si="25"/>
        <v>0.80668877905047387</v>
      </c>
      <c r="I37" s="14">
        <f t="shared" si="25"/>
        <v>0.80668877905047387</v>
      </c>
      <c r="J37" s="14">
        <f t="shared" si="25"/>
        <v>0.80668877905047387</v>
      </c>
      <c r="K37" s="14">
        <f t="shared" si="25"/>
        <v>0.80668877905047387</v>
      </c>
      <c r="L37" s="14">
        <f t="shared" si="25"/>
        <v>0.80668877905047387</v>
      </c>
    </row>
    <row r="38" spans="2:12" hidden="1" outlineLevel="1" x14ac:dyDescent="0.35">
      <c r="B38" s="28" t="s">
        <v>286</v>
      </c>
      <c r="D38" s="12"/>
      <c r="E38" s="13"/>
      <c r="F38" s="13">
        <f>F576/E576-1</f>
        <v>0.2481359976140769</v>
      </c>
      <c r="G38" s="13">
        <f>G576/F576-1</f>
        <v>0.28649940262843487</v>
      </c>
      <c r="H38" s="14">
        <f t="shared" si="25"/>
        <v>0.24</v>
      </c>
      <c r="I38" s="14">
        <f t="shared" si="25"/>
        <v>0.24</v>
      </c>
      <c r="J38" s="14">
        <f t="shared" si="25"/>
        <v>0.24</v>
      </c>
      <c r="K38" s="14">
        <f t="shared" si="25"/>
        <v>0.15</v>
      </c>
      <c r="L38" s="14">
        <f t="shared" si="25"/>
        <v>0.15</v>
      </c>
    </row>
    <row r="39" spans="2:12" hidden="1" outlineLevel="1" x14ac:dyDescent="0.35">
      <c r="B39" s="11"/>
      <c r="D39" s="12"/>
      <c r="E39" s="11"/>
      <c r="F39" s="11"/>
      <c r="G39" s="11"/>
      <c r="H39" s="14"/>
      <c r="I39" s="14"/>
      <c r="J39" s="14"/>
      <c r="K39" s="14"/>
      <c r="L39" s="14"/>
    </row>
    <row r="40" spans="2:12" hidden="1" outlineLevel="1" x14ac:dyDescent="0.35">
      <c r="B40" s="8" t="s">
        <v>302</v>
      </c>
      <c r="D40" s="12"/>
      <c r="E40" s="12"/>
      <c r="F40" s="12"/>
      <c r="G40" s="12"/>
      <c r="H40" s="14"/>
      <c r="I40" s="14"/>
      <c r="J40" s="14"/>
      <c r="K40" s="14"/>
      <c r="L40" s="14"/>
    </row>
    <row r="41" spans="2:12" hidden="1" outlineLevel="1" x14ac:dyDescent="0.35">
      <c r="B41" s="11" t="s">
        <v>306</v>
      </c>
      <c r="D41" s="12"/>
      <c r="E41" s="13">
        <f>E619/E379</f>
        <v>0</v>
      </c>
      <c r="F41" s="13">
        <f>F619/F379</f>
        <v>6.3008702613749246E-2</v>
      </c>
      <c r="G41" s="13">
        <f>G619/G379</f>
        <v>6.3829399213378643E-2</v>
      </c>
      <c r="H41" s="14">
        <f t="shared" ref="H41:L42" si="29">CHOOSE($C$3,H137,H227,H317)</f>
        <v>6.4000000000000001E-2</v>
      </c>
      <c r="I41" s="14">
        <f t="shared" si="29"/>
        <v>6.4000000000000001E-2</v>
      </c>
      <c r="J41" s="14">
        <f t="shared" si="29"/>
        <v>6.4000000000000001E-2</v>
      </c>
      <c r="K41" s="14">
        <f t="shared" si="29"/>
        <v>6.4000000000000001E-2</v>
      </c>
      <c r="L41" s="14">
        <f t="shared" si="29"/>
        <v>6.4000000000000001E-2</v>
      </c>
    </row>
    <row r="42" spans="2:12" hidden="1" outlineLevel="1" x14ac:dyDescent="0.35">
      <c r="B42" s="11" t="s">
        <v>307</v>
      </c>
      <c r="D42" s="12"/>
      <c r="E42" s="13">
        <f>E621/E379</f>
        <v>-6.6032638990129412E-4</v>
      </c>
      <c r="F42" s="13">
        <f>F621/F379</f>
        <v>-8.5247068242131328E-4</v>
      </c>
      <c r="G42" s="13">
        <f>G621/G379</f>
        <v>-1.0577443298217032E-3</v>
      </c>
      <c r="H42" s="14">
        <f t="shared" si="29"/>
        <v>-1.1000000000000001E-3</v>
      </c>
      <c r="I42" s="14">
        <f t="shared" si="29"/>
        <v>-1.1000000000000001E-3</v>
      </c>
      <c r="J42" s="14">
        <f t="shared" si="29"/>
        <v>-1.1000000000000001E-3</v>
      </c>
      <c r="K42" s="14">
        <f t="shared" si="29"/>
        <v>-1.1000000000000001E-3</v>
      </c>
      <c r="L42" s="14">
        <f t="shared" si="29"/>
        <v>-1.1000000000000001E-3</v>
      </c>
    </row>
    <row r="43" spans="2:12" hidden="1" outlineLevel="1" x14ac:dyDescent="0.35">
      <c r="D43" s="12"/>
      <c r="H43" s="14"/>
      <c r="I43" s="14"/>
      <c r="J43" s="14"/>
      <c r="K43" s="14"/>
      <c r="L43" s="14"/>
    </row>
    <row r="44" spans="2:12" hidden="1" outlineLevel="1" x14ac:dyDescent="0.35">
      <c r="B44" s="163" t="s">
        <v>382</v>
      </c>
      <c r="D44" s="12"/>
      <c r="H44" s="14"/>
      <c r="I44" s="14"/>
      <c r="J44" s="14"/>
      <c r="K44" s="14"/>
      <c r="L44" s="14"/>
    </row>
    <row r="45" spans="2:12" hidden="1" outlineLevel="1" x14ac:dyDescent="0.35">
      <c r="B45" s="11" t="s">
        <v>109</v>
      </c>
      <c r="D45" s="12"/>
      <c r="E45" s="13">
        <f>E669/E652</f>
        <v>0.13743364577348233</v>
      </c>
      <c r="F45" s="13">
        <f t="shared" ref="F45:G45" si="30">F669/F652</f>
        <v>0.12956813093949682</v>
      </c>
      <c r="G45" s="13">
        <f t="shared" si="30"/>
        <v>0.12343997908827302</v>
      </c>
      <c r="H45" s="14">
        <f t="shared" ref="H45:L47" si="31">CHOOSE($C$3,H141,H231,H321)</f>
        <v>0.13</v>
      </c>
      <c r="I45" s="14">
        <f t="shared" si="31"/>
        <v>0.13</v>
      </c>
      <c r="J45" s="14">
        <f t="shared" si="31"/>
        <v>0.13</v>
      </c>
      <c r="K45" s="14">
        <f t="shared" si="31"/>
        <v>0.13</v>
      </c>
      <c r="L45" s="14">
        <f t="shared" si="31"/>
        <v>0.13</v>
      </c>
    </row>
    <row r="46" spans="2:12" hidden="1" outlineLevel="1" x14ac:dyDescent="0.35">
      <c r="B46" s="11" t="s">
        <v>297</v>
      </c>
      <c r="D46" s="12"/>
      <c r="E46" s="13">
        <f>E679/E652</f>
        <v>0.14293922424512687</v>
      </c>
      <c r="F46" s="13">
        <f t="shared" ref="F46:G46" si="32">F679/F652</f>
        <v>0.13972365124312464</v>
      </c>
      <c r="G46" s="13">
        <f t="shared" si="32"/>
        <v>0.12300229177938128</v>
      </c>
      <c r="H46" s="14">
        <f t="shared" si="31"/>
        <v>0.14000000000000001</v>
      </c>
      <c r="I46" s="14">
        <f t="shared" si="31"/>
        <v>0.14000000000000001</v>
      </c>
      <c r="J46" s="14">
        <f t="shared" si="31"/>
        <v>0.14000000000000001</v>
      </c>
      <c r="K46" s="14">
        <f t="shared" si="31"/>
        <v>0.14000000000000001</v>
      </c>
      <c r="L46" s="14">
        <f t="shared" si="31"/>
        <v>0.14000000000000001</v>
      </c>
    </row>
    <row r="47" spans="2:12" hidden="1" outlineLevel="1" x14ac:dyDescent="0.35">
      <c r="B47" s="11" t="s">
        <v>296</v>
      </c>
      <c r="D47" s="12"/>
      <c r="E47" s="13">
        <f>E674/E652</f>
        <v>5.8914835047037539E-3</v>
      </c>
      <c r="F47" s="13">
        <f t="shared" ref="F47:G47" si="33">F674/F652</f>
        <v>5.1148240945278799E-3</v>
      </c>
      <c r="G47" s="13">
        <f t="shared" si="33"/>
        <v>4.310004194503377E-3</v>
      </c>
      <c r="H47" s="14">
        <f t="shared" si="31"/>
        <v>5.0000000000000001E-3</v>
      </c>
      <c r="I47" s="14">
        <f t="shared" si="31"/>
        <v>5.0000000000000001E-3</v>
      </c>
      <c r="J47" s="14">
        <f t="shared" si="31"/>
        <v>5.0000000000000001E-3</v>
      </c>
      <c r="K47" s="14">
        <f t="shared" si="31"/>
        <v>5.0000000000000001E-3</v>
      </c>
      <c r="L47" s="14">
        <f t="shared" si="31"/>
        <v>5.0000000000000001E-3</v>
      </c>
    </row>
    <row r="48" spans="2:12" hidden="1" outlineLevel="1" x14ac:dyDescent="0.35">
      <c r="B48" s="11"/>
      <c r="D48" s="12"/>
      <c r="E48" s="12"/>
      <c r="F48" s="12"/>
      <c r="G48" s="12"/>
      <c r="H48" s="14"/>
      <c r="I48" s="14"/>
      <c r="J48" s="14"/>
      <c r="K48" s="14"/>
      <c r="L48" s="14"/>
    </row>
    <row r="49" spans="2:12" hidden="1" outlineLevel="1" x14ac:dyDescent="0.35">
      <c r="B49" s="163" t="s">
        <v>383</v>
      </c>
      <c r="D49" s="12"/>
      <c r="H49" s="14"/>
      <c r="I49" s="14"/>
      <c r="J49" s="14"/>
      <c r="K49" s="14"/>
      <c r="L49" s="14"/>
    </row>
    <row r="50" spans="2:12" hidden="1" outlineLevel="1" x14ac:dyDescent="0.35">
      <c r="B50" s="11" t="s">
        <v>317</v>
      </c>
      <c r="D50" s="12"/>
      <c r="E50" s="13">
        <f>E637/E608</f>
        <v>7.6823250448602928E-2</v>
      </c>
      <c r="F50" s="13">
        <f t="shared" ref="F50:G50" si="34">F637/F608</f>
        <v>0.10599434010805248</v>
      </c>
      <c r="G50" s="13">
        <f t="shared" si="34"/>
        <v>8.5021551724137931E-2</v>
      </c>
      <c r="H50" s="14">
        <f t="shared" ref="H50:L50" si="35">CHOOSE($C$3,H146,H236,H326)</f>
        <v>7.0000000000000007E-2</v>
      </c>
      <c r="I50" s="14">
        <f t="shared" si="35"/>
        <v>7.0000000000000007E-2</v>
      </c>
      <c r="J50" s="14">
        <f t="shared" si="35"/>
        <v>6.5000000000000002E-2</v>
      </c>
      <c r="K50" s="14">
        <f t="shared" si="35"/>
        <v>6.5000000000000002E-2</v>
      </c>
      <c r="L50" s="14">
        <f t="shared" si="35"/>
        <v>6.5000000000000002E-2</v>
      </c>
    </row>
    <row r="51" spans="2:12" hidden="1" outlineLevel="1" x14ac:dyDescent="0.35">
      <c r="B51" s="11" t="s">
        <v>318</v>
      </c>
      <c r="D51" s="12"/>
      <c r="E51" s="13">
        <f>E638/E608</f>
        <v>7.355485772878749E-2</v>
      </c>
      <c r="F51" s="13">
        <f t="shared" ref="F51:G51" si="36">F638/F608</f>
        <v>0.10707164908669925</v>
      </c>
      <c r="G51" s="13">
        <f t="shared" si="36"/>
        <v>9.7752463054187194E-2</v>
      </c>
      <c r="H51" s="14">
        <f t="shared" ref="H51:L51" si="37">CHOOSE($C$3,H147,H237,H327)</f>
        <v>0.08</v>
      </c>
      <c r="I51" s="14">
        <f t="shared" si="37"/>
        <v>0.08</v>
      </c>
      <c r="J51" s="14">
        <f t="shared" si="37"/>
        <v>7.4999999999999997E-2</v>
      </c>
      <c r="K51" s="14">
        <f t="shared" si="37"/>
        <v>7.4999999999999997E-2</v>
      </c>
      <c r="L51" s="14">
        <f t="shared" si="37"/>
        <v>7.4999999999999997E-2</v>
      </c>
    </row>
    <row r="52" spans="2:12" hidden="1" outlineLevel="1" x14ac:dyDescent="0.35">
      <c r="B52" s="11" t="s">
        <v>319</v>
      </c>
      <c r="D52" s="12"/>
      <c r="E52" s="13">
        <f>E639/E609</f>
        <v>9.366382351054961E-2</v>
      </c>
      <c r="F52" s="13">
        <f t="shared" ref="F52:G52" si="38">F639/F609</f>
        <v>8.1826585320761688E-2</v>
      </c>
      <c r="G52" s="13">
        <f t="shared" si="38"/>
        <v>6.9304273137212796E-2</v>
      </c>
      <c r="H52" s="14">
        <f t="shared" ref="H52:L52" si="39">CHOOSE($C$3,H148,H238,H328)</f>
        <v>0.06</v>
      </c>
      <c r="I52" s="14">
        <f t="shared" si="39"/>
        <v>0.06</v>
      </c>
      <c r="J52" s="14">
        <f t="shared" si="39"/>
        <v>5.5E-2</v>
      </c>
      <c r="K52" s="14">
        <f t="shared" si="39"/>
        <v>5.5E-2</v>
      </c>
      <c r="L52" s="14">
        <f t="shared" si="39"/>
        <v>5.5E-2</v>
      </c>
    </row>
    <row r="53" spans="2:12" hidden="1" outlineLevel="1" x14ac:dyDescent="0.35">
      <c r="B53" s="11" t="s">
        <v>320</v>
      </c>
      <c r="D53" s="12"/>
      <c r="E53" s="13">
        <f>E640/E610</f>
        <v>0.41626623954440289</v>
      </c>
      <c r="F53" s="13">
        <f t="shared" ref="F53:G53" si="40">F640/F610</f>
        <v>0.43877551020408162</v>
      </c>
      <c r="G53" s="13">
        <f t="shared" si="40"/>
        <v>0.41406720462483437</v>
      </c>
      <c r="H53" s="14">
        <f t="shared" ref="H53:L53" si="41">CHOOSE($C$3,H149,H239,H329)</f>
        <v>0.38</v>
      </c>
      <c r="I53" s="14">
        <f t="shared" si="41"/>
        <v>0.38</v>
      </c>
      <c r="J53" s="14">
        <f t="shared" si="41"/>
        <v>0.37</v>
      </c>
      <c r="K53" s="14">
        <f t="shared" si="41"/>
        <v>0.37</v>
      </c>
      <c r="L53" s="14">
        <f t="shared" si="41"/>
        <v>0.37</v>
      </c>
    </row>
    <row r="54" spans="2:12" hidden="1" outlineLevel="1" x14ac:dyDescent="0.35">
      <c r="B54" s="11" t="s">
        <v>121</v>
      </c>
      <c r="D54" s="12"/>
      <c r="E54" s="13">
        <f>E641/E607</f>
        <v>4.2072224270853879E-2</v>
      </c>
      <c r="F54" s="13">
        <f t="shared" ref="F54:G54" si="42">F641/F607</f>
        <v>4.7212050229055169E-2</v>
      </c>
      <c r="G54" s="13">
        <f t="shared" si="42"/>
        <v>3.6923787697339228E-2</v>
      </c>
      <c r="H54" s="14">
        <f t="shared" ref="H54:L54" si="43">CHOOSE($C$3,H150,H240,H330)</f>
        <v>0.03</v>
      </c>
      <c r="I54" s="14">
        <f t="shared" si="43"/>
        <v>0.03</v>
      </c>
      <c r="J54" s="14">
        <f t="shared" si="43"/>
        <v>2.5000000000000001E-2</v>
      </c>
      <c r="K54" s="14">
        <f t="shared" si="43"/>
        <v>2.5000000000000001E-2</v>
      </c>
      <c r="L54" s="14">
        <f t="shared" si="43"/>
        <v>2.5000000000000001E-2</v>
      </c>
    </row>
    <row r="55" spans="2:12" hidden="1" outlineLevel="1" x14ac:dyDescent="0.35">
      <c r="D55" s="12"/>
      <c r="H55" s="14"/>
      <c r="I55" s="14"/>
      <c r="J55" s="14"/>
      <c r="K55" s="14"/>
      <c r="L55" s="14"/>
    </row>
    <row r="56" spans="2:12" hidden="1" outlineLevel="1" x14ac:dyDescent="0.35">
      <c r="B56" s="8" t="s">
        <v>10</v>
      </c>
      <c r="D56" s="12"/>
    </row>
    <row r="57" spans="2:12" hidden="1" outlineLevel="1" x14ac:dyDescent="0.35">
      <c r="B57" s="11" t="s">
        <v>39</v>
      </c>
      <c r="D57" s="12"/>
      <c r="E57" s="13"/>
      <c r="F57" s="13"/>
      <c r="G57" s="13"/>
      <c r="H57" s="14">
        <f t="shared" ref="H57:L66" si="44">CHOOSE($C$3,H153,H243,H333)</f>
        <v>0.01</v>
      </c>
      <c r="I57" s="14">
        <f t="shared" si="44"/>
        <v>0.01</v>
      </c>
      <c r="J57" s="14">
        <f t="shared" si="44"/>
        <v>0.01</v>
      </c>
      <c r="K57" s="14">
        <f t="shared" si="44"/>
        <v>0.01</v>
      </c>
      <c r="L57" s="14">
        <f t="shared" si="44"/>
        <v>0.01</v>
      </c>
    </row>
    <row r="58" spans="2:12" hidden="1" outlineLevel="1" x14ac:dyDescent="0.35">
      <c r="B58" s="11" t="s">
        <v>345</v>
      </c>
      <c r="D58" s="12"/>
      <c r="E58" s="13">
        <f>E405/E379</f>
        <v>0.10283940347657557</v>
      </c>
      <c r="F58" s="13">
        <f t="shared" ref="F58:G58" si="45">F405/F379</f>
        <v>0.10397918488977183</v>
      </c>
      <c r="G58" s="13">
        <f t="shared" si="45"/>
        <v>0.10145834979726567</v>
      </c>
      <c r="H58" s="14">
        <f t="shared" si="44"/>
        <v>0.1</v>
      </c>
      <c r="I58" s="14">
        <f t="shared" si="44"/>
        <v>0.1</v>
      </c>
      <c r="J58" s="14">
        <f t="shared" si="44"/>
        <v>0.1</v>
      </c>
      <c r="K58" s="14">
        <f t="shared" si="44"/>
        <v>0.1</v>
      </c>
      <c r="L58" s="14">
        <f t="shared" si="44"/>
        <v>0.1</v>
      </c>
    </row>
    <row r="59" spans="2:12" hidden="1" outlineLevel="1" x14ac:dyDescent="0.35">
      <c r="B59" s="11" t="s">
        <v>372</v>
      </c>
      <c r="D59" s="12"/>
      <c r="E59" s="13">
        <f>E406/E392</f>
        <v>-0.11402199937541206</v>
      </c>
      <c r="F59" s="13">
        <f t="shared" ref="F59:G59" si="46">F406/F392</f>
        <v>2.7620814708610949E-3</v>
      </c>
      <c r="G59" s="13">
        <f t="shared" si="46"/>
        <v>-6.7050648854421691E-2</v>
      </c>
      <c r="H59" s="14">
        <f t="shared" si="44"/>
        <v>-0.04</v>
      </c>
      <c r="I59" s="14">
        <f t="shared" si="44"/>
        <v>-0.04</v>
      </c>
      <c r="J59" s="14">
        <f t="shared" si="44"/>
        <v>-0.04</v>
      </c>
      <c r="K59" s="14">
        <f t="shared" si="44"/>
        <v>-0.04</v>
      </c>
      <c r="L59" s="14">
        <f t="shared" si="44"/>
        <v>-0.04</v>
      </c>
    </row>
    <row r="60" spans="2:12" hidden="1" outlineLevel="1" x14ac:dyDescent="0.35">
      <c r="B60" s="11" t="s">
        <v>373</v>
      </c>
      <c r="D60" s="12"/>
      <c r="E60" s="13">
        <f>E407/E387</f>
        <v>3.5535760061522689E-2</v>
      </c>
      <c r="F60" s="13">
        <f t="shared" ref="F60:G60" si="47">F407/F387</f>
        <v>3.9104708001029075E-2</v>
      </c>
      <c r="G60" s="13">
        <f t="shared" si="47"/>
        <v>5.8959359605911333E-3</v>
      </c>
      <c r="H60" s="14">
        <f t="shared" si="44"/>
        <v>5.0000000000000001E-3</v>
      </c>
      <c r="I60" s="14">
        <f t="shared" si="44"/>
        <v>5.0000000000000001E-3</v>
      </c>
      <c r="J60" s="14">
        <f t="shared" si="44"/>
        <v>5.0000000000000001E-3</v>
      </c>
      <c r="K60" s="14">
        <f t="shared" si="44"/>
        <v>5.0000000000000001E-3</v>
      </c>
      <c r="L60" s="14">
        <f t="shared" si="44"/>
        <v>5.0000000000000001E-3</v>
      </c>
    </row>
    <row r="61" spans="2:12" hidden="1" outlineLevel="1" x14ac:dyDescent="0.35">
      <c r="B61" s="11" t="s">
        <v>237</v>
      </c>
      <c r="D61" s="12"/>
      <c r="E61" s="21">
        <f>E408</f>
        <v>1341</v>
      </c>
      <c r="F61" s="21">
        <f t="shared" ref="F61:G61" si="48">F408</f>
        <v>-224</v>
      </c>
      <c r="G61" s="21">
        <f t="shared" si="48"/>
        <v>0</v>
      </c>
      <c r="H61" s="22">
        <f t="shared" si="44"/>
        <v>0</v>
      </c>
      <c r="I61" s="22">
        <f t="shared" si="44"/>
        <v>0</v>
      </c>
      <c r="J61" s="22">
        <f t="shared" si="44"/>
        <v>0</v>
      </c>
      <c r="K61" s="22">
        <f t="shared" si="44"/>
        <v>0</v>
      </c>
      <c r="L61" s="22">
        <f t="shared" si="44"/>
        <v>0</v>
      </c>
    </row>
    <row r="62" spans="2:12" hidden="1" outlineLevel="1" x14ac:dyDescent="0.35">
      <c r="B62" s="11" t="s">
        <v>54</v>
      </c>
      <c r="D62" s="12"/>
      <c r="E62" s="21">
        <f>E409</f>
        <v>641</v>
      </c>
      <c r="F62" s="21">
        <f t="shared" ref="F62:G62" si="49">F409</f>
        <v>635</v>
      </c>
      <c r="G62" s="21">
        <f t="shared" si="49"/>
        <v>87</v>
      </c>
      <c r="H62" s="22">
        <f t="shared" si="44"/>
        <v>87</v>
      </c>
      <c r="I62" s="22">
        <f t="shared" si="44"/>
        <v>87</v>
      </c>
      <c r="J62" s="22">
        <f t="shared" si="44"/>
        <v>87</v>
      </c>
      <c r="K62" s="22">
        <f t="shared" si="44"/>
        <v>87</v>
      </c>
      <c r="L62" s="22">
        <f t="shared" si="44"/>
        <v>87</v>
      </c>
    </row>
    <row r="63" spans="2:12" hidden="1" outlineLevel="1" x14ac:dyDescent="0.35">
      <c r="B63" s="11" t="s">
        <v>328</v>
      </c>
      <c r="D63" s="12"/>
      <c r="E63" s="13">
        <f>E412/E379</f>
        <v>1.3892581190131123E-3</v>
      </c>
      <c r="F63" s="13">
        <f t="shared" ref="F63:G63" si="50">F412/F379</f>
        <v>4.1437487954218621E-3</v>
      </c>
      <c r="G63" s="13">
        <f t="shared" si="50"/>
        <v>-4.2431353000893608E-3</v>
      </c>
      <c r="H63" s="14">
        <f t="shared" si="44"/>
        <v>2E-3</v>
      </c>
      <c r="I63" s="14">
        <f t="shared" si="44"/>
        <v>2E-3</v>
      </c>
      <c r="J63" s="14">
        <f t="shared" si="44"/>
        <v>2E-3</v>
      </c>
      <c r="K63" s="14">
        <f t="shared" si="44"/>
        <v>2E-3</v>
      </c>
      <c r="L63" s="14">
        <f t="shared" si="44"/>
        <v>2E-3</v>
      </c>
    </row>
    <row r="64" spans="2:12" hidden="1" outlineLevel="1" x14ac:dyDescent="0.35">
      <c r="B64" s="11" t="s">
        <v>339</v>
      </c>
      <c r="D64" s="12"/>
      <c r="E64" s="25">
        <f>-E413/E379</f>
        <v>9.0902074453944374E-4</v>
      </c>
      <c r="F64" s="25">
        <f t="shared" ref="F64:G64" si="51">-F413/F379</f>
        <v>5.9302308342352224E-4</v>
      </c>
      <c r="G64" s="25">
        <f t="shared" si="51"/>
        <v>1.6413274083440222E-3</v>
      </c>
      <c r="H64" s="26">
        <f t="shared" si="44"/>
        <v>1E-3</v>
      </c>
      <c r="I64" s="14">
        <f t="shared" si="44"/>
        <v>1E-3</v>
      </c>
      <c r="J64" s="14">
        <f t="shared" si="44"/>
        <v>1E-3</v>
      </c>
      <c r="K64" s="14">
        <f t="shared" si="44"/>
        <v>1E-3</v>
      </c>
      <c r="L64" s="14">
        <f t="shared" si="44"/>
        <v>1E-3</v>
      </c>
    </row>
    <row r="65" spans="2:12" hidden="1" outlineLevel="1" x14ac:dyDescent="0.35">
      <c r="B65" s="11" t="s">
        <v>241</v>
      </c>
      <c r="D65" s="12"/>
      <c r="E65" s="13">
        <f>E415/E387</f>
        <v>6.8892591643168424E-2</v>
      </c>
      <c r="F65" s="13">
        <f t="shared" ref="F65:G65" si="52">F415/F387</f>
        <v>8.1698610753794698E-2</v>
      </c>
      <c r="G65" s="13">
        <f t="shared" si="52"/>
        <v>4.9722906403940883E-3</v>
      </c>
      <c r="H65" s="14">
        <f t="shared" si="44"/>
        <v>5.1999999999999998E-2</v>
      </c>
      <c r="I65" s="14">
        <f t="shared" si="44"/>
        <v>5.1999999999999998E-2</v>
      </c>
      <c r="J65" s="14">
        <f t="shared" si="44"/>
        <v>5.1999999999999998E-2</v>
      </c>
      <c r="K65" s="14">
        <f t="shared" si="44"/>
        <v>5.1999999999999998E-2</v>
      </c>
      <c r="L65" s="14">
        <f t="shared" si="44"/>
        <v>5.1999999999999998E-2</v>
      </c>
    </row>
    <row r="66" spans="2:12" hidden="1" outlineLevel="1" x14ac:dyDescent="0.35">
      <c r="B66" s="11" t="s">
        <v>340</v>
      </c>
      <c r="D66" s="12"/>
      <c r="E66" s="25">
        <f>E416/E379</f>
        <v>7.5980413175655397E-3</v>
      </c>
      <c r="F66" s="25">
        <f t="shared" ref="F66:G66" si="53">F416/F379</f>
        <v>4.6255800507034733E-3</v>
      </c>
      <c r="G66" s="25">
        <f t="shared" si="53"/>
        <v>1.7051568075574008E-2</v>
      </c>
      <c r="H66" s="14">
        <f t="shared" si="44"/>
        <v>1.4999999999999999E-2</v>
      </c>
      <c r="I66" s="14">
        <f t="shared" si="44"/>
        <v>1.4999999999999999E-2</v>
      </c>
      <c r="J66" s="14">
        <f t="shared" si="44"/>
        <v>1.7000000000000001E-2</v>
      </c>
      <c r="K66" s="14">
        <f t="shared" si="44"/>
        <v>1.7000000000000001E-2</v>
      </c>
      <c r="L66" s="14">
        <f t="shared" si="44"/>
        <v>1.7000000000000001E-2</v>
      </c>
    </row>
    <row r="67" spans="2:12" hidden="1" outlineLevel="1" x14ac:dyDescent="0.35">
      <c r="B67" s="11"/>
      <c r="D67" s="12"/>
      <c r="E67" s="12"/>
      <c r="F67" s="12"/>
      <c r="G67" s="12"/>
      <c r="H67" s="14"/>
      <c r="I67" s="14"/>
      <c r="J67" s="14"/>
      <c r="K67" s="14"/>
      <c r="L67" s="14"/>
    </row>
    <row r="68" spans="2:12" hidden="1" outlineLevel="1" x14ac:dyDescent="0.35">
      <c r="B68" s="11" t="s">
        <v>282</v>
      </c>
      <c r="D68" s="12"/>
      <c r="E68" s="13">
        <f>-E420/E379</f>
        <v>0.26744076357742541</v>
      </c>
      <c r="F68" s="13">
        <f t="shared" ref="F68:G68" si="54">-F420/F379</f>
        <v>0.20047886613986449</v>
      </c>
      <c r="G68" s="13">
        <f t="shared" si="54"/>
        <v>0.22647886638986997</v>
      </c>
      <c r="H68" s="14">
        <f t="shared" ref="H68:L72" si="55">CHOOSE($C$3,H164,H254,H344)</f>
        <v>0.2</v>
      </c>
      <c r="I68" s="14">
        <f t="shared" si="55"/>
        <v>0.2</v>
      </c>
      <c r="J68" s="14">
        <f t="shared" si="55"/>
        <v>0.2</v>
      </c>
      <c r="K68" s="14">
        <f t="shared" si="55"/>
        <v>0.2</v>
      </c>
      <c r="L68" s="14">
        <f t="shared" si="55"/>
        <v>0.2</v>
      </c>
    </row>
    <row r="69" spans="2:12" hidden="1" outlineLevel="1" x14ac:dyDescent="0.35">
      <c r="B69" s="11" t="s">
        <v>55</v>
      </c>
      <c r="D69" s="12"/>
      <c r="E69" s="13">
        <f>-E421/E379</f>
        <v>8.2549374405063075E-2</v>
      </c>
      <c r="F69" s="13">
        <f t="shared" ref="F69:G69" si="56">-F421/F379</f>
        <v>2.2104935434611794E-2</v>
      </c>
      <c r="G69" s="13">
        <f t="shared" si="56"/>
        <v>0.1552695728293445</v>
      </c>
      <c r="H69" s="14">
        <f t="shared" si="55"/>
        <v>8.6641294223006468E-2</v>
      </c>
      <c r="I69" s="14">
        <f t="shared" si="55"/>
        <v>8.6641294223006468E-2</v>
      </c>
      <c r="J69" s="14">
        <f t="shared" si="55"/>
        <v>8.6641294223006468E-2</v>
      </c>
      <c r="K69" s="14">
        <f t="shared" si="55"/>
        <v>8.6641294223006468E-2</v>
      </c>
      <c r="L69" s="14">
        <f t="shared" si="55"/>
        <v>8.6641294223006468E-2</v>
      </c>
    </row>
    <row r="70" spans="2:12" hidden="1" outlineLevel="1" x14ac:dyDescent="0.35">
      <c r="B70" s="11" t="s">
        <v>244</v>
      </c>
      <c r="D70" s="12"/>
      <c r="E70" s="13">
        <f>E422/E379</f>
        <v>0.11283863166650944</v>
      </c>
      <c r="F70" s="13">
        <f t="shared" ref="F70:G70" si="57">F422/F379</f>
        <v>4.5840684348638271E-2</v>
      </c>
      <c r="G70" s="13">
        <f t="shared" si="57"/>
        <v>9.5981179445717657E-2</v>
      </c>
      <c r="H70" s="14">
        <f t="shared" si="55"/>
        <v>8.4886831820288444E-2</v>
      </c>
      <c r="I70" s="14">
        <f t="shared" si="55"/>
        <v>8.4886831820288444E-2</v>
      </c>
      <c r="J70" s="14">
        <f t="shared" si="55"/>
        <v>8.4886831820288444E-2</v>
      </c>
      <c r="K70" s="14">
        <f t="shared" si="55"/>
        <v>8.4886831820288444E-2</v>
      </c>
      <c r="L70" s="14">
        <f t="shared" si="55"/>
        <v>8.4886831820288444E-2</v>
      </c>
    </row>
    <row r="71" spans="2:12" hidden="1" outlineLevel="1" x14ac:dyDescent="0.35">
      <c r="B71" s="11" t="s">
        <v>245</v>
      </c>
      <c r="D71" s="12"/>
      <c r="E71" s="13">
        <f>-E423/E379</f>
        <v>1.1251275630525946E-2</v>
      </c>
      <c r="F71" s="13">
        <f t="shared" ref="F71:G71" si="58">-F423/F379</f>
        <v>4.662643993417444E-3</v>
      </c>
      <c r="G71" s="13">
        <f t="shared" si="58"/>
        <v>1.6413274083440222E-3</v>
      </c>
      <c r="H71" s="14">
        <f t="shared" si="55"/>
        <v>5.8517490107624706E-3</v>
      </c>
      <c r="I71" s="14">
        <f t="shared" si="55"/>
        <v>5.8517490107624706E-3</v>
      </c>
      <c r="J71" s="14">
        <f t="shared" si="55"/>
        <v>5.8517490107624706E-3</v>
      </c>
      <c r="K71" s="14">
        <f t="shared" si="55"/>
        <v>5.8517490107624706E-3</v>
      </c>
      <c r="L71" s="14">
        <f t="shared" si="55"/>
        <v>5.8517490107624706E-3</v>
      </c>
    </row>
    <row r="72" spans="2:12" hidden="1" outlineLevel="1" x14ac:dyDescent="0.35">
      <c r="B72" s="11" t="s">
        <v>246</v>
      </c>
      <c r="D72" s="12"/>
      <c r="E72" s="21">
        <f>E424</f>
        <v>-4</v>
      </c>
      <c r="F72" s="21">
        <f t="shared" ref="F72:G72" si="59">F424</f>
        <v>-23</v>
      </c>
      <c r="G72" s="21">
        <f t="shared" si="59"/>
        <v>129</v>
      </c>
      <c r="H72" s="20">
        <f t="shared" si="55"/>
        <v>34</v>
      </c>
      <c r="I72" s="20">
        <f t="shared" si="55"/>
        <v>34</v>
      </c>
      <c r="J72" s="20">
        <f t="shared" si="55"/>
        <v>34</v>
      </c>
      <c r="K72" s="20">
        <f t="shared" si="55"/>
        <v>34</v>
      </c>
      <c r="L72" s="20">
        <f t="shared" si="55"/>
        <v>34</v>
      </c>
    </row>
    <row r="73" spans="2:12" hidden="1" outlineLevel="1" x14ac:dyDescent="0.35">
      <c r="B73" s="11"/>
      <c r="D73" s="12"/>
      <c r="E73" s="12"/>
      <c r="F73" s="12"/>
      <c r="G73" s="12"/>
      <c r="H73" s="14"/>
      <c r="I73" s="14"/>
      <c r="J73" s="14"/>
      <c r="K73" s="14"/>
      <c r="L73" s="14"/>
    </row>
    <row r="74" spans="2:12" hidden="1" outlineLevel="1" x14ac:dyDescent="0.35">
      <c r="B74" s="11" t="s">
        <v>377</v>
      </c>
      <c r="D74" s="12"/>
      <c r="E74" s="13">
        <f>-E428/E405</f>
        <v>0.29978318879252835</v>
      </c>
      <c r="F74" s="13">
        <f t="shared" ref="F74:G74" si="60">-F428/F405</f>
        <v>0.49989306337777145</v>
      </c>
      <c r="G74" s="13">
        <f t="shared" si="60"/>
        <v>0.82504493708807669</v>
      </c>
      <c r="H74" s="14">
        <f t="shared" ref="H74:L76" si="61">CHOOSE($C$3,H170,H260,H350)</f>
        <v>0.6</v>
      </c>
      <c r="I74" s="14">
        <f t="shared" si="61"/>
        <v>0.6</v>
      </c>
      <c r="J74" s="14">
        <f t="shared" si="61"/>
        <v>0.6</v>
      </c>
      <c r="K74" s="14">
        <f t="shared" si="61"/>
        <v>0.6</v>
      </c>
      <c r="L74" s="14">
        <f t="shared" si="61"/>
        <v>0.6</v>
      </c>
    </row>
    <row r="75" spans="2:12" hidden="1" outlineLevel="1" x14ac:dyDescent="0.35">
      <c r="B75" s="11" t="s">
        <v>371</v>
      </c>
      <c r="D75" s="12"/>
      <c r="E75" s="13">
        <f>-E429/E379</f>
        <v>0.23974135787117631</v>
      </c>
      <c r="F75" s="13">
        <f t="shared" ref="F75:G75" si="62">-F429/F379</f>
        <v>0.14658048064520912</v>
      </c>
      <c r="G75" s="13">
        <f t="shared" si="62"/>
        <v>0.18312958583838396</v>
      </c>
      <c r="H75" s="14">
        <f t="shared" si="61"/>
        <v>0.185</v>
      </c>
      <c r="I75" s="14">
        <f t="shared" si="61"/>
        <v>0.185</v>
      </c>
      <c r="J75" s="14">
        <f t="shared" si="61"/>
        <v>0.185</v>
      </c>
      <c r="K75" s="14">
        <f t="shared" si="61"/>
        <v>0.185</v>
      </c>
      <c r="L75" s="14">
        <f t="shared" si="61"/>
        <v>0.185</v>
      </c>
    </row>
    <row r="76" spans="2:12" hidden="1" outlineLevel="1" x14ac:dyDescent="0.35">
      <c r="B76" s="11" t="s">
        <v>56</v>
      </c>
      <c r="D76" s="12"/>
      <c r="E76" s="21">
        <f>E430</f>
        <v>0</v>
      </c>
      <c r="F76" s="21">
        <f t="shared" ref="F76:G76" si="63">F430</f>
        <v>0</v>
      </c>
      <c r="G76" s="21">
        <f t="shared" si="63"/>
        <v>-5072</v>
      </c>
      <c r="H76" s="22">
        <f t="shared" si="61"/>
        <v>-5300</v>
      </c>
      <c r="I76" s="22">
        <f t="shared" si="61"/>
        <v>-5300</v>
      </c>
      <c r="J76" s="22">
        <f t="shared" si="61"/>
        <v>-5300</v>
      </c>
      <c r="K76" s="22">
        <f t="shared" si="61"/>
        <v>-5300</v>
      </c>
      <c r="L76" s="22">
        <f t="shared" si="61"/>
        <v>-5300</v>
      </c>
    </row>
    <row r="77" spans="2:12" hidden="1" outlineLevel="1" x14ac:dyDescent="0.35">
      <c r="B77" s="11" t="s">
        <v>249</v>
      </c>
      <c r="D77" s="12"/>
      <c r="E77" s="13"/>
      <c r="F77" s="13"/>
      <c r="G77" s="13"/>
      <c r="H77" s="14"/>
      <c r="I77" s="14"/>
      <c r="J77" s="14"/>
      <c r="K77" s="14"/>
      <c r="L77" s="14"/>
    </row>
    <row r="78" spans="2:12" hidden="1" outlineLevel="1" x14ac:dyDescent="0.35">
      <c r="B78" s="11" t="s">
        <v>378</v>
      </c>
      <c r="D78" s="12"/>
      <c r="E78" s="13">
        <f>E432/E668</f>
        <v>-0.25350432448553534</v>
      </c>
      <c r="F78" s="13">
        <f>F432/F668</f>
        <v>-0.25280764635603348</v>
      </c>
      <c r="G78" s="13">
        <f>G432/G668</f>
        <v>-0.36571322436849923</v>
      </c>
      <c r="H78" s="14">
        <f t="shared" ref="H78:L79" si="64">CHOOSE($C$3,H174,H264,H354)</f>
        <v>-0.28000000000000003</v>
      </c>
      <c r="I78" s="14">
        <f t="shared" si="64"/>
        <v>-0.28000000000000003</v>
      </c>
      <c r="J78" s="14">
        <f t="shared" si="64"/>
        <v>-0.28000000000000003</v>
      </c>
      <c r="K78" s="14">
        <f t="shared" si="64"/>
        <v>-0.28000000000000003</v>
      </c>
      <c r="L78" s="14">
        <f t="shared" si="64"/>
        <v>-0.28000000000000003</v>
      </c>
    </row>
    <row r="79" spans="2:12" hidden="1" outlineLevel="1" x14ac:dyDescent="0.35">
      <c r="B79" s="11" t="s">
        <v>251</v>
      </c>
      <c r="D79" s="12"/>
      <c r="E79" s="21">
        <f>E433</f>
        <v>344</v>
      </c>
      <c r="F79" s="21">
        <f t="shared" ref="F79:G79" si="65">F433</f>
        <v>-111</v>
      </c>
      <c r="G79" s="21">
        <f t="shared" si="65"/>
        <v>-277</v>
      </c>
      <c r="H79" s="22">
        <f t="shared" si="64"/>
        <v>-15</v>
      </c>
      <c r="I79" s="22">
        <f t="shared" si="64"/>
        <v>-15</v>
      </c>
      <c r="J79" s="22">
        <f t="shared" si="64"/>
        <v>-15</v>
      </c>
      <c r="K79" s="22">
        <f t="shared" si="64"/>
        <v>-15</v>
      </c>
      <c r="L79" s="22">
        <f t="shared" si="64"/>
        <v>-15</v>
      </c>
    </row>
    <row r="80" spans="2:12" hidden="1" outlineLevel="1" x14ac:dyDescent="0.35">
      <c r="B80" s="11"/>
      <c r="D80" s="12"/>
      <c r="E80" s="12"/>
      <c r="F80" s="12"/>
      <c r="G80" s="12"/>
      <c r="H80" s="14"/>
      <c r="I80" s="14"/>
      <c r="J80" s="14"/>
      <c r="K80" s="14"/>
      <c r="L80" s="14"/>
    </row>
    <row r="81" spans="2:12" hidden="1" outlineLevel="1" x14ac:dyDescent="0.35">
      <c r="B81" s="27" t="s">
        <v>252</v>
      </c>
      <c r="D81" s="12"/>
      <c r="E81" s="21">
        <f>E436</f>
        <v>-638</v>
      </c>
      <c r="F81" s="21">
        <f t="shared" ref="F81:G81" si="66">F436</f>
        <v>113</v>
      </c>
      <c r="G81" s="21">
        <f t="shared" si="66"/>
        <v>-786</v>
      </c>
      <c r="H81" s="22">
        <f>CHOOSE($C$3,H177,H267,H357)</f>
        <v>-400</v>
      </c>
      <c r="I81" s="22">
        <f>CHOOSE($C$3,I177,I267,I357)</f>
        <v>-400</v>
      </c>
      <c r="J81" s="22">
        <f>CHOOSE($C$3,J177,J267,J357)</f>
        <v>-400</v>
      </c>
      <c r="K81" s="22">
        <f>CHOOSE($C$3,K177,K267,K357)</f>
        <v>-400</v>
      </c>
      <c r="L81" s="22">
        <f>CHOOSE($C$3,L177,L267,L357)</f>
        <v>-400</v>
      </c>
    </row>
    <row r="82" spans="2:12" hidden="1" outlineLevel="1" x14ac:dyDescent="0.35">
      <c r="B82" s="11"/>
      <c r="D82" s="12"/>
      <c r="E82" s="12"/>
      <c r="F82" s="12"/>
      <c r="G82" s="12"/>
      <c r="H82" s="14"/>
      <c r="I82" s="14"/>
      <c r="J82" s="14"/>
      <c r="K82" s="14"/>
      <c r="L82" s="14"/>
    </row>
    <row r="83" spans="2:12" hidden="1" outlineLevel="1" x14ac:dyDescent="0.35">
      <c r="B83" s="8" t="s">
        <v>362</v>
      </c>
      <c r="D83" s="12"/>
      <c r="E83" s="12"/>
      <c r="F83" s="12"/>
      <c r="G83" s="12"/>
      <c r="H83" s="14"/>
      <c r="I83" s="14"/>
      <c r="J83" s="14"/>
      <c r="K83" s="14"/>
      <c r="L83" s="14"/>
    </row>
    <row r="84" spans="2:12" hidden="1" outlineLevel="1" x14ac:dyDescent="0.35">
      <c r="B84" s="28" t="s">
        <v>366</v>
      </c>
      <c r="D84" s="12"/>
      <c r="E84" s="25">
        <f>-E701/E692</f>
        <v>1.667778519012675E-3</v>
      </c>
      <c r="F84" s="25">
        <f>-F701/F692</f>
        <v>1.8535681186283596E-3</v>
      </c>
      <c r="G84" s="25">
        <f>-G701/G692</f>
        <v>1.6177351707609346E-3</v>
      </c>
      <c r="H84" s="26">
        <f t="shared" ref="H84:L85" si="67">CHOOSE($C$3,H180,H270,H360)</f>
        <v>1.6999999999999999E-3</v>
      </c>
      <c r="I84" s="26">
        <f t="shared" si="67"/>
        <v>1.6999999999999999E-3</v>
      </c>
      <c r="J84" s="26">
        <f t="shared" si="67"/>
        <v>1.9E-3</v>
      </c>
      <c r="K84" s="26">
        <f t="shared" si="67"/>
        <v>0.02</v>
      </c>
      <c r="L84" s="26">
        <f t="shared" si="67"/>
        <v>0.02</v>
      </c>
    </row>
    <row r="85" spans="2:12" hidden="1" outlineLevel="1" x14ac:dyDescent="0.35">
      <c r="B85" s="28" t="s">
        <v>367</v>
      </c>
      <c r="D85" s="12"/>
      <c r="E85" s="25">
        <f>-E702/E685</f>
        <v>1.3806824516117966E-3</v>
      </c>
      <c r="F85" s="25">
        <f>-F702/F685</f>
        <v>6.819765459370506E-4</v>
      </c>
      <c r="G85" s="25">
        <f>-G702/G685</f>
        <v>3.9513437608282016E-4</v>
      </c>
      <c r="H85" s="26">
        <f t="shared" si="67"/>
        <v>4.0000000000000002E-4</v>
      </c>
      <c r="I85" s="26">
        <f t="shared" si="67"/>
        <v>4.0000000000000002E-4</v>
      </c>
      <c r="J85" s="26">
        <f t="shared" si="67"/>
        <v>4.0000000000000002E-4</v>
      </c>
      <c r="K85" s="26">
        <f t="shared" si="67"/>
        <v>4.0000000000000002E-4</v>
      </c>
      <c r="L85" s="26">
        <f t="shared" si="67"/>
        <v>4.0000000000000002E-4</v>
      </c>
    </row>
    <row r="86" spans="2:12" hidden="1" outlineLevel="1" x14ac:dyDescent="0.35">
      <c r="B86" s="11"/>
      <c r="D86" s="12"/>
      <c r="E86" s="12"/>
      <c r="F86" s="12"/>
      <c r="G86" s="12"/>
      <c r="H86" s="14"/>
      <c r="I86" s="14"/>
      <c r="J86" s="14"/>
      <c r="K86" s="14"/>
      <c r="L86" s="14"/>
    </row>
    <row r="87" spans="2:12" hidden="1" outlineLevel="1" x14ac:dyDescent="0.35">
      <c r="B87" s="8" t="s">
        <v>52</v>
      </c>
      <c r="D87" s="12"/>
      <c r="E87" s="12"/>
      <c r="F87" s="12"/>
      <c r="G87" s="12"/>
      <c r="H87" s="14"/>
      <c r="I87" s="14"/>
      <c r="J87" s="14"/>
      <c r="K87" s="14"/>
      <c r="L87" s="14"/>
    </row>
    <row r="88" spans="2:12" hidden="1" outlineLevel="1" x14ac:dyDescent="0.35">
      <c r="B88" s="28" t="s">
        <v>366</v>
      </c>
      <c r="D88" s="12"/>
      <c r="E88" s="13">
        <f>-E731/E692</f>
        <v>1.9679786524349565E-2</v>
      </c>
      <c r="F88" s="13">
        <f>-F731/F692</f>
        <v>0.1278962001853568</v>
      </c>
      <c r="G88" s="13">
        <f>-G731/G692</f>
        <v>0.42234871180347511</v>
      </c>
      <c r="H88" s="14">
        <f t="shared" ref="H88:L90" si="68">CHOOSE($C$3,H184,H274,H364)</f>
        <v>0.41</v>
      </c>
      <c r="I88" s="14">
        <f t="shared" si="68"/>
        <v>0.42</v>
      </c>
      <c r="J88" s="14">
        <f t="shared" si="68"/>
        <v>0.41499999999999998</v>
      </c>
      <c r="K88" s="14">
        <f t="shared" si="68"/>
        <v>0.44500000000000001</v>
      </c>
      <c r="L88" s="14">
        <f t="shared" si="68"/>
        <v>0.45</v>
      </c>
    </row>
    <row r="89" spans="2:12" hidden="1" outlineLevel="1" x14ac:dyDescent="0.35">
      <c r="B89" s="28" t="s">
        <v>367</v>
      </c>
      <c r="D89" s="12"/>
      <c r="E89" s="13">
        <f>-E732/E685</f>
        <v>0.23948408784913686</v>
      </c>
      <c r="F89" s="13">
        <f>-F732/F685</f>
        <v>0.14850039287779276</v>
      </c>
      <c r="G89" s="13">
        <f>-G732/G685</f>
        <v>0.18087428039951126</v>
      </c>
      <c r="H89" s="14">
        <f t="shared" si="68"/>
        <v>0.18</v>
      </c>
      <c r="I89" s="14">
        <f t="shared" si="68"/>
        <v>0.1865</v>
      </c>
      <c r="J89" s="14">
        <f t="shared" si="68"/>
        <v>0.19900000000000001</v>
      </c>
      <c r="K89" s="14">
        <f t="shared" si="68"/>
        <v>0.19350000000000001</v>
      </c>
      <c r="L89" s="14">
        <f t="shared" si="68"/>
        <v>0.20050000000000001</v>
      </c>
    </row>
    <row r="90" spans="2:12" hidden="1" outlineLevel="1" x14ac:dyDescent="0.35">
      <c r="B90" s="28" t="s">
        <v>370</v>
      </c>
      <c r="D90" s="12"/>
      <c r="E90" s="21">
        <f>E733</f>
        <v>0</v>
      </c>
      <c r="F90" s="21">
        <f>F733</f>
        <v>0</v>
      </c>
      <c r="G90" s="21">
        <f>G733</f>
        <v>-5121</v>
      </c>
      <c r="H90" s="22">
        <f t="shared" si="68"/>
        <v>-5200</v>
      </c>
      <c r="I90" s="22">
        <f t="shared" si="68"/>
        <v>-5200</v>
      </c>
      <c r="J90" s="22">
        <f t="shared" si="68"/>
        <v>-5300</v>
      </c>
      <c r="K90" s="22">
        <f t="shared" si="68"/>
        <v>-5300</v>
      </c>
      <c r="L90" s="22">
        <f t="shared" si="68"/>
        <v>-5300</v>
      </c>
    </row>
    <row r="91" spans="2:12" hidden="1" outlineLevel="1" x14ac:dyDescent="0.35">
      <c r="B91" s="11"/>
      <c r="D91" s="12"/>
      <c r="E91" s="12"/>
      <c r="F91" s="12"/>
      <c r="G91" s="12"/>
      <c r="H91" s="14"/>
      <c r="I91" s="14"/>
      <c r="J91" s="14"/>
      <c r="K91" s="14"/>
      <c r="L91" s="14"/>
    </row>
    <row r="92" spans="2:12" hidden="1" outlineLevel="1" x14ac:dyDescent="0.35">
      <c r="B92" s="8" t="s">
        <v>363</v>
      </c>
      <c r="D92" s="12"/>
      <c r="E92" s="12"/>
      <c r="F92" s="12"/>
      <c r="G92" s="12"/>
      <c r="H92" s="14"/>
      <c r="I92" s="14"/>
      <c r="J92" s="14"/>
      <c r="K92" s="14"/>
      <c r="L92" s="14"/>
    </row>
    <row r="93" spans="2:12" hidden="1" outlineLevel="1" x14ac:dyDescent="0.35">
      <c r="B93" s="28" t="s">
        <v>366</v>
      </c>
      <c r="D93" s="12"/>
      <c r="E93" s="13">
        <f>-E711/E692</f>
        <v>0.28010340226817876</v>
      </c>
      <c r="F93" s="13">
        <f>-F711/F692</f>
        <v>0.37199686319241465</v>
      </c>
      <c r="G93" s="13">
        <f>-G711/G692</f>
        <v>0.40269622528460158</v>
      </c>
      <c r="H93" s="14">
        <f t="shared" ref="H93:L94" si="69">CHOOSE($C$3,H189,H279,H369)</f>
        <v>0.39</v>
      </c>
      <c r="I93" s="14">
        <f t="shared" si="69"/>
        <v>0.42</v>
      </c>
      <c r="J93" s="14">
        <f t="shared" si="69"/>
        <v>0.41</v>
      </c>
      <c r="K93" s="14">
        <f t="shared" si="69"/>
        <v>0.41</v>
      </c>
      <c r="L93" s="14">
        <f t="shared" si="69"/>
        <v>0.41</v>
      </c>
    </row>
    <row r="94" spans="2:12" hidden="1" outlineLevel="1" x14ac:dyDescent="0.35">
      <c r="B94" s="28" t="s">
        <v>54</v>
      </c>
      <c r="D94" s="12"/>
      <c r="E94" s="21">
        <f>E713</f>
        <v>0</v>
      </c>
      <c r="F94" s="21">
        <f>F713</f>
        <v>0</v>
      </c>
      <c r="G94" s="21">
        <f>G713</f>
        <v>6</v>
      </c>
      <c r="H94" s="20">
        <f t="shared" si="69"/>
        <v>6</v>
      </c>
      <c r="I94" s="20">
        <f t="shared" si="69"/>
        <v>6</v>
      </c>
      <c r="J94" s="20">
        <f t="shared" si="69"/>
        <v>6</v>
      </c>
      <c r="K94" s="20">
        <f t="shared" si="69"/>
        <v>6</v>
      </c>
      <c r="L94" s="20">
        <f t="shared" si="69"/>
        <v>6</v>
      </c>
    </row>
    <row r="95" spans="2:12" hidden="1" outlineLevel="1" x14ac:dyDescent="0.35">
      <c r="B95" s="11"/>
      <c r="D95" s="12"/>
      <c r="E95" s="12"/>
      <c r="F95" s="12"/>
      <c r="G95" s="12"/>
      <c r="H95" s="14"/>
      <c r="I95" s="14"/>
      <c r="J95" s="14"/>
      <c r="K95" s="14"/>
      <c r="L95" s="14"/>
    </row>
    <row r="96" spans="2:12" hidden="1" outlineLevel="1" x14ac:dyDescent="0.35">
      <c r="B96" s="8" t="s">
        <v>368</v>
      </c>
      <c r="D96" s="12"/>
      <c r="E96" s="12"/>
      <c r="F96" s="12"/>
      <c r="G96" s="12"/>
      <c r="H96" s="14"/>
      <c r="I96" s="14"/>
      <c r="J96" s="14"/>
      <c r="K96" s="14"/>
      <c r="L96" s="14"/>
    </row>
    <row r="97" spans="2:16" hidden="1" outlineLevel="1" x14ac:dyDescent="0.35">
      <c r="B97" s="28" t="s">
        <v>369</v>
      </c>
      <c r="D97" s="12"/>
      <c r="E97" s="13">
        <f>E721/E685</f>
        <v>-2.4329168417532094E-2</v>
      </c>
      <c r="F97" s="13">
        <f>F721/F685</f>
        <v>1.0192584246341788E-2</v>
      </c>
      <c r="G97" s="13">
        <f>G721/G685</f>
        <v>-5.7264089580002552E-3</v>
      </c>
      <c r="H97" s="14">
        <f>CHOOSE($C$3,H193,H283,H373)</f>
        <v>-5.0000000000000001E-3</v>
      </c>
      <c r="I97" s="14">
        <f>CHOOSE($C$3,I193,I283,I373)</f>
        <v>-7.0000000000000001E-3</v>
      </c>
      <c r="J97" s="14">
        <f>CHOOSE($C$3,J193,J283,J373)</f>
        <v>-5.0000000000000001E-3</v>
      </c>
      <c r="K97" s="14">
        <f>CHOOSE($C$3,K193,K283,K373)</f>
        <v>-5.0000000000000001E-3</v>
      </c>
      <c r="L97" s="14">
        <f>CHOOSE($C$3,L193,L283,L373)</f>
        <v>-7.0000000000000001E-3</v>
      </c>
    </row>
    <row r="98" spans="2:16" collapsed="1" x14ac:dyDescent="0.3"/>
    <row r="99" spans="2:16" ht="18.600000000000001" customHeight="1" x14ac:dyDescent="0.3">
      <c r="B99" s="186" t="s">
        <v>67</v>
      </c>
      <c r="C99" s="186"/>
      <c r="D99" s="186"/>
      <c r="E99" s="186"/>
      <c r="F99" s="186"/>
      <c r="G99" s="186"/>
      <c r="H99" s="186"/>
      <c r="I99" s="186"/>
      <c r="J99" s="186"/>
      <c r="K99" s="186"/>
      <c r="L99" s="186"/>
      <c r="O99"/>
      <c r="P99"/>
    </row>
    <row r="100" spans="2:16" hidden="1" outlineLevel="1" x14ac:dyDescent="0.3">
      <c r="O100"/>
      <c r="P100"/>
    </row>
    <row r="101" spans="2:16" ht="16.2" hidden="1" outlineLevel="1" thickBot="1" x14ac:dyDescent="0.35">
      <c r="B101" s="261" t="s">
        <v>74</v>
      </c>
      <c r="D101" s="4">
        <v>2021</v>
      </c>
      <c r="E101" s="4">
        <f>D101+1</f>
        <v>2022</v>
      </c>
      <c r="F101" s="4">
        <f t="shared" ref="F101:L101" si="70">E101+1</f>
        <v>2023</v>
      </c>
      <c r="G101" s="4">
        <f t="shared" si="70"/>
        <v>2024</v>
      </c>
      <c r="H101" s="5">
        <f t="shared" si="70"/>
        <v>2025</v>
      </c>
      <c r="I101" s="5">
        <f t="shared" si="70"/>
        <v>2026</v>
      </c>
      <c r="J101" s="5">
        <f t="shared" si="70"/>
        <v>2027</v>
      </c>
      <c r="K101" s="5">
        <f t="shared" si="70"/>
        <v>2028</v>
      </c>
      <c r="L101" s="5">
        <f t="shared" si="70"/>
        <v>2029</v>
      </c>
      <c r="O101"/>
      <c r="P101"/>
    </row>
    <row r="102" spans="2:16" hidden="1" outlineLevel="1" x14ac:dyDescent="0.3">
      <c r="D102" s="6"/>
      <c r="E102" s="6"/>
      <c r="F102" s="6"/>
      <c r="G102" s="7"/>
      <c r="H102" s="7"/>
      <c r="I102" s="7"/>
      <c r="J102" s="7"/>
      <c r="K102" s="7"/>
      <c r="L102" s="7"/>
      <c r="O102"/>
      <c r="P102"/>
    </row>
    <row r="103" spans="2:16" hidden="1" outlineLevel="1" x14ac:dyDescent="0.3">
      <c r="B103" s="8" t="s">
        <v>7</v>
      </c>
      <c r="C103" s="8"/>
      <c r="D103" s="9">
        <v>365</v>
      </c>
      <c r="E103" s="9">
        <v>365</v>
      </c>
      <c r="F103" s="9">
        <v>365</v>
      </c>
      <c r="G103" s="9">
        <v>365</v>
      </c>
      <c r="H103" s="9">
        <v>365</v>
      </c>
      <c r="I103" s="9">
        <v>365</v>
      </c>
      <c r="J103" s="9">
        <v>365</v>
      </c>
      <c r="K103" s="9">
        <v>365</v>
      </c>
      <c r="L103" s="9">
        <v>365</v>
      </c>
      <c r="O103"/>
      <c r="P103"/>
    </row>
    <row r="104" spans="2:16" hidden="1" outlineLevel="1" x14ac:dyDescent="0.3">
      <c r="D104" s="6"/>
      <c r="E104" s="6"/>
      <c r="F104" s="6"/>
      <c r="G104" s="7"/>
      <c r="H104" s="7"/>
      <c r="I104" s="7"/>
      <c r="J104" s="7"/>
      <c r="K104" s="7"/>
      <c r="L104" s="7"/>
      <c r="O104"/>
      <c r="P104"/>
    </row>
    <row r="105" spans="2:16" hidden="1" outlineLevel="1" x14ac:dyDescent="0.3">
      <c r="B105" s="261" t="s">
        <v>68</v>
      </c>
      <c r="C105" s="261"/>
      <c r="D105" s="261"/>
      <c r="E105" s="261"/>
      <c r="F105" s="261"/>
      <c r="G105" s="261"/>
      <c r="H105" s="261"/>
      <c r="I105" s="261"/>
      <c r="J105" s="261"/>
      <c r="K105" s="261"/>
      <c r="L105" s="261"/>
      <c r="O105"/>
      <c r="P105"/>
    </row>
    <row r="106" spans="2:16" hidden="1" outlineLevel="1" x14ac:dyDescent="0.3">
      <c r="D106" s="6"/>
      <c r="E106" s="6"/>
      <c r="F106" s="6"/>
      <c r="G106" s="7"/>
      <c r="H106" s="7"/>
      <c r="I106" s="7"/>
      <c r="J106" s="7"/>
      <c r="K106" s="7"/>
      <c r="L106" s="7"/>
      <c r="O106"/>
      <c r="P106"/>
    </row>
    <row r="107" spans="2:16" hidden="1" outlineLevel="1" x14ac:dyDescent="0.3">
      <c r="B107" s="8" t="s">
        <v>8</v>
      </c>
      <c r="C107" s="8"/>
      <c r="H107" s="7"/>
      <c r="I107" s="7"/>
      <c r="J107" s="7"/>
      <c r="K107" s="7"/>
      <c r="L107" s="7"/>
      <c r="O107"/>
      <c r="P107"/>
    </row>
    <row r="108" spans="2:16" hidden="1" outlineLevel="1" x14ac:dyDescent="0.35">
      <c r="B108" s="11" t="s">
        <v>72</v>
      </c>
      <c r="C108" s="11"/>
      <c r="D108" s="12"/>
      <c r="E108" s="13">
        <f t="shared" ref="E108:G114" si="71">E12</f>
        <v>-1.1193175554782941E-2</v>
      </c>
      <c r="F108" s="13">
        <f t="shared" si="71"/>
        <v>0.15687468377226454</v>
      </c>
      <c r="G108" s="13">
        <f t="shared" si="71"/>
        <v>0.21941112807816054</v>
      </c>
      <c r="H108" s="14">
        <v>0.15</v>
      </c>
      <c r="I108" s="14">
        <v>0.15</v>
      </c>
      <c r="J108" s="14">
        <v>0.15</v>
      </c>
      <c r="K108" s="14">
        <v>0.15</v>
      </c>
      <c r="L108" s="14">
        <v>0.15</v>
      </c>
      <c r="O108"/>
      <c r="P108"/>
    </row>
    <row r="109" spans="2:16" hidden="1" outlineLevel="1" x14ac:dyDescent="0.35">
      <c r="B109" s="11" t="s">
        <v>124</v>
      </c>
      <c r="C109" s="11"/>
      <c r="D109" s="12"/>
      <c r="E109" s="13">
        <f t="shared" si="71"/>
        <v>0.21652702621581524</v>
      </c>
      <c r="F109" s="13">
        <f t="shared" si="71"/>
        <v>0.19242857778239017</v>
      </c>
      <c r="G109" s="13">
        <f t="shared" si="71"/>
        <v>0.18334842949282984</v>
      </c>
      <c r="H109" s="14">
        <v>0.2044778019991027</v>
      </c>
      <c r="I109" s="14">
        <v>0.2044778019991027</v>
      </c>
      <c r="J109" s="14">
        <v>0.2044778019991027</v>
      </c>
      <c r="K109" s="14">
        <v>0.2044778019991027</v>
      </c>
      <c r="L109" s="14">
        <v>0.2044778019991027</v>
      </c>
      <c r="O109"/>
      <c r="P109"/>
    </row>
    <row r="110" spans="2:16" hidden="1" outlineLevel="1" x14ac:dyDescent="0.35">
      <c r="B110" s="11" t="s">
        <v>64</v>
      </c>
      <c r="C110" s="11"/>
      <c r="D110" s="12"/>
      <c r="E110" s="13">
        <f t="shared" si="71"/>
        <v>0.30304693462768739</v>
      </c>
      <c r="F110" s="13">
        <f t="shared" si="71"/>
        <v>0.28526634149234259</v>
      </c>
      <c r="G110" s="13">
        <f t="shared" si="71"/>
        <v>0.26670354587510109</v>
      </c>
      <c r="H110" s="14">
        <v>0.26</v>
      </c>
      <c r="I110" s="14">
        <v>0.26</v>
      </c>
      <c r="J110" s="14">
        <v>0.26</v>
      </c>
      <c r="K110" s="14">
        <v>0.26</v>
      </c>
      <c r="L110" s="14">
        <v>0.26</v>
      </c>
      <c r="O110"/>
      <c r="P110"/>
    </row>
    <row r="111" spans="2:16" hidden="1" outlineLevel="1" x14ac:dyDescent="0.35">
      <c r="B111" s="11" t="s">
        <v>264</v>
      </c>
      <c r="C111" s="11"/>
      <c r="D111" s="12"/>
      <c r="E111" s="13">
        <f t="shared" si="71"/>
        <v>0.13088183587887728</v>
      </c>
      <c r="F111" s="13">
        <f t="shared" si="71"/>
        <v>9.118471186490934E-2</v>
      </c>
      <c r="G111" s="13">
        <f t="shared" si="71"/>
        <v>6.8978304083257849E-2</v>
      </c>
      <c r="H111" s="14">
        <v>8.5000000000000006E-2</v>
      </c>
      <c r="I111" s="14">
        <v>8.5000000000000006E-2</v>
      </c>
      <c r="J111" s="14">
        <v>8.5000000000000006E-2</v>
      </c>
      <c r="K111" s="14">
        <v>8.5000000000000006E-2</v>
      </c>
      <c r="L111" s="14">
        <v>8.5000000000000006E-2</v>
      </c>
      <c r="O111"/>
      <c r="P111"/>
    </row>
    <row r="112" spans="2:16" hidden="1" outlineLevel="1" x14ac:dyDescent="0.35">
      <c r="B112" s="11" t="s">
        <v>265</v>
      </c>
      <c r="C112" s="11"/>
      <c r="D112" s="12"/>
      <c r="E112" s="13">
        <f t="shared" si="71"/>
        <v>0.10133008601394404</v>
      </c>
      <c r="F112" s="13">
        <f t="shared" si="71"/>
        <v>8.4565091696194278E-2</v>
      </c>
      <c r="G112" s="13">
        <f t="shared" si="71"/>
        <v>5.9209366508410285E-2</v>
      </c>
      <c r="H112" s="14">
        <v>7.0000000000000007E-2</v>
      </c>
      <c r="I112" s="14">
        <v>7.0000000000000007E-2</v>
      </c>
      <c r="J112" s="14">
        <v>7.0000000000000007E-2</v>
      </c>
      <c r="K112" s="14">
        <v>7.0000000000000007E-2</v>
      </c>
      <c r="L112" s="14">
        <v>7.0000000000000007E-2</v>
      </c>
      <c r="M112" s="16"/>
      <c r="O112"/>
      <c r="P112"/>
    </row>
    <row r="113" spans="2:16" hidden="1" outlineLevel="1" x14ac:dyDescent="0.35">
      <c r="B113" s="11" t="s">
        <v>233</v>
      </c>
      <c r="C113" s="11"/>
      <c r="D113" s="12"/>
      <c r="E113" s="13">
        <f t="shared" si="71"/>
        <v>-1.0719584251644384E-3</v>
      </c>
      <c r="F113" s="13">
        <f t="shared" si="71"/>
        <v>5.018457843471557E-3</v>
      </c>
      <c r="G113" s="13">
        <f t="shared" si="71"/>
        <v>7.7993446848347425E-3</v>
      </c>
      <c r="H113" s="14">
        <v>3.9152813677139535E-3</v>
      </c>
      <c r="I113" s="14">
        <v>3.9152813677139535E-3</v>
      </c>
      <c r="J113" s="14">
        <v>3.9152813677139535E-3</v>
      </c>
      <c r="K113" s="14">
        <v>3.9152813677139535E-3</v>
      </c>
      <c r="L113" s="14">
        <v>3.9152813677139535E-3</v>
      </c>
      <c r="O113"/>
      <c r="P113"/>
    </row>
    <row r="114" spans="2:16" hidden="1" outlineLevel="1" x14ac:dyDescent="0.35">
      <c r="B114" s="11" t="s">
        <v>266</v>
      </c>
      <c r="C114" s="11"/>
      <c r="D114" s="12"/>
      <c r="E114" s="15">
        <f t="shared" si="71"/>
        <v>0.19497553697213643</v>
      </c>
      <c r="F114" s="15">
        <f t="shared" si="71"/>
        <v>0.17563464620055663</v>
      </c>
      <c r="G114" s="15">
        <f t="shared" si="71"/>
        <v>0.11750137978857393</v>
      </c>
      <c r="H114" s="14">
        <v>0.16270385432042234</v>
      </c>
      <c r="I114" s="14">
        <v>0.16270385432042234</v>
      </c>
      <c r="J114" s="14">
        <v>0.16270385432042234</v>
      </c>
      <c r="K114" s="14">
        <v>0.16270385432042234</v>
      </c>
      <c r="L114" s="14">
        <v>0.16270385432042234</v>
      </c>
      <c r="O114"/>
      <c r="P114"/>
    </row>
    <row r="115" spans="2:16" hidden="1" outlineLevel="1" x14ac:dyDescent="0.35">
      <c r="B115" s="11"/>
      <c r="C115" s="11"/>
      <c r="D115" s="12"/>
      <c r="H115" s="7"/>
      <c r="I115" s="7"/>
      <c r="J115" s="7"/>
      <c r="K115" s="7"/>
      <c r="L115" s="7"/>
      <c r="O115"/>
      <c r="P115"/>
    </row>
    <row r="116" spans="2:16" hidden="1" outlineLevel="1" x14ac:dyDescent="0.35">
      <c r="B116" s="8" t="s">
        <v>9</v>
      </c>
      <c r="C116" s="8"/>
      <c r="D116" s="12"/>
      <c r="H116" s="7"/>
      <c r="I116" s="7"/>
      <c r="J116" s="7"/>
      <c r="K116" s="7"/>
      <c r="L116" s="7"/>
      <c r="O116"/>
      <c r="P116"/>
    </row>
    <row r="117" spans="2:16" hidden="1" outlineLevel="1" x14ac:dyDescent="0.35">
      <c r="B117" s="11" t="s">
        <v>59</v>
      </c>
      <c r="C117" s="8"/>
      <c r="D117" s="12"/>
      <c r="E117" s="18">
        <f t="shared" ref="E117:G127" si="72">E21</f>
        <v>42.150177087531837</v>
      </c>
      <c r="F117" s="18">
        <f t="shared" si="72"/>
        <v>43.747942951179375</v>
      </c>
      <c r="G117" s="18">
        <f t="shared" si="72"/>
        <v>37.706822450927348</v>
      </c>
      <c r="H117" s="19">
        <v>38</v>
      </c>
      <c r="I117" s="19">
        <v>42</v>
      </c>
      <c r="J117" s="19">
        <v>42</v>
      </c>
      <c r="K117" s="19">
        <v>42</v>
      </c>
      <c r="L117" s="19">
        <v>42</v>
      </c>
      <c r="O117"/>
      <c r="P117"/>
    </row>
    <row r="118" spans="2:16" hidden="1" outlineLevel="1" x14ac:dyDescent="0.35">
      <c r="B118" s="11" t="s">
        <v>60</v>
      </c>
      <c r="C118" s="8"/>
      <c r="D118" s="12"/>
      <c r="E118" s="18">
        <f t="shared" si="72"/>
        <v>72.135530120004759</v>
      </c>
      <c r="F118" s="18">
        <f t="shared" si="72"/>
        <v>68.18001463846835</v>
      </c>
      <c r="G118" s="18">
        <f t="shared" si="72"/>
        <v>93.02592752229701</v>
      </c>
      <c r="H118" s="19">
        <v>80</v>
      </c>
      <c r="I118" s="19">
        <v>78</v>
      </c>
      <c r="J118" s="19">
        <v>78</v>
      </c>
      <c r="K118" s="19">
        <v>78</v>
      </c>
      <c r="L118" s="19">
        <v>78</v>
      </c>
      <c r="O118"/>
      <c r="P118"/>
    </row>
    <row r="119" spans="2:16" hidden="1" outlineLevel="1" x14ac:dyDescent="0.35">
      <c r="B119" s="11" t="s">
        <v>65</v>
      </c>
      <c r="D119" s="12"/>
      <c r="E119" s="13">
        <f t="shared" si="72"/>
        <v>0.22345616547607819</v>
      </c>
      <c r="F119" s="13">
        <f t="shared" si="72"/>
        <v>0.17450445508591422</v>
      </c>
      <c r="G119" s="13">
        <f t="shared" si="72"/>
        <v>0.20623582835362703</v>
      </c>
      <c r="H119" s="14">
        <v>0.20599999999999999</v>
      </c>
      <c r="I119" s="14">
        <v>0.21</v>
      </c>
      <c r="J119" s="14">
        <v>0.215</v>
      </c>
      <c r="K119" s="14">
        <v>0.22</v>
      </c>
      <c r="L119" s="14">
        <v>0.22</v>
      </c>
      <c r="O119"/>
      <c r="P119"/>
    </row>
    <row r="120" spans="2:16" hidden="1" outlineLevel="1" x14ac:dyDescent="0.35">
      <c r="B120" s="11" t="s">
        <v>326</v>
      </c>
      <c r="D120" s="12"/>
      <c r="E120" s="13">
        <f t="shared" si="72"/>
        <v>4.5836942260031384E-2</v>
      </c>
      <c r="F120" s="13">
        <f t="shared" si="72"/>
        <v>2.8116706942817749E-2</v>
      </c>
      <c r="G120" s="13">
        <f t="shared" si="72"/>
        <v>3.1829593741071485E-2</v>
      </c>
      <c r="H120" s="14">
        <v>3.2000000000000001E-2</v>
      </c>
      <c r="I120" s="14">
        <v>3.7999999999999999E-2</v>
      </c>
      <c r="J120" s="14">
        <v>3.7999999999999999E-2</v>
      </c>
      <c r="K120" s="14">
        <v>0.04</v>
      </c>
      <c r="L120" s="14">
        <v>0.04</v>
      </c>
      <c r="O120"/>
      <c r="P120"/>
    </row>
    <row r="121" spans="2:16" hidden="1" outlineLevel="1" x14ac:dyDescent="0.35">
      <c r="B121" s="11" t="s">
        <v>254</v>
      </c>
      <c r="D121" s="12"/>
      <c r="E121" s="21">
        <f t="shared" si="72"/>
        <v>6201</v>
      </c>
      <c r="F121" s="21">
        <f t="shared" si="72"/>
        <v>6141</v>
      </c>
      <c r="G121" s="21">
        <f t="shared" si="72"/>
        <v>6070</v>
      </c>
      <c r="H121" s="22">
        <v>6070</v>
      </c>
      <c r="I121" s="22">
        <v>6300</v>
      </c>
      <c r="J121" s="22">
        <v>6200</v>
      </c>
      <c r="K121" s="22">
        <v>6200</v>
      </c>
      <c r="L121" s="22">
        <v>6200</v>
      </c>
      <c r="O121"/>
      <c r="P121"/>
    </row>
    <row r="122" spans="2:16" hidden="1" outlineLevel="1" x14ac:dyDescent="0.35">
      <c r="B122" s="11" t="s">
        <v>262</v>
      </c>
      <c r="D122" s="12"/>
      <c r="E122" s="21">
        <f t="shared" si="72"/>
        <v>897</v>
      </c>
      <c r="F122" s="21">
        <f t="shared" si="72"/>
        <v>0</v>
      </c>
      <c r="G122" s="21">
        <f t="shared" si="72"/>
        <v>0</v>
      </c>
      <c r="H122" s="22">
        <v>0</v>
      </c>
      <c r="I122" s="22">
        <v>0</v>
      </c>
      <c r="J122" s="22">
        <v>0</v>
      </c>
      <c r="K122" s="22">
        <v>0</v>
      </c>
      <c r="L122" s="22">
        <v>0</v>
      </c>
      <c r="O122"/>
      <c r="P122"/>
    </row>
    <row r="123" spans="2:16" hidden="1" outlineLevel="1" x14ac:dyDescent="0.35">
      <c r="B123" s="11" t="s">
        <v>256</v>
      </c>
      <c r="D123" s="12"/>
      <c r="E123" s="21">
        <f t="shared" si="72"/>
        <v>20306</v>
      </c>
      <c r="F123" s="21">
        <f t="shared" si="72"/>
        <v>20654</v>
      </c>
      <c r="G123" s="21">
        <f t="shared" si="72"/>
        <v>20654</v>
      </c>
      <c r="H123" s="22">
        <v>20654</v>
      </c>
      <c r="I123" s="22">
        <v>20654</v>
      </c>
      <c r="J123" s="22">
        <v>21000</v>
      </c>
      <c r="K123" s="22">
        <v>21000</v>
      </c>
      <c r="L123" s="22">
        <v>21000</v>
      </c>
      <c r="O123"/>
      <c r="P123"/>
    </row>
    <row r="124" spans="2:16" hidden="1" outlineLevel="1" x14ac:dyDescent="0.35">
      <c r="B124" s="11" t="s">
        <v>334</v>
      </c>
      <c r="D124" s="12"/>
      <c r="E124" s="13">
        <f t="shared" si="72"/>
        <v>5.6453618502859987E-2</v>
      </c>
      <c r="F124" s="13">
        <f t="shared" si="72"/>
        <v>5.6203762731464324E-2</v>
      </c>
      <c r="G124" s="13">
        <f t="shared" si="72"/>
        <v>7.9130218053385687E-2</v>
      </c>
      <c r="H124" s="14">
        <v>7.9000000000000001E-2</v>
      </c>
      <c r="I124" s="14">
        <v>0.08</v>
      </c>
      <c r="J124" s="14">
        <v>8.2000000000000003E-2</v>
      </c>
      <c r="K124" s="14">
        <v>8.5000000000000006E-2</v>
      </c>
      <c r="L124" s="14">
        <v>8.5000000000000006E-2</v>
      </c>
      <c r="O124"/>
      <c r="P124"/>
    </row>
    <row r="125" spans="2:16" hidden="1" outlineLevel="1" x14ac:dyDescent="0.35">
      <c r="B125" s="11" t="s">
        <v>263</v>
      </c>
      <c r="D125" s="12"/>
      <c r="E125" s="21">
        <f t="shared" si="72"/>
        <v>1117</v>
      </c>
      <c r="F125" s="21">
        <f t="shared" si="72"/>
        <v>0</v>
      </c>
      <c r="G125" s="21">
        <f t="shared" si="72"/>
        <v>0</v>
      </c>
      <c r="H125" s="22">
        <v>0</v>
      </c>
      <c r="I125" s="22">
        <v>0</v>
      </c>
      <c r="J125" s="22">
        <v>0</v>
      </c>
      <c r="K125" s="22">
        <v>0</v>
      </c>
      <c r="L125" s="22">
        <v>0</v>
      </c>
      <c r="O125"/>
      <c r="P125"/>
    </row>
    <row r="126" spans="2:16" hidden="1" outlineLevel="1" x14ac:dyDescent="0.35">
      <c r="B126" s="11" t="s">
        <v>379</v>
      </c>
      <c r="D126" s="12"/>
      <c r="E126" s="13">
        <f t="shared" si="72"/>
        <v>0</v>
      </c>
      <c r="F126" s="13">
        <f t="shared" si="72"/>
        <v>7.7795148415418222E-2</v>
      </c>
      <c r="G126" s="13">
        <f t="shared" si="72"/>
        <v>8.2301847609315512E-2</v>
      </c>
      <c r="H126" s="14">
        <v>0.08</v>
      </c>
      <c r="I126" s="14">
        <v>7.4999999999999997E-2</v>
      </c>
      <c r="J126" s="14">
        <v>7.0000000000000007E-2</v>
      </c>
      <c r="K126" s="14">
        <v>7.0000000000000007E-2</v>
      </c>
      <c r="L126" s="14">
        <v>7.0000000000000007E-2</v>
      </c>
      <c r="O126"/>
      <c r="P126"/>
    </row>
    <row r="127" spans="2:16" hidden="1" outlineLevel="1" x14ac:dyDescent="0.35">
      <c r="B127" s="11" t="s">
        <v>333</v>
      </c>
      <c r="D127" s="12"/>
      <c r="E127" s="13">
        <f t="shared" si="72"/>
        <v>6.6581481703813603E-2</v>
      </c>
      <c r="F127" s="13">
        <f t="shared" si="72"/>
        <v>1.0155520303627819E-2</v>
      </c>
      <c r="G127" s="13">
        <f t="shared" si="72"/>
        <v>1.6510537929860607E-2</v>
      </c>
      <c r="H127" s="14">
        <v>1.7000000000000001E-2</v>
      </c>
      <c r="I127" s="14">
        <v>1.4999999999999999E-2</v>
      </c>
      <c r="J127" s="14">
        <v>1.4999999999999999E-2</v>
      </c>
      <c r="K127" s="14">
        <v>1.4999999999999999E-2</v>
      </c>
      <c r="L127" s="14">
        <v>1.4999999999999999E-2</v>
      </c>
      <c r="O127"/>
      <c r="P127"/>
    </row>
    <row r="128" spans="2:16" hidden="1" outlineLevel="1" x14ac:dyDescent="0.35">
      <c r="B128" s="11"/>
      <c r="D128" s="12"/>
      <c r="E128" s="12"/>
      <c r="F128" s="12"/>
      <c r="G128" s="12"/>
      <c r="H128" s="7"/>
      <c r="I128" s="7"/>
      <c r="J128" s="7"/>
      <c r="K128" s="7"/>
      <c r="L128" s="7"/>
      <c r="O128"/>
      <c r="P128"/>
    </row>
    <row r="129" spans="2:16" hidden="1" outlineLevel="1" x14ac:dyDescent="0.35">
      <c r="B129" s="8" t="s">
        <v>380</v>
      </c>
      <c r="D129" s="12"/>
      <c r="E129" s="12"/>
      <c r="F129" s="12"/>
      <c r="G129" s="12"/>
      <c r="H129" s="7"/>
      <c r="I129" s="7"/>
      <c r="J129" s="7"/>
      <c r="K129" s="7"/>
      <c r="L129" s="7"/>
      <c r="O129"/>
      <c r="P129"/>
    </row>
    <row r="130" spans="2:16" hidden="1" outlineLevel="1" x14ac:dyDescent="0.35">
      <c r="B130" s="11" t="s">
        <v>281</v>
      </c>
      <c r="D130" s="12"/>
      <c r="E130" s="13">
        <f t="shared" ref="E130:G134" si="73">E34</f>
        <v>0.29440266188716135</v>
      </c>
      <c r="F130" s="13">
        <f t="shared" si="73"/>
        <v>0.3472001897673867</v>
      </c>
      <c r="G130" s="13">
        <f t="shared" si="73"/>
        <v>0.41578470647594845</v>
      </c>
      <c r="H130" s="14">
        <v>0.43827699662015879</v>
      </c>
      <c r="I130" s="14">
        <v>0.43827699662015879</v>
      </c>
      <c r="J130" s="14">
        <v>0.43827699662015879</v>
      </c>
      <c r="K130" s="14">
        <v>0.43827699662015879</v>
      </c>
      <c r="L130" s="14">
        <v>0.43827699662015879</v>
      </c>
      <c r="O130"/>
      <c r="P130"/>
    </row>
    <row r="131" spans="2:16" hidden="1" outlineLevel="1" x14ac:dyDescent="0.35">
      <c r="B131" s="11" t="s">
        <v>283</v>
      </c>
      <c r="D131" s="12"/>
      <c r="E131" s="13">
        <f t="shared" si="73"/>
        <v>5.593050279137974E-2</v>
      </c>
      <c r="F131" s="13">
        <f t="shared" si="73"/>
        <v>5.1681961720359965E-2</v>
      </c>
      <c r="G131" s="13">
        <f t="shared" si="73"/>
        <v>4.4334076996492423E-2</v>
      </c>
      <c r="H131" s="14">
        <v>6.3224104431687481E-2</v>
      </c>
      <c r="I131" s="14">
        <v>6.3224104431687481E-2</v>
      </c>
      <c r="J131" s="14">
        <v>6.3224104431687481E-2</v>
      </c>
      <c r="K131" s="14">
        <v>6.3224104431687481E-2</v>
      </c>
      <c r="L131" s="14">
        <v>6.3224104431687481E-2</v>
      </c>
      <c r="O131"/>
      <c r="P131"/>
    </row>
    <row r="132" spans="2:16" hidden="1" outlineLevel="1" x14ac:dyDescent="0.35">
      <c r="B132" s="11" t="s">
        <v>284</v>
      </c>
      <c r="D132" s="12"/>
      <c r="E132" s="13">
        <f t="shared" si="73"/>
        <v>4.8383915478222093E-2</v>
      </c>
      <c r="F132" s="13">
        <f t="shared" si="73"/>
        <v>5.4973239833360513E-2</v>
      </c>
      <c r="G132" s="13">
        <f t="shared" si="73"/>
        <v>4.3464781369110216E-2</v>
      </c>
      <c r="H132" s="14">
        <v>6.1017050519502493E-2</v>
      </c>
      <c r="I132" s="14">
        <v>6.1017050519502493E-2</v>
      </c>
      <c r="J132" s="14">
        <v>6.1017050519502493E-2</v>
      </c>
      <c r="K132" s="14">
        <v>6.1017050519502493E-2</v>
      </c>
      <c r="L132" s="14">
        <v>6.1017050519502493E-2</v>
      </c>
      <c r="O132"/>
      <c r="P132"/>
    </row>
    <row r="133" spans="2:16" hidden="1" outlineLevel="1" x14ac:dyDescent="0.35">
      <c r="B133" s="11" t="s">
        <v>285</v>
      </c>
      <c r="D133" s="12"/>
      <c r="E133" s="13">
        <f t="shared" si="73"/>
        <v>0.80330917719489514</v>
      </c>
      <c r="F133" s="13">
        <f t="shared" si="73"/>
        <v>0.89735625808837127</v>
      </c>
      <c r="G133" s="13">
        <f t="shared" si="73"/>
        <v>0.71940090186815542</v>
      </c>
      <c r="H133" s="14">
        <v>0.80668877905047387</v>
      </c>
      <c r="I133" s="14">
        <v>0.80668877905047387</v>
      </c>
      <c r="J133" s="14">
        <v>0.80668877905047387</v>
      </c>
      <c r="K133" s="14">
        <v>0.80668877905047387</v>
      </c>
      <c r="L133" s="14">
        <v>0.80668877905047387</v>
      </c>
      <c r="O133"/>
      <c r="P133"/>
    </row>
    <row r="134" spans="2:16" hidden="1" outlineLevel="1" x14ac:dyDescent="0.35">
      <c r="B134" s="11" t="s">
        <v>286</v>
      </c>
      <c r="D134" s="12"/>
      <c r="E134" s="13">
        <f t="shared" si="73"/>
        <v>0</v>
      </c>
      <c r="F134" s="13">
        <f t="shared" si="73"/>
        <v>0.2481359976140769</v>
      </c>
      <c r="G134" s="13">
        <f t="shared" si="73"/>
        <v>0.28649940262843487</v>
      </c>
      <c r="H134" s="14">
        <v>0.24</v>
      </c>
      <c r="I134" s="14">
        <v>0.24</v>
      </c>
      <c r="J134" s="14">
        <v>0.24</v>
      </c>
      <c r="K134" s="14">
        <v>0.15</v>
      </c>
      <c r="L134" s="14">
        <v>0.15</v>
      </c>
      <c r="O134"/>
      <c r="P134"/>
    </row>
    <row r="135" spans="2:16" hidden="1" outlineLevel="1" x14ac:dyDescent="0.35">
      <c r="B135" s="11"/>
      <c r="D135" s="12"/>
      <c r="E135" s="12"/>
      <c r="F135" s="12"/>
      <c r="G135" s="12"/>
      <c r="H135" s="7"/>
      <c r="I135" s="7"/>
      <c r="J135" s="7"/>
      <c r="K135" s="7"/>
      <c r="L135" s="7"/>
      <c r="O135"/>
      <c r="P135"/>
    </row>
    <row r="136" spans="2:16" hidden="1" outlineLevel="1" x14ac:dyDescent="0.35">
      <c r="B136" s="8" t="s">
        <v>302</v>
      </c>
      <c r="D136" s="12"/>
      <c r="E136" s="12"/>
      <c r="F136" s="12"/>
      <c r="G136" s="12"/>
      <c r="H136" s="12"/>
      <c r="I136" s="12"/>
      <c r="J136" s="12"/>
      <c r="K136" s="12"/>
      <c r="L136" s="12"/>
      <c r="O136"/>
      <c r="P136"/>
    </row>
    <row r="137" spans="2:16" hidden="1" outlineLevel="1" x14ac:dyDescent="0.35">
      <c r="B137" s="11" t="s">
        <v>306</v>
      </c>
      <c r="D137" s="12"/>
      <c r="E137" s="13">
        <f t="shared" ref="E137:G138" si="74">E41</f>
        <v>0</v>
      </c>
      <c r="F137" s="13">
        <f t="shared" si="74"/>
        <v>6.3008702613749246E-2</v>
      </c>
      <c r="G137" s="13">
        <f t="shared" si="74"/>
        <v>6.3829399213378643E-2</v>
      </c>
      <c r="H137" s="14">
        <v>6.4000000000000001E-2</v>
      </c>
      <c r="I137" s="14">
        <v>6.4000000000000001E-2</v>
      </c>
      <c r="J137" s="14">
        <v>6.4000000000000001E-2</v>
      </c>
      <c r="K137" s="14">
        <v>6.4000000000000001E-2</v>
      </c>
      <c r="L137" s="14">
        <v>6.4000000000000001E-2</v>
      </c>
      <c r="O137"/>
      <c r="P137"/>
    </row>
    <row r="138" spans="2:16" hidden="1" outlineLevel="1" x14ac:dyDescent="0.35">
      <c r="B138" s="11" t="s">
        <v>307</v>
      </c>
      <c r="D138" s="12"/>
      <c r="E138" s="25">
        <f t="shared" si="74"/>
        <v>-6.6032638990129412E-4</v>
      </c>
      <c r="F138" s="25">
        <f t="shared" si="74"/>
        <v>-8.5247068242131328E-4</v>
      </c>
      <c r="G138" s="25">
        <f t="shared" si="74"/>
        <v>-1.0577443298217032E-3</v>
      </c>
      <c r="H138" s="14">
        <v>-1.1000000000000001E-3</v>
      </c>
      <c r="I138" s="14">
        <v>-1.1000000000000001E-3</v>
      </c>
      <c r="J138" s="14">
        <v>-1.1000000000000001E-3</v>
      </c>
      <c r="K138" s="14">
        <v>-1.1000000000000001E-3</v>
      </c>
      <c r="L138" s="14">
        <v>-1.1000000000000001E-3</v>
      </c>
      <c r="O138"/>
      <c r="P138"/>
    </row>
    <row r="139" spans="2:16" hidden="1" outlineLevel="1" x14ac:dyDescent="0.35">
      <c r="D139" s="12"/>
      <c r="H139" s="7"/>
      <c r="I139" s="7"/>
      <c r="J139" s="7"/>
      <c r="K139" s="7"/>
      <c r="L139" s="7"/>
      <c r="O139"/>
      <c r="P139"/>
    </row>
    <row r="140" spans="2:16" hidden="1" outlineLevel="1" x14ac:dyDescent="0.35">
      <c r="B140" s="163" t="s">
        <v>382</v>
      </c>
      <c r="D140" s="12"/>
      <c r="H140" s="7"/>
      <c r="I140" s="7"/>
      <c r="J140" s="7"/>
      <c r="K140" s="7"/>
      <c r="L140" s="7"/>
      <c r="O140"/>
      <c r="P140"/>
    </row>
    <row r="141" spans="2:16" hidden="1" outlineLevel="1" x14ac:dyDescent="0.35">
      <c r="B141" s="11" t="s">
        <v>109</v>
      </c>
      <c r="D141" s="12"/>
      <c r="E141" s="13">
        <f>E45</f>
        <v>0.13743364577348233</v>
      </c>
      <c r="F141" s="13">
        <f t="shared" ref="F141:G141" si="75">F45</f>
        <v>0.12956813093949682</v>
      </c>
      <c r="G141" s="13">
        <f t="shared" si="75"/>
        <v>0.12343997908827302</v>
      </c>
      <c r="H141" s="14">
        <v>0.13</v>
      </c>
      <c r="I141" s="14">
        <v>0.13</v>
      </c>
      <c r="J141" s="14">
        <v>0.13</v>
      </c>
      <c r="K141" s="14">
        <v>0.13</v>
      </c>
      <c r="L141" s="14">
        <v>0.13</v>
      </c>
      <c r="O141"/>
      <c r="P141"/>
    </row>
    <row r="142" spans="2:16" hidden="1" outlineLevel="1" x14ac:dyDescent="0.35">
      <c r="B142" s="11" t="s">
        <v>297</v>
      </c>
      <c r="D142" s="12"/>
      <c r="E142" s="13">
        <f t="shared" ref="E142:G142" si="76">E46</f>
        <v>0.14293922424512687</v>
      </c>
      <c r="F142" s="13">
        <f t="shared" si="76"/>
        <v>0.13972365124312464</v>
      </c>
      <c r="G142" s="13">
        <f t="shared" si="76"/>
        <v>0.12300229177938128</v>
      </c>
      <c r="H142" s="14">
        <v>0.14000000000000001</v>
      </c>
      <c r="I142" s="14">
        <v>0.14000000000000001</v>
      </c>
      <c r="J142" s="14">
        <v>0.14000000000000001</v>
      </c>
      <c r="K142" s="14">
        <v>0.14000000000000001</v>
      </c>
      <c r="L142" s="14">
        <v>0.14000000000000001</v>
      </c>
      <c r="O142"/>
      <c r="P142"/>
    </row>
    <row r="143" spans="2:16" hidden="1" outlineLevel="1" x14ac:dyDescent="0.35">
      <c r="B143" s="11" t="s">
        <v>296</v>
      </c>
      <c r="D143" s="12"/>
      <c r="E143" s="13">
        <f t="shared" ref="E143:G143" si="77">E47</f>
        <v>5.8914835047037539E-3</v>
      </c>
      <c r="F143" s="13">
        <f t="shared" si="77"/>
        <v>5.1148240945278799E-3</v>
      </c>
      <c r="G143" s="13">
        <f t="shared" si="77"/>
        <v>4.310004194503377E-3</v>
      </c>
      <c r="H143" s="14">
        <v>5.0000000000000001E-3</v>
      </c>
      <c r="I143" s="14">
        <v>5.0000000000000001E-3</v>
      </c>
      <c r="J143" s="14">
        <v>5.0000000000000001E-3</v>
      </c>
      <c r="K143" s="14">
        <v>5.0000000000000001E-3</v>
      </c>
      <c r="L143" s="14">
        <v>5.0000000000000001E-3</v>
      </c>
      <c r="O143"/>
      <c r="P143"/>
    </row>
    <row r="144" spans="2:16" hidden="1" outlineLevel="1" x14ac:dyDescent="0.35">
      <c r="D144" s="12"/>
      <c r="H144" s="7"/>
      <c r="I144" s="7"/>
      <c r="J144" s="7"/>
      <c r="K144" s="7"/>
      <c r="L144" s="7"/>
      <c r="O144"/>
      <c r="P144"/>
    </row>
    <row r="145" spans="2:16" hidden="1" outlineLevel="1" x14ac:dyDescent="0.35">
      <c r="B145" s="163" t="s">
        <v>383</v>
      </c>
      <c r="D145" s="12"/>
      <c r="H145" s="7"/>
      <c r="I145" s="7"/>
      <c r="J145" s="7"/>
      <c r="K145" s="7"/>
      <c r="L145" s="7"/>
      <c r="O145"/>
      <c r="P145"/>
    </row>
    <row r="146" spans="2:16" hidden="1" outlineLevel="1" x14ac:dyDescent="0.35">
      <c r="B146" s="11" t="s">
        <v>317</v>
      </c>
      <c r="D146" s="12"/>
      <c r="E146" s="13">
        <f>E50</f>
        <v>7.6823250448602928E-2</v>
      </c>
      <c r="F146" s="13">
        <f t="shared" ref="F146:G146" si="78">F50</f>
        <v>0.10599434010805248</v>
      </c>
      <c r="G146" s="13">
        <f t="shared" si="78"/>
        <v>8.5021551724137931E-2</v>
      </c>
      <c r="H146" s="14">
        <v>7.0000000000000007E-2</v>
      </c>
      <c r="I146" s="14">
        <v>7.0000000000000007E-2</v>
      </c>
      <c r="J146" s="14">
        <v>6.5000000000000002E-2</v>
      </c>
      <c r="K146" s="14">
        <v>6.5000000000000002E-2</v>
      </c>
      <c r="L146" s="14">
        <v>6.5000000000000002E-2</v>
      </c>
      <c r="O146"/>
      <c r="P146"/>
    </row>
    <row r="147" spans="2:16" hidden="1" outlineLevel="1" x14ac:dyDescent="0.35">
      <c r="B147" s="11" t="s">
        <v>318</v>
      </c>
      <c r="D147" s="12"/>
      <c r="E147" s="13">
        <f t="shared" ref="E147:G147" si="79">E51</f>
        <v>7.355485772878749E-2</v>
      </c>
      <c r="F147" s="13">
        <f t="shared" si="79"/>
        <v>0.10707164908669925</v>
      </c>
      <c r="G147" s="13">
        <f t="shared" si="79"/>
        <v>9.7752463054187194E-2</v>
      </c>
      <c r="H147" s="14">
        <v>0.08</v>
      </c>
      <c r="I147" s="14">
        <v>0.08</v>
      </c>
      <c r="J147" s="14">
        <v>7.4999999999999997E-2</v>
      </c>
      <c r="K147" s="14">
        <v>7.4999999999999997E-2</v>
      </c>
      <c r="L147" s="14">
        <v>7.4999999999999997E-2</v>
      </c>
      <c r="O147"/>
      <c r="P147"/>
    </row>
    <row r="148" spans="2:16" hidden="1" outlineLevel="1" x14ac:dyDescent="0.35">
      <c r="B148" s="11" t="s">
        <v>319</v>
      </c>
      <c r="D148" s="12"/>
      <c r="E148" s="13">
        <f t="shared" ref="E148:G148" si="80">E52</f>
        <v>9.366382351054961E-2</v>
      </c>
      <c r="F148" s="13">
        <f t="shared" si="80"/>
        <v>8.1826585320761688E-2</v>
      </c>
      <c r="G148" s="13">
        <f t="shared" si="80"/>
        <v>6.9304273137212796E-2</v>
      </c>
      <c r="H148" s="14">
        <v>0.06</v>
      </c>
      <c r="I148" s="14">
        <v>0.06</v>
      </c>
      <c r="J148" s="14">
        <v>5.5E-2</v>
      </c>
      <c r="K148" s="14">
        <v>5.5E-2</v>
      </c>
      <c r="L148" s="14">
        <v>5.5E-2</v>
      </c>
      <c r="O148"/>
      <c r="P148"/>
    </row>
    <row r="149" spans="2:16" hidden="1" outlineLevel="1" x14ac:dyDescent="0.35">
      <c r="B149" s="11" t="s">
        <v>320</v>
      </c>
      <c r="D149" s="12"/>
      <c r="E149" s="13">
        <f t="shared" ref="E149:G149" si="81">E53</f>
        <v>0.41626623954440289</v>
      </c>
      <c r="F149" s="13">
        <f t="shared" si="81"/>
        <v>0.43877551020408162</v>
      </c>
      <c r="G149" s="13">
        <f t="shared" si="81"/>
        <v>0.41406720462483437</v>
      </c>
      <c r="H149" s="14">
        <v>0.38</v>
      </c>
      <c r="I149" s="14">
        <v>0.38</v>
      </c>
      <c r="J149" s="14">
        <v>0.37</v>
      </c>
      <c r="K149" s="14">
        <v>0.37</v>
      </c>
      <c r="L149" s="14">
        <v>0.37</v>
      </c>
      <c r="O149"/>
      <c r="P149"/>
    </row>
    <row r="150" spans="2:16" hidden="1" outlineLevel="1" x14ac:dyDescent="0.35">
      <c r="B150" s="11" t="s">
        <v>121</v>
      </c>
      <c r="D150" s="12"/>
      <c r="E150" s="13">
        <f t="shared" ref="E150:G150" si="82">E54</f>
        <v>4.2072224270853879E-2</v>
      </c>
      <c r="F150" s="13">
        <f t="shared" si="82"/>
        <v>4.7212050229055169E-2</v>
      </c>
      <c r="G150" s="13">
        <f t="shared" si="82"/>
        <v>3.6923787697339228E-2</v>
      </c>
      <c r="H150" s="14">
        <v>0.03</v>
      </c>
      <c r="I150" s="14">
        <v>0.03</v>
      </c>
      <c r="J150" s="14">
        <v>2.5000000000000001E-2</v>
      </c>
      <c r="K150" s="14">
        <v>2.5000000000000001E-2</v>
      </c>
      <c r="L150" s="14">
        <v>2.5000000000000001E-2</v>
      </c>
      <c r="O150"/>
      <c r="P150"/>
    </row>
    <row r="151" spans="2:16" hidden="1" outlineLevel="1" x14ac:dyDescent="0.35">
      <c r="D151" s="12"/>
      <c r="H151" s="7"/>
      <c r="I151" s="7"/>
      <c r="J151" s="7"/>
      <c r="K151" s="7"/>
      <c r="L151" s="7"/>
      <c r="O151"/>
      <c r="P151"/>
    </row>
    <row r="152" spans="2:16" hidden="1" outlineLevel="1" x14ac:dyDescent="0.35">
      <c r="B152" s="8" t="s">
        <v>10</v>
      </c>
      <c r="D152" s="12"/>
      <c r="H152" s="7"/>
      <c r="I152" s="7"/>
      <c r="J152" s="7"/>
      <c r="K152" s="7"/>
      <c r="L152" s="7"/>
      <c r="O152"/>
      <c r="P152"/>
    </row>
    <row r="153" spans="2:16" hidden="1" outlineLevel="1" x14ac:dyDescent="0.35">
      <c r="B153" s="11" t="s">
        <v>39</v>
      </c>
      <c r="D153" s="12"/>
      <c r="E153" s="13">
        <f t="shared" ref="E153:G155" si="83">E57</f>
        <v>0</v>
      </c>
      <c r="F153" s="13">
        <f t="shared" si="83"/>
        <v>0</v>
      </c>
      <c r="G153" s="13">
        <f t="shared" si="83"/>
        <v>0</v>
      </c>
      <c r="H153" s="14">
        <v>0.01</v>
      </c>
      <c r="I153" s="14">
        <v>0.01</v>
      </c>
      <c r="J153" s="14">
        <v>0.01</v>
      </c>
      <c r="K153" s="14">
        <v>0.01</v>
      </c>
      <c r="L153" s="14">
        <v>0.01</v>
      </c>
      <c r="O153"/>
      <c r="P153"/>
    </row>
    <row r="154" spans="2:16" hidden="1" outlineLevel="1" x14ac:dyDescent="0.35">
      <c r="B154" s="11" t="s">
        <v>345</v>
      </c>
      <c r="D154" s="12"/>
      <c r="E154" s="13">
        <f t="shared" si="83"/>
        <v>0.10283940347657557</v>
      </c>
      <c r="F154" s="13">
        <f t="shared" si="83"/>
        <v>0.10397918488977183</v>
      </c>
      <c r="G154" s="13">
        <f t="shared" si="83"/>
        <v>0.10145834979726567</v>
      </c>
      <c r="H154" s="14">
        <v>0.1</v>
      </c>
      <c r="I154" s="14">
        <v>0.1</v>
      </c>
      <c r="J154" s="14">
        <v>0.1</v>
      </c>
      <c r="K154" s="14">
        <v>0.1</v>
      </c>
      <c r="L154" s="14">
        <v>0.1</v>
      </c>
      <c r="O154"/>
      <c r="P154"/>
    </row>
    <row r="155" spans="2:16" hidden="1" outlineLevel="1" x14ac:dyDescent="0.35">
      <c r="B155" s="11" t="s">
        <v>374</v>
      </c>
      <c r="D155" s="12"/>
      <c r="E155" s="13">
        <f t="shared" si="83"/>
        <v>-0.11402199937541206</v>
      </c>
      <c r="F155" s="13">
        <f t="shared" si="83"/>
        <v>2.7620814708610949E-3</v>
      </c>
      <c r="G155" s="13">
        <f t="shared" si="83"/>
        <v>-6.7050648854421691E-2</v>
      </c>
      <c r="H155" s="14">
        <v>-0.04</v>
      </c>
      <c r="I155" s="14">
        <v>-0.04</v>
      </c>
      <c r="J155" s="14">
        <v>-0.04</v>
      </c>
      <c r="K155" s="14">
        <v>-0.04</v>
      </c>
      <c r="L155" s="14">
        <v>-0.04</v>
      </c>
      <c r="O155"/>
      <c r="P155"/>
    </row>
    <row r="156" spans="2:16" hidden="1" outlineLevel="1" x14ac:dyDescent="0.35">
      <c r="B156" s="11" t="s">
        <v>375</v>
      </c>
      <c r="D156" s="12"/>
      <c r="E156" s="13">
        <f t="shared" ref="E156:E162" si="84">E60</f>
        <v>3.5535760061522689E-2</v>
      </c>
      <c r="F156" s="13">
        <f t="shared" ref="F156:G156" si="85">F60</f>
        <v>3.9104708001029075E-2</v>
      </c>
      <c r="G156" s="13">
        <f t="shared" si="85"/>
        <v>5.8959359605911333E-3</v>
      </c>
      <c r="H156" s="14">
        <v>5.0000000000000001E-3</v>
      </c>
      <c r="I156" s="14">
        <v>5.0000000000000001E-3</v>
      </c>
      <c r="J156" s="14">
        <v>5.0000000000000001E-3</v>
      </c>
      <c r="K156" s="14">
        <v>5.0000000000000001E-3</v>
      </c>
      <c r="L156" s="14">
        <v>5.0000000000000001E-3</v>
      </c>
      <c r="O156"/>
      <c r="P156"/>
    </row>
    <row r="157" spans="2:16" hidden="1" outlineLevel="1" x14ac:dyDescent="0.35">
      <c r="B157" s="11" t="s">
        <v>237</v>
      </c>
      <c r="D157" s="12"/>
      <c r="E157" s="21">
        <f t="shared" si="84"/>
        <v>1341</v>
      </c>
      <c r="F157" s="21">
        <f t="shared" ref="F157:G157" si="86">F61</f>
        <v>-224</v>
      </c>
      <c r="G157" s="21">
        <f t="shared" si="86"/>
        <v>0</v>
      </c>
      <c r="H157" s="22">
        <v>0</v>
      </c>
      <c r="I157" s="22">
        <v>0</v>
      </c>
      <c r="J157" s="22">
        <v>0</v>
      </c>
      <c r="K157" s="22">
        <v>0</v>
      </c>
      <c r="L157" s="22">
        <v>0</v>
      </c>
      <c r="O157"/>
      <c r="P157"/>
    </row>
    <row r="158" spans="2:16" hidden="1" outlineLevel="1" x14ac:dyDescent="0.35">
      <c r="B158" s="11" t="s">
        <v>54</v>
      </c>
      <c r="D158" s="12"/>
      <c r="E158" s="21">
        <f t="shared" si="84"/>
        <v>641</v>
      </c>
      <c r="F158" s="21">
        <f t="shared" ref="F158:G162" si="87">F62</f>
        <v>635</v>
      </c>
      <c r="G158" s="21">
        <f t="shared" si="87"/>
        <v>87</v>
      </c>
      <c r="H158" s="22">
        <v>87</v>
      </c>
      <c r="I158" s="22">
        <v>87</v>
      </c>
      <c r="J158" s="22">
        <v>87</v>
      </c>
      <c r="K158" s="22">
        <v>87</v>
      </c>
      <c r="L158" s="22">
        <v>87</v>
      </c>
      <c r="O158"/>
      <c r="P158"/>
    </row>
    <row r="159" spans="2:16" hidden="1" outlineLevel="1" x14ac:dyDescent="0.35">
      <c r="B159" s="11" t="s">
        <v>329</v>
      </c>
      <c r="D159" s="12"/>
      <c r="E159" s="13">
        <f t="shared" si="84"/>
        <v>1.3892581190131123E-3</v>
      </c>
      <c r="F159" s="13">
        <f t="shared" si="87"/>
        <v>4.1437487954218621E-3</v>
      </c>
      <c r="G159" s="13">
        <f t="shared" si="87"/>
        <v>-4.2431353000893608E-3</v>
      </c>
      <c r="H159" s="14">
        <v>2E-3</v>
      </c>
      <c r="I159" s="14">
        <v>2E-3</v>
      </c>
      <c r="J159" s="14">
        <v>2E-3</v>
      </c>
      <c r="K159" s="14">
        <v>2E-3</v>
      </c>
      <c r="L159" s="14">
        <v>2E-3</v>
      </c>
      <c r="O159"/>
      <c r="P159"/>
    </row>
    <row r="160" spans="2:16" hidden="1" outlineLevel="1" x14ac:dyDescent="0.35">
      <c r="B160" s="11" t="s">
        <v>339</v>
      </c>
      <c r="D160" s="12"/>
      <c r="E160" s="25">
        <f t="shared" si="84"/>
        <v>9.0902074453944374E-4</v>
      </c>
      <c r="F160" s="25">
        <f t="shared" si="87"/>
        <v>5.9302308342352224E-4</v>
      </c>
      <c r="G160" s="25">
        <f t="shared" si="87"/>
        <v>1.6413274083440222E-3</v>
      </c>
      <c r="H160" s="14">
        <v>1E-3</v>
      </c>
      <c r="I160" s="14">
        <v>1E-3</v>
      </c>
      <c r="J160" s="14">
        <v>1E-3</v>
      </c>
      <c r="K160" s="14">
        <v>1E-3</v>
      </c>
      <c r="L160" s="14">
        <v>1E-3</v>
      </c>
      <c r="O160"/>
      <c r="P160"/>
    </row>
    <row r="161" spans="2:16" hidden="1" outlineLevel="1" x14ac:dyDescent="0.35">
      <c r="B161" s="11" t="s">
        <v>241</v>
      </c>
      <c r="D161" s="12"/>
      <c r="E161" s="13">
        <f t="shared" si="84"/>
        <v>6.8892591643168424E-2</v>
      </c>
      <c r="F161" s="13">
        <f t="shared" si="87"/>
        <v>8.1698610753794698E-2</v>
      </c>
      <c r="G161" s="13">
        <f t="shared" si="87"/>
        <v>4.9722906403940883E-3</v>
      </c>
      <c r="H161" s="14">
        <v>5.1999999999999998E-2</v>
      </c>
      <c r="I161" s="14">
        <v>5.1999999999999998E-2</v>
      </c>
      <c r="J161" s="14">
        <v>5.1999999999999998E-2</v>
      </c>
      <c r="K161" s="14">
        <v>5.1999999999999998E-2</v>
      </c>
      <c r="L161" s="14">
        <v>5.1999999999999998E-2</v>
      </c>
      <c r="O161"/>
      <c r="P161"/>
    </row>
    <row r="162" spans="2:16" hidden="1" outlineLevel="1" x14ac:dyDescent="0.35">
      <c r="B162" s="11" t="s">
        <v>340</v>
      </c>
      <c r="D162" s="12"/>
      <c r="E162" s="25">
        <f t="shared" si="84"/>
        <v>7.5980413175655397E-3</v>
      </c>
      <c r="F162" s="25">
        <f t="shared" si="87"/>
        <v>4.6255800507034733E-3</v>
      </c>
      <c r="G162" s="25">
        <f t="shared" si="87"/>
        <v>1.7051568075574008E-2</v>
      </c>
      <c r="H162" s="26">
        <v>1.4999999999999999E-2</v>
      </c>
      <c r="I162" s="26">
        <v>1.4999999999999999E-2</v>
      </c>
      <c r="J162" s="26">
        <v>1.7000000000000001E-2</v>
      </c>
      <c r="K162" s="26">
        <v>1.7000000000000001E-2</v>
      </c>
      <c r="L162" s="26">
        <v>1.7000000000000001E-2</v>
      </c>
      <c r="O162"/>
      <c r="P162"/>
    </row>
    <row r="163" spans="2:16" hidden="1" outlineLevel="1" x14ac:dyDescent="0.35">
      <c r="B163" s="11"/>
      <c r="D163" s="12"/>
      <c r="E163" s="12"/>
      <c r="F163" s="12"/>
      <c r="G163" s="12"/>
      <c r="H163" s="12"/>
      <c r="I163" s="12"/>
      <c r="J163" s="12"/>
      <c r="K163" s="12"/>
      <c r="L163" s="12"/>
      <c r="O163"/>
      <c r="P163"/>
    </row>
    <row r="164" spans="2:16" hidden="1" outlineLevel="1" x14ac:dyDescent="0.35">
      <c r="B164" s="11" t="s">
        <v>282</v>
      </c>
      <c r="D164" s="12"/>
      <c r="E164" s="13">
        <f t="shared" ref="E164:G168" si="88">E68</f>
        <v>0.26744076357742541</v>
      </c>
      <c r="F164" s="13">
        <f t="shared" si="88"/>
        <v>0.20047886613986449</v>
      </c>
      <c r="G164" s="13">
        <f t="shared" si="88"/>
        <v>0.22647886638986997</v>
      </c>
      <c r="H164" s="14">
        <v>0.2</v>
      </c>
      <c r="I164" s="14">
        <v>0.2</v>
      </c>
      <c r="J164" s="14">
        <v>0.2</v>
      </c>
      <c r="K164" s="14">
        <v>0.2</v>
      </c>
      <c r="L164" s="14">
        <v>0.2</v>
      </c>
      <c r="O164"/>
      <c r="P164"/>
    </row>
    <row r="165" spans="2:16" hidden="1" outlineLevel="1" x14ac:dyDescent="0.35">
      <c r="B165" s="11" t="s">
        <v>55</v>
      </c>
      <c r="D165" s="12"/>
      <c r="E165" s="13">
        <f t="shared" si="88"/>
        <v>8.2549374405063075E-2</v>
      </c>
      <c r="F165" s="13">
        <f t="shared" si="88"/>
        <v>2.2104935434611794E-2</v>
      </c>
      <c r="G165" s="13">
        <f t="shared" si="88"/>
        <v>0.1552695728293445</v>
      </c>
      <c r="H165" s="14">
        <v>8.6641294223006468E-2</v>
      </c>
      <c r="I165" s="14">
        <v>8.6641294223006468E-2</v>
      </c>
      <c r="J165" s="14">
        <v>8.6641294223006468E-2</v>
      </c>
      <c r="K165" s="14">
        <v>8.6641294223006468E-2</v>
      </c>
      <c r="L165" s="14">
        <v>8.6641294223006468E-2</v>
      </c>
      <c r="O165"/>
      <c r="P165"/>
    </row>
    <row r="166" spans="2:16" hidden="1" outlineLevel="1" x14ac:dyDescent="0.35">
      <c r="B166" s="11" t="s">
        <v>244</v>
      </c>
      <c r="D166" s="12"/>
      <c r="E166" s="13">
        <f t="shared" si="88"/>
        <v>0.11283863166650944</v>
      </c>
      <c r="F166" s="13">
        <f t="shared" si="88"/>
        <v>4.5840684348638271E-2</v>
      </c>
      <c r="G166" s="13">
        <f t="shared" si="88"/>
        <v>9.5981179445717657E-2</v>
      </c>
      <c r="H166" s="14">
        <v>8.4886831820288444E-2</v>
      </c>
      <c r="I166" s="14">
        <v>8.4886831820288444E-2</v>
      </c>
      <c r="J166" s="14">
        <v>8.4886831820288444E-2</v>
      </c>
      <c r="K166" s="14">
        <v>8.4886831820288444E-2</v>
      </c>
      <c r="L166" s="14">
        <v>8.4886831820288444E-2</v>
      </c>
      <c r="O166"/>
      <c r="P166"/>
    </row>
    <row r="167" spans="2:16" hidden="1" outlineLevel="1" x14ac:dyDescent="0.35">
      <c r="B167" s="11" t="s">
        <v>245</v>
      </c>
      <c r="D167" s="12"/>
      <c r="E167" s="13">
        <f t="shared" si="88"/>
        <v>1.1251275630525946E-2</v>
      </c>
      <c r="F167" s="13">
        <f t="shared" si="88"/>
        <v>4.662643993417444E-3</v>
      </c>
      <c r="G167" s="13">
        <f t="shared" si="88"/>
        <v>1.6413274083440222E-3</v>
      </c>
      <c r="H167" s="14">
        <v>5.8517490107624706E-3</v>
      </c>
      <c r="I167" s="14">
        <v>5.8517490107624706E-3</v>
      </c>
      <c r="J167" s="14">
        <v>5.8517490107624706E-3</v>
      </c>
      <c r="K167" s="14">
        <v>5.8517490107624706E-3</v>
      </c>
      <c r="L167" s="14">
        <v>5.8517490107624706E-3</v>
      </c>
      <c r="O167"/>
      <c r="P167"/>
    </row>
    <row r="168" spans="2:16" hidden="1" outlineLevel="1" x14ac:dyDescent="0.35">
      <c r="B168" s="11" t="s">
        <v>246</v>
      </c>
      <c r="D168" s="12"/>
      <c r="E168" s="21">
        <f t="shared" si="88"/>
        <v>-4</v>
      </c>
      <c r="F168" s="21">
        <f t="shared" si="88"/>
        <v>-23</v>
      </c>
      <c r="G168" s="21">
        <f t="shared" si="88"/>
        <v>129</v>
      </c>
      <c r="H168" s="22">
        <v>34</v>
      </c>
      <c r="I168" s="22">
        <v>34</v>
      </c>
      <c r="J168" s="22">
        <v>34</v>
      </c>
      <c r="K168" s="22">
        <v>34</v>
      </c>
      <c r="L168" s="22">
        <v>34</v>
      </c>
      <c r="O168"/>
      <c r="P168"/>
    </row>
    <row r="169" spans="2:16" hidden="1" outlineLevel="1" x14ac:dyDescent="0.35">
      <c r="B169" s="11"/>
      <c r="D169" s="12"/>
      <c r="E169" s="12"/>
      <c r="F169" s="12"/>
      <c r="G169" s="12"/>
      <c r="H169" s="12"/>
      <c r="I169" s="12"/>
      <c r="J169" s="12"/>
      <c r="K169" s="12"/>
      <c r="L169" s="12"/>
      <c r="O169"/>
      <c r="P169"/>
    </row>
    <row r="170" spans="2:16" hidden="1" outlineLevel="1" x14ac:dyDescent="0.35">
      <c r="B170" s="11" t="s">
        <v>377</v>
      </c>
      <c r="D170" s="12"/>
      <c r="E170" s="13">
        <f>E74</f>
        <v>0.29978318879252835</v>
      </c>
      <c r="F170" s="13">
        <f t="shared" ref="F170:G170" si="89">F74</f>
        <v>0.49989306337777145</v>
      </c>
      <c r="G170" s="13">
        <f t="shared" si="89"/>
        <v>0.82504493708807669</v>
      </c>
      <c r="H170" s="14">
        <v>0.6</v>
      </c>
      <c r="I170" s="14">
        <v>0.6</v>
      </c>
      <c r="J170" s="14">
        <v>0.6</v>
      </c>
      <c r="K170" s="14">
        <v>0.6</v>
      </c>
      <c r="L170" s="14">
        <v>0.6</v>
      </c>
      <c r="O170"/>
      <c r="P170"/>
    </row>
    <row r="171" spans="2:16" hidden="1" outlineLevel="1" x14ac:dyDescent="0.35">
      <c r="B171" s="11" t="s">
        <v>248</v>
      </c>
      <c r="D171" s="12"/>
      <c r="E171" s="13">
        <f>E75</f>
        <v>0.23974135787117631</v>
      </c>
      <c r="F171" s="13">
        <f t="shared" ref="F171:G171" si="90">F75</f>
        <v>0.14658048064520912</v>
      </c>
      <c r="G171" s="13">
        <f t="shared" si="90"/>
        <v>0.18312958583838396</v>
      </c>
      <c r="H171" s="14">
        <v>0.185</v>
      </c>
      <c r="I171" s="14">
        <v>0.185</v>
      </c>
      <c r="J171" s="14">
        <v>0.185</v>
      </c>
      <c r="K171" s="14">
        <v>0.185</v>
      </c>
      <c r="L171" s="14">
        <v>0.185</v>
      </c>
      <c r="O171"/>
      <c r="P171"/>
    </row>
    <row r="172" spans="2:16" hidden="1" outlineLevel="1" x14ac:dyDescent="0.35">
      <c r="B172" s="11" t="s">
        <v>56</v>
      </c>
      <c r="D172" s="12"/>
      <c r="E172" s="21">
        <f>E76</f>
        <v>0</v>
      </c>
      <c r="F172" s="21">
        <f t="shared" ref="F172:G172" si="91">F76</f>
        <v>0</v>
      </c>
      <c r="G172" s="21">
        <f t="shared" si="91"/>
        <v>-5072</v>
      </c>
      <c r="H172" s="22">
        <v>-5300</v>
      </c>
      <c r="I172" s="22">
        <v>-5300</v>
      </c>
      <c r="J172" s="22">
        <v>-5300</v>
      </c>
      <c r="K172" s="22">
        <v>-5300</v>
      </c>
      <c r="L172" s="22">
        <v>-5300</v>
      </c>
      <c r="O172"/>
      <c r="P172"/>
    </row>
    <row r="173" spans="2:16" hidden="1" outlineLevel="1" x14ac:dyDescent="0.35">
      <c r="B173" s="11" t="s">
        <v>249</v>
      </c>
      <c r="D173" s="12"/>
      <c r="E173" s="13"/>
      <c r="F173" s="13"/>
      <c r="G173" s="13"/>
      <c r="H173" s="14">
        <v>0.13800000000000001</v>
      </c>
      <c r="I173" s="14">
        <v>0.13800000000000001</v>
      </c>
      <c r="J173" s="14">
        <v>0.13500000000000001</v>
      </c>
      <c r="K173" s="14">
        <v>0.13500000000000001</v>
      </c>
      <c r="L173" s="14">
        <v>0.13500000000000001</v>
      </c>
      <c r="O173"/>
      <c r="P173"/>
    </row>
    <row r="174" spans="2:16" hidden="1" outlineLevel="1" x14ac:dyDescent="0.35">
      <c r="B174" s="11" t="s">
        <v>250</v>
      </c>
      <c r="D174" s="12"/>
      <c r="E174" s="13">
        <f>E78</f>
        <v>-0.25350432448553534</v>
      </c>
      <c r="F174" s="13">
        <f t="shared" ref="F174:G174" si="92">F78</f>
        <v>-0.25280764635603348</v>
      </c>
      <c r="G174" s="13">
        <f t="shared" si="92"/>
        <v>-0.36571322436849923</v>
      </c>
      <c r="H174" s="14">
        <v>-0.28000000000000003</v>
      </c>
      <c r="I174" s="14">
        <v>-0.28000000000000003</v>
      </c>
      <c r="J174" s="14">
        <v>-0.28000000000000003</v>
      </c>
      <c r="K174" s="14">
        <v>-0.28000000000000003</v>
      </c>
      <c r="L174" s="14">
        <v>-0.28000000000000003</v>
      </c>
      <c r="O174"/>
      <c r="P174"/>
    </row>
    <row r="175" spans="2:16" hidden="1" outlineLevel="1" x14ac:dyDescent="0.35">
      <c r="B175" s="11" t="s">
        <v>251</v>
      </c>
      <c r="D175" s="12"/>
      <c r="E175" s="21">
        <f>E79</f>
        <v>344</v>
      </c>
      <c r="F175" s="21">
        <f t="shared" ref="F175:G175" si="93">F79</f>
        <v>-111</v>
      </c>
      <c r="G175" s="21">
        <f t="shared" si="93"/>
        <v>-277</v>
      </c>
      <c r="H175" s="22">
        <v>-15</v>
      </c>
      <c r="I175" s="22">
        <v>-15</v>
      </c>
      <c r="J175" s="22">
        <v>-15</v>
      </c>
      <c r="K175" s="22">
        <v>-15</v>
      </c>
      <c r="L175" s="22">
        <v>-15</v>
      </c>
      <c r="O175"/>
      <c r="P175"/>
    </row>
    <row r="176" spans="2:16" hidden="1" outlineLevel="1" x14ac:dyDescent="0.35">
      <c r="B176" s="11"/>
      <c r="D176" s="12"/>
      <c r="E176" s="12"/>
      <c r="F176" s="12"/>
      <c r="G176" s="12"/>
      <c r="H176" s="14"/>
      <c r="I176" s="14"/>
      <c r="J176" s="14"/>
      <c r="K176" s="14"/>
      <c r="L176" s="14"/>
      <c r="O176"/>
      <c r="P176"/>
    </row>
    <row r="177" spans="2:16" hidden="1" outlineLevel="1" x14ac:dyDescent="0.35">
      <c r="B177" s="27" t="s">
        <v>252</v>
      </c>
      <c r="D177" s="12"/>
      <c r="E177" s="21">
        <f>E81</f>
        <v>-638</v>
      </c>
      <c r="F177" s="21">
        <f t="shared" ref="F177:G177" si="94">F81</f>
        <v>113</v>
      </c>
      <c r="G177" s="21">
        <f t="shared" si="94"/>
        <v>-786</v>
      </c>
      <c r="H177" s="22">
        <v>-400</v>
      </c>
      <c r="I177" s="22">
        <v>-400</v>
      </c>
      <c r="J177" s="22">
        <v>-400</v>
      </c>
      <c r="K177" s="22">
        <v>-400</v>
      </c>
      <c r="L177" s="22">
        <v>-400</v>
      </c>
      <c r="O177"/>
      <c r="P177"/>
    </row>
    <row r="178" spans="2:16" hidden="1" outlineLevel="1" x14ac:dyDescent="0.35">
      <c r="B178" s="11"/>
      <c r="D178" s="12"/>
      <c r="E178" s="12"/>
      <c r="F178" s="12"/>
      <c r="G178" s="12"/>
      <c r="H178" s="14"/>
      <c r="I178" s="14"/>
      <c r="J178" s="14"/>
      <c r="K178" s="14"/>
      <c r="L178" s="14"/>
      <c r="O178"/>
      <c r="P178"/>
    </row>
    <row r="179" spans="2:16" hidden="1" outlineLevel="1" x14ac:dyDescent="0.35">
      <c r="B179" s="8" t="s">
        <v>362</v>
      </c>
      <c r="D179" s="12"/>
      <c r="E179" s="12"/>
      <c r="F179" s="12"/>
      <c r="G179" s="12"/>
      <c r="H179" s="14"/>
      <c r="I179" s="14"/>
      <c r="J179" s="14"/>
      <c r="K179" s="14"/>
      <c r="L179" s="14"/>
      <c r="O179"/>
      <c r="P179"/>
    </row>
    <row r="180" spans="2:16" hidden="1" outlineLevel="1" x14ac:dyDescent="0.35">
      <c r="B180" s="28" t="s">
        <v>366</v>
      </c>
      <c r="D180" s="12"/>
      <c r="E180" s="25">
        <f>E84</f>
        <v>1.667778519012675E-3</v>
      </c>
      <c r="F180" s="25">
        <f t="shared" ref="F180:G180" si="95">F84</f>
        <v>1.8535681186283596E-3</v>
      </c>
      <c r="G180" s="25">
        <f t="shared" si="95"/>
        <v>1.6177351707609346E-3</v>
      </c>
      <c r="H180" s="26">
        <v>1.6999999999999999E-3</v>
      </c>
      <c r="I180" s="26">
        <v>1.6999999999999999E-3</v>
      </c>
      <c r="J180" s="26">
        <v>1.9E-3</v>
      </c>
      <c r="K180" s="26">
        <v>0.02</v>
      </c>
      <c r="L180" s="26">
        <v>0.02</v>
      </c>
      <c r="O180"/>
      <c r="P180"/>
    </row>
    <row r="181" spans="2:16" hidden="1" outlineLevel="1" x14ac:dyDescent="0.35">
      <c r="B181" s="28" t="s">
        <v>367</v>
      </c>
      <c r="D181" s="12"/>
      <c r="E181" s="25">
        <f t="shared" ref="E181:G181" si="96">E85</f>
        <v>1.3806824516117966E-3</v>
      </c>
      <c r="F181" s="25">
        <f t="shared" si="96"/>
        <v>6.819765459370506E-4</v>
      </c>
      <c r="G181" s="25">
        <f t="shared" si="96"/>
        <v>3.9513437608282016E-4</v>
      </c>
      <c r="H181" s="14">
        <v>4.0000000000000002E-4</v>
      </c>
      <c r="I181" s="14">
        <v>4.0000000000000002E-4</v>
      </c>
      <c r="J181" s="14">
        <v>4.0000000000000002E-4</v>
      </c>
      <c r="K181" s="14">
        <v>4.0000000000000002E-4</v>
      </c>
      <c r="L181" s="14">
        <v>4.0000000000000002E-4</v>
      </c>
      <c r="O181"/>
      <c r="P181"/>
    </row>
    <row r="182" spans="2:16" hidden="1" outlineLevel="1" x14ac:dyDescent="0.35">
      <c r="B182" s="11"/>
      <c r="D182" s="12"/>
      <c r="E182" s="12"/>
      <c r="F182" s="12"/>
      <c r="G182" s="12"/>
      <c r="H182" s="14"/>
      <c r="I182" s="14"/>
      <c r="J182" s="14"/>
      <c r="K182" s="14"/>
      <c r="L182" s="14"/>
      <c r="O182"/>
      <c r="P182"/>
    </row>
    <row r="183" spans="2:16" hidden="1" outlineLevel="1" x14ac:dyDescent="0.35">
      <c r="B183" s="8" t="s">
        <v>52</v>
      </c>
      <c r="D183" s="12"/>
      <c r="E183" s="12"/>
      <c r="F183" s="12"/>
      <c r="G183" s="12"/>
      <c r="H183" s="14"/>
      <c r="I183" s="14"/>
      <c r="J183" s="14"/>
      <c r="K183" s="14"/>
      <c r="L183" s="14"/>
      <c r="O183"/>
      <c r="P183"/>
    </row>
    <row r="184" spans="2:16" hidden="1" outlineLevel="1" x14ac:dyDescent="0.35">
      <c r="B184" s="28" t="s">
        <v>366</v>
      </c>
      <c r="D184" s="12"/>
      <c r="E184" s="13">
        <f t="shared" ref="E184:G184" si="97">E88</f>
        <v>1.9679786524349565E-2</v>
      </c>
      <c r="F184" s="13">
        <f t="shared" si="97"/>
        <v>0.1278962001853568</v>
      </c>
      <c r="G184" s="13">
        <f t="shared" si="97"/>
        <v>0.42234871180347511</v>
      </c>
      <c r="H184" s="14">
        <v>0.41</v>
      </c>
      <c r="I184" s="14">
        <v>0.42</v>
      </c>
      <c r="J184" s="14">
        <v>0.41499999999999998</v>
      </c>
      <c r="K184" s="14">
        <v>0.44500000000000001</v>
      </c>
      <c r="L184" s="14">
        <v>0.45</v>
      </c>
      <c r="O184"/>
      <c r="P184"/>
    </row>
    <row r="185" spans="2:16" hidden="1" outlineLevel="1" x14ac:dyDescent="0.35">
      <c r="B185" s="28" t="s">
        <v>367</v>
      </c>
      <c r="D185" s="12"/>
      <c r="E185" s="13">
        <f t="shared" ref="E185:G185" si="98">E89</f>
        <v>0.23948408784913686</v>
      </c>
      <c r="F185" s="13">
        <f t="shared" si="98"/>
        <v>0.14850039287779276</v>
      </c>
      <c r="G185" s="13">
        <f t="shared" si="98"/>
        <v>0.18087428039951126</v>
      </c>
      <c r="H185" s="14">
        <v>0.18</v>
      </c>
      <c r="I185" s="14">
        <v>0.1865</v>
      </c>
      <c r="J185" s="14">
        <v>0.19900000000000001</v>
      </c>
      <c r="K185" s="14">
        <v>0.19350000000000001</v>
      </c>
      <c r="L185" s="14">
        <v>0.20050000000000001</v>
      </c>
      <c r="O185"/>
      <c r="P185"/>
    </row>
    <row r="186" spans="2:16" hidden="1" outlineLevel="1" x14ac:dyDescent="0.35">
      <c r="B186" s="28" t="s">
        <v>370</v>
      </c>
      <c r="D186" s="12"/>
      <c r="E186" s="21">
        <f t="shared" ref="E186:G186" si="99">E90</f>
        <v>0</v>
      </c>
      <c r="F186" s="21">
        <f t="shared" si="99"/>
        <v>0</v>
      </c>
      <c r="G186" s="21">
        <f t="shared" si="99"/>
        <v>-5121</v>
      </c>
      <c r="H186" s="22">
        <v>-5200</v>
      </c>
      <c r="I186" s="22">
        <v>-5200</v>
      </c>
      <c r="J186" s="22">
        <v>-5300</v>
      </c>
      <c r="K186" s="22">
        <v>-5300</v>
      </c>
      <c r="L186" s="22">
        <v>-5300</v>
      </c>
      <c r="O186"/>
      <c r="P186"/>
    </row>
    <row r="187" spans="2:16" hidden="1" outlineLevel="1" x14ac:dyDescent="0.35">
      <c r="B187" s="11"/>
      <c r="D187" s="12"/>
      <c r="E187" s="12"/>
      <c r="F187" s="12"/>
      <c r="G187" s="12"/>
      <c r="H187" s="14"/>
      <c r="I187" s="14"/>
      <c r="J187" s="14"/>
      <c r="K187" s="14"/>
      <c r="L187" s="14"/>
      <c r="O187"/>
      <c r="P187"/>
    </row>
    <row r="188" spans="2:16" hidden="1" outlineLevel="1" x14ac:dyDescent="0.35">
      <c r="B188" s="8" t="s">
        <v>363</v>
      </c>
      <c r="D188" s="12"/>
      <c r="E188" s="12"/>
      <c r="F188" s="12"/>
      <c r="G188" s="12"/>
      <c r="H188" s="14"/>
      <c r="I188" s="14"/>
      <c r="J188" s="14"/>
      <c r="K188" s="14"/>
      <c r="L188" s="14"/>
      <c r="O188"/>
      <c r="P188"/>
    </row>
    <row r="189" spans="2:16" hidden="1" outlineLevel="1" x14ac:dyDescent="0.35">
      <c r="B189" s="28" t="s">
        <v>366</v>
      </c>
      <c r="D189" s="12"/>
      <c r="E189" s="13">
        <f t="shared" ref="E189:G189" si="100">E93</f>
        <v>0.28010340226817876</v>
      </c>
      <c r="F189" s="13">
        <f t="shared" si="100"/>
        <v>0.37199686319241465</v>
      </c>
      <c r="G189" s="13">
        <f t="shared" si="100"/>
        <v>0.40269622528460158</v>
      </c>
      <c r="H189" s="14">
        <v>0.39</v>
      </c>
      <c r="I189" s="14">
        <v>0.42</v>
      </c>
      <c r="J189" s="14">
        <v>0.41</v>
      </c>
      <c r="K189" s="14">
        <v>0.41</v>
      </c>
      <c r="L189" s="14">
        <v>0.41</v>
      </c>
      <c r="O189"/>
      <c r="P189"/>
    </row>
    <row r="190" spans="2:16" hidden="1" outlineLevel="1" x14ac:dyDescent="0.35">
      <c r="B190" s="28" t="s">
        <v>54</v>
      </c>
      <c r="D190" s="12"/>
      <c r="E190" s="21">
        <f t="shared" ref="E190:G190" si="101">E94</f>
        <v>0</v>
      </c>
      <c r="F190" s="21">
        <f t="shared" si="101"/>
        <v>0</v>
      </c>
      <c r="G190" s="21">
        <f t="shared" si="101"/>
        <v>6</v>
      </c>
      <c r="H190" s="22">
        <v>6</v>
      </c>
      <c r="I190" s="22">
        <v>6</v>
      </c>
      <c r="J190" s="22">
        <v>6</v>
      </c>
      <c r="K190" s="22">
        <v>6</v>
      </c>
      <c r="L190" s="22">
        <v>6</v>
      </c>
      <c r="O190"/>
      <c r="P190"/>
    </row>
    <row r="191" spans="2:16" hidden="1" outlineLevel="1" x14ac:dyDescent="0.35">
      <c r="B191" s="11"/>
      <c r="D191" s="12"/>
      <c r="E191" s="12"/>
      <c r="F191" s="12"/>
      <c r="G191" s="12"/>
      <c r="H191" s="14"/>
      <c r="I191" s="14"/>
      <c r="J191" s="14"/>
      <c r="K191" s="14"/>
      <c r="L191" s="14"/>
      <c r="O191"/>
      <c r="P191"/>
    </row>
    <row r="192" spans="2:16" hidden="1" outlineLevel="1" x14ac:dyDescent="0.35">
      <c r="B192" s="8" t="s">
        <v>368</v>
      </c>
      <c r="D192" s="12"/>
      <c r="E192" s="12"/>
      <c r="F192" s="12"/>
      <c r="G192" s="12"/>
      <c r="H192" s="14"/>
      <c r="I192" s="14"/>
      <c r="J192" s="14"/>
      <c r="K192" s="14"/>
      <c r="L192" s="14"/>
      <c r="O192"/>
      <c r="P192"/>
    </row>
    <row r="193" spans="2:16" hidden="1" outlineLevel="1" x14ac:dyDescent="0.35">
      <c r="B193" s="28" t="s">
        <v>369</v>
      </c>
      <c r="D193" s="12"/>
      <c r="E193" s="13">
        <f t="shared" ref="E193:G193" si="102">E97</f>
        <v>-2.4329168417532094E-2</v>
      </c>
      <c r="F193" s="13">
        <f t="shared" si="102"/>
        <v>1.0192584246341788E-2</v>
      </c>
      <c r="G193" s="13">
        <f t="shared" si="102"/>
        <v>-5.7264089580002552E-3</v>
      </c>
      <c r="H193" s="14">
        <v>-5.0000000000000001E-3</v>
      </c>
      <c r="I193" s="14">
        <v>-7.0000000000000001E-3</v>
      </c>
      <c r="J193" s="14">
        <v>-5.0000000000000001E-3</v>
      </c>
      <c r="K193" s="14">
        <v>-5.0000000000000001E-3</v>
      </c>
      <c r="L193" s="14">
        <v>-7.0000000000000001E-3</v>
      </c>
      <c r="O193"/>
      <c r="P193"/>
    </row>
    <row r="194" spans="2:16" hidden="1" outlineLevel="1" x14ac:dyDescent="0.3">
      <c r="B194" s="11"/>
      <c r="D194" s="6"/>
      <c r="E194" s="6"/>
      <c r="F194" s="6"/>
      <c r="G194" s="7"/>
      <c r="H194" s="7"/>
      <c r="I194" s="7"/>
      <c r="J194" s="7"/>
      <c r="K194" s="7"/>
      <c r="L194" s="7"/>
      <c r="O194"/>
      <c r="P194"/>
    </row>
    <row r="195" spans="2:16" hidden="1" outlineLevel="1" x14ac:dyDescent="0.3">
      <c r="B195" s="261" t="s">
        <v>69</v>
      </c>
      <c r="C195" s="261"/>
      <c r="D195" s="261"/>
      <c r="E195" s="261"/>
      <c r="F195" s="261"/>
      <c r="G195" s="261"/>
      <c r="H195" s="261"/>
      <c r="I195" s="261"/>
      <c r="J195" s="261"/>
      <c r="K195" s="261"/>
      <c r="L195" s="261"/>
      <c r="O195"/>
      <c r="P195"/>
    </row>
    <row r="196" spans="2:16" hidden="1" outlineLevel="1" x14ac:dyDescent="0.3">
      <c r="D196" s="6"/>
      <c r="E196" s="6"/>
      <c r="F196" s="6"/>
      <c r="G196" s="7"/>
      <c r="H196" s="7"/>
      <c r="I196" s="7"/>
      <c r="J196" s="7"/>
      <c r="K196" s="7"/>
      <c r="L196" s="7"/>
      <c r="O196"/>
      <c r="P196"/>
    </row>
    <row r="197" spans="2:16" hidden="1" outlineLevel="1" x14ac:dyDescent="0.3">
      <c r="B197" s="8" t="s">
        <v>8</v>
      </c>
      <c r="C197" s="8"/>
      <c r="H197" s="7"/>
      <c r="I197" s="7"/>
      <c r="J197" s="7"/>
      <c r="K197" s="7"/>
      <c r="L197" s="7"/>
      <c r="O197"/>
      <c r="P197"/>
    </row>
    <row r="198" spans="2:16" hidden="1" outlineLevel="1" x14ac:dyDescent="0.35">
      <c r="B198" s="11" t="s">
        <v>72</v>
      </c>
      <c r="C198" s="11"/>
      <c r="D198" s="12"/>
      <c r="E198" s="13">
        <f t="shared" ref="E198:G204" si="103">E12</f>
        <v>-1.1193175554782941E-2</v>
      </c>
      <c r="F198" s="13">
        <f t="shared" si="103"/>
        <v>0.15687468377226454</v>
      </c>
      <c r="G198" s="13">
        <f t="shared" si="103"/>
        <v>0.21941112807816054</v>
      </c>
      <c r="H198" s="14">
        <v>0.21</v>
      </c>
      <c r="I198" s="14">
        <v>0.21</v>
      </c>
      <c r="J198" s="14">
        <v>0.21</v>
      </c>
      <c r="K198" s="14">
        <v>0.21</v>
      </c>
      <c r="L198" s="14">
        <v>0.21</v>
      </c>
      <c r="O198"/>
      <c r="P198"/>
    </row>
    <row r="199" spans="2:16" hidden="1" outlineLevel="1" x14ac:dyDescent="0.35">
      <c r="B199" s="11" t="s">
        <v>124</v>
      </c>
      <c r="C199" s="11"/>
      <c r="D199" s="12"/>
      <c r="E199" s="13">
        <f t="shared" si="103"/>
        <v>0.21652702621581524</v>
      </c>
      <c r="F199" s="13">
        <f t="shared" si="103"/>
        <v>0.19242857778239017</v>
      </c>
      <c r="G199" s="13">
        <f t="shared" si="103"/>
        <v>0.18334842949282984</v>
      </c>
      <c r="H199" s="14">
        <v>0.18</v>
      </c>
      <c r="I199" s="14">
        <v>0.18</v>
      </c>
      <c r="J199" s="14">
        <v>0.18</v>
      </c>
      <c r="K199" s="14">
        <v>0.18</v>
      </c>
      <c r="L199" s="14">
        <v>0.18</v>
      </c>
      <c r="O199"/>
      <c r="P199"/>
    </row>
    <row r="200" spans="2:16" hidden="1" outlineLevel="1" x14ac:dyDescent="0.35">
      <c r="B200" s="11" t="s">
        <v>64</v>
      </c>
      <c r="C200" s="11"/>
      <c r="D200" s="12"/>
      <c r="E200" s="13">
        <f t="shared" si="103"/>
        <v>0.30304693462768739</v>
      </c>
      <c r="F200" s="13">
        <f t="shared" si="103"/>
        <v>0.28526634149234259</v>
      </c>
      <c r="G200" s="13">
        <f t="shared" si="103"/>
        <v>0.26670354587510109</v>
      </c>
      <c r="H200" s="14">
        <v>0.27</v>
      </c>
      <c r="I200" s="14">
        <v>0.27</v>
      </c>
      <c r="J200" s="14">
        <v>0.27</v>
      </c>
      <c r="K200" s="14">
        <v>0.27</v>
      </c>
      <c r="L200" s="14">
        <v>0.27</v>
      </c>
      <c r="O200"/>
      <c r="P200"/>
    </row>
    <row r="201" spans="2:16" hidden="1" outlineLevel="1" x14ac:dyDescent="0.35">
      <c r="B201" s="11" t="s">
        <v>264</v>
      </c>
      <c r="C201" s="11"/>
      <c r="D201" s="12"/>
      <c r="E201" s="13">
        <f t="shared" si="103"/>
        <v>0.13088183587887728</v>
      </c>
      <c r="F201" s="13">
        <f t="shared" si="103"/>
        <v>9.118471186490934E-2</v>
      </c>
      <c r="G201" s="13">
        <f t="shared" si="103"/>
        <v>6.8978304083257849E-2</v>
      </c>
      <c r="H201" s="14">
        <v>0.06</v>
      </c>
      <c r="I201" s="14">
        <v>0.06</v>
      </c>
      <c r="J201" s="14">
        <v>0.06</v>
      </c>
      <c r="K201" s="14">
        <v>0.06</v>
      </c>
      <c r="L201" s="14">
        <v>0.06</v>
      </c>
      <c r="O201"/>
      <c r="P201"/>
    </row>
    <row r="202" spans="2:16" hidden="1" outlineLevel="1" x14ac:dyDescent="0.35">
      <c r="B202" s="11" t="s">
        <v>265</v>
      </c>
      <c r="C202" s="11"/>
      <c r="D202" s="12"/>
      <c r="E202" s="13">
        <f t="shared" si="103"/>
        <v>0.10133008601394404</v>
      </c>
      <c r="F202" s="13">
        <f t="shared" si="103"/>
        <v>8.4565091696194278E-2</v>
      </c>
      <c r="G202" s="13">
        <f t="shared" si="103"/>
        <v>5.9209366508410285E-2</v>
      </c>
      <c r="H202" s="14">
        <v>5.5E-2</v>
      </c>
      <c r="I202" s="14">
        <v>5.5E-2</v>
      </c>
      <c r="J202" s="14">
        <v>5.5E-2</v>
      </c>
      <c r="K202" s="14">
        <v>5.5E-2</v>
      </c>
      <c r="L202" s="14">
        <v>5.5E-2</v>
      </c>
      <c r="M202" s="16"/>
      <c r="O202"/>
      <c r="P202"/>
    </row>
    <row r="203" spans="2:16" hidden="1" outlineLevel="1" x14ac:dyDescent="0.35">
      <c r="B203" s="11" t="s">
        <v>233</v>
      </c>
      <c r="C203" s="11"/>
      <c r="D203" s="12"/>
      <c r="E203" s="13">
        <f t="shared" si="103"/>
        <v>-1.0719584251644384E-3</v>
      </c>
      <c r="F203" s="13">
        <f t="shared" si="103"/>
        <v>5.018457843471557E-3</v>
      </c>
      <c r="G203" s="13">
        <f t="shared" si="103"/>
        <v>7.7993446848347425E-3</v>
      </c>
      <c r="H203" s="14">
        <v>7.0000000000000001E-3</v>
      </c>
      <c r="I203" s="14">
        <v>7.0000000000000001E-3</v>
      </c>
      <c r="J203" s="14">
        <v>7.0000000000000001E-3</v>
      </c>
      <c r="K203" s="14">
        <v>7.0000000000000001E-3</v>
      </c>
      <c r="L203" s="14">
        <v>7.0000000000000001E-3</v>
      </c>
      <c r="O203"/>
      <c r="P203"/>
    </row>
    <row r="204" spans="2:16" hidden="1" outlineLevel="1" x14ac:dyDescent="0.35">
      <c r="B204" s="11" t="s">
        <v>266</v>
      </c>
      <c r="C204" s="11"/>
      <c r="D204" s="12"/>
      <c r="E204" s="15">
        <f t="shared" si="103"/>
        <v>0.19497553697213643</v>
      </c>
      <c r="F204" s="15">
        <f t="shared" si="103"/>
        <v>0.17563464620055663</v>
      </c>
      <c r="G204" s="15">
        <f t="shared" si="103"/>
        <v>0.11750137978857393</v>
      </c>
      <c r="H204" s="14">
        <v>0.17</v>
      </c>
      <c r="I204" s="14">
        <v>0.19</v>
      </c>
      <c r="J204" s="14">
        <v>0.19</v>
      </c>
      <c r="K204" s="14">
        <v>0.19</v>
      </c>
      <c r="L204" s="14">
        <v>0.19</v>
      </c>
      <c r="O204"/>
      <c r="P204"/>
    </row>
    <row r="205" spans="2:16" hidden="1" outlineLevel="1" x14ac:dyDescent="0.35">
      <c r="B205" s="11"/>
      <c r="C205" s="11"/>
      <c r="D205" s="12"/>
      <c r="H205" s="7"/>
      <c r="I205" s="7"/>
      <c r="J205" s="7"/>
      <c r="K205" s="7"/>
      <c r="L205" s="7"/>
      <c r="O205"/>
      <c r="P205"/>
    </row>
    <row r="206" spans="2:16" hidden="1" outlineLevel="1" x14ac:dyDescent="0.35">
      <c r="B206" s="8" t="s">
        <v>9</v>
      </c>
      <c r="C206" s="8"/>
      <c r="D206" s="12"/>
      <c r="H206" s="7"/>
      <c r="I206" s="7"/>
      <c r="J206" s="7"/>
      <c r="K206" s="7"/>
      <c r="L206" s="7"/>
      <c r="O206"/>
      <c r="P206"/>
    </row>
    <row r="207" spans="2:16" hidden="1" outlineLevel="1" x14ac:dyDescent="0.35">
      <c r="B207" s="11" t="s">
        <v>59</v>
      </c>
      <c r="C207" s="8"/>
      <c r="D207" s="12"/>
      <c r="E207" s="18">
        <f t="shared" ref="E207:G217" si="104">E21</f>
        <v>42.150177087531837</v>
      </c>
      <c r="F207" s="18">
        <f t="shared" si="104"/>
        <v>43.747942951179375</v>
      </c>
      <c r="G207" s="18">
        <f t="shared" si="104"/>
        <v>37.706822450927348</v>
      </c>
      <c r="H207" s="19">
        <v>36</v>
      </c>
      <c r="I207" s="19">
        <v>36</v>
      </c>
      <c r="J207" s="19">
        <v>36</v>
      </c>
      <c r="K207" s="19">
        <v>36</v>
      </c>
      <c r="L207" s="19">
        <v>36</v>
      </c>
      <c r="O207"/>
      <c r="P207"/>
    </row>
    <row r="208" spans="2:16" hidden="1" outlineLevel="1" x14ac:dyDescent="0.35">
      <c r="B208" s="11" t="s">
        <v>60</v>
      </c>
      <c r="C208" s="8"/>
      <c r="D208" s="12"/>
      <c r="E208" s="18">
        <f t="shared" si="104"/>
        <v>72.135530120004759</v>
      </c>
      <c r="F208" s="18">
        <f t="shared" si="104"/>
        <v>68.18001463846835</v>
      </c>
      <c r="G208" s="18">
        <f t="shared" si="104"/>
        <v>93.02592752229701</v>
      </c>
      <c r="H208" s="19">
        <v>96</v>
      </c>
      <c r="I208" s="19">
        <v>96</v>
      </c>
      <c r="J208" s="19">
        <v>96</v>
      </c>
      <c r="K208" s="19">
        <v>96</v>
      </c>
      <c r="L208" s="19">
        <v>96</v>
      </c>
      <c r="O208"/>
      <c r="P208"/>
    </row>
    <row r="209" spans="2:16" hidden="1" outlineLevel="1" x14ac:dyDescent="0.35">
      <c r="B209" s="11" t="s">
        <v>65</v>
      </c>
      <c r="D209" s="12"/>
      <c r="E209" s="13">
        <f t="shared" si="104"/>
        <v>0.22345616547607819</v>
      </c>
      <c r="F209" s="13">
        <f t="shared" si="104"/>
        <v>0.17450445508591422</v>
      </c>
      <c r="G209" s="13">
        <f t="shared" si="104"/>
        <v>0.20623582835362703</v>
      </c>
      <c r="H209" s="14">
        <v>0.19800000000000001</v>
      </c>
      <c r="I209" s="14">
        <v>0.19800000000000001</v>
      </c>
      <c r="J209" s="14">
        <v>0.2</v>
      </c>
      <c r="K209" s="14">
        <v>0.215</v>
      </c>
      <c r="L209" s="14">
        <v>0.217</v>
      </c>
      <c r="O209"/>
      <c r="P209"/>
    </row>
    <row r="210" spans="2:16" hidden="1" outlineLevel="1" x14ac:dyDescent="0.35">
      <c r="B210" s="11" t="s">
        <v>326</v>
      </c>
      <c r="D210" s="12"/>
      <c r="E210" s="13">
        <f t="shared" si="104"/>
        <v>4.5836942260031384E-2</v>
      </c>
      <c r="F210" s="13">
        <f t="shared" si="104"/>
        <v>2.8116706942817749E-2</v>
      </c>
      <c r="G210" s="13">
        <f t="shared" si="104"/>
        <v>3.1829593741071485E-2</v>
      </c>
      <c r="H210" s="14">
        <v>3.9E-2</v>
      </c>
      <c r="I210" s="14">
        <v>3.9E-2</v>
      </c>
      <c r="J210" s="14">
        <v>4.2000000000000003E-2</v>
      </c>
      <c r="K210" s="14">
        <v>4.2000000000000003E-2</v>
      </c>
      <c r="L210" s="14">
        <v>4.4999999999999998E-2</v>
      </c>
      <c r="O210"/>
      <c r="P210"/>
    </row>
    <row r="211" spans="2:16" hidden="1" outlineLevel="1" x14ac:dyDescent="0.35">
      <c r="B211" s="11" t="s">
        <v>254</v>
      </c>
      <c r="D211" s="12"/>
      <c r="E211" s="21">
        <f t="shared" si="104"/>
        <v>6201</v>
      </c>
      <c r="F211" s="21">
        <f t="shared" si="104"/>
        <v>6141</v>
      </c>
      <c r="G211" s="21">
        <f t="shared" si="104"/>
        <v>6070</v>
      </c>
      <c r="H211" s="22">
        <v>6070</v>
      </c>
      <c r="I211" s="22">
        <v>6070</v>
      </c>
      <c r="J211" s="22">
        <v>6070</v>
      </c>
      <c r="K211" s="22">
        <v>6070</v>
      </c>
      <c r="L211" s="22">
        <v>6070</v>
      </c>
      <c r="O211"/>
      <c r="P211"/>
    </row>
    <row r="212" spans="2:16" hidden="1" outlineLevel="1" x14ac:dyDescent="0.35">
      <c r="B212" s="11" t="s">
        <v>262</v>
      </c>
      <c r="D212" s="12"/>
      <c r="E212" s="21">
        <f t="shared" si="104"/>
        <v>897</v>
      </c>
      <c r="F212" s="21">
        <f t="shared" si="104"/>
        <v>0</v>
      </c>
      <c r="G212" s="21">
        <f t="shared" si="104"/>
        <v>0</v>
      </c>
      <c r="H212" s="22">
        <v>0</v>
      </c>
      <c r="I212" s="22">
        <v>0</v>
      </c>
      <c r="J212" s="22">
        <v>0</v>
      </c>
      <c r="K212" s="22">
        <v>0</v>
      </c>
      <c r="L212" s="22">
        <v>0</v>
      </c>
      <c r="O212"/>
      <c r="P212"/>
    </row>
    <row r="213" spans="2:16" hidden="1" outlineLevel="1" x14ac:dyDescent="0.35">
      <c r="B213" s="11" t="s">
        <v>256</v>
      </c>
      <c r="D213" s="12"/>
      <c r="E213" s="21">
        <f t="shared" si="104"/>
        <v>20306</v>
      </c>
      <c r="F213" s="21">
        <f t="shared" si="104"/>
        <v>20654</v>
      </c>
      <c r="G213" s="21">
        <f t="shared" si="104"/>
        <v>20654</v>
      </c>
      <c r="H213" s="22">
        <v>20654</v>
      </c>
      <c r="I213" s="22">
        <v>20654</v>
      </c>
      <c r="J213" s="22">
        <v>20654</v>
      </c>
      <c r="K213" s="22">
        <v>20654</v>
      </c>
      <c r="L213" s="22">
        <v>20654</v>
      </c>
      <c r="O213"/>
      <c r="P213"/>
    </row>
    <row r="214" spans="2:16" hidden="1" outlineLevel="1" x14ac:dyDescent="0.35">
      <c r="B214" s="11" t="s">
        <v>335</v>
      </c>
      <c r="D214" s="12"/>
      <c r="E214" s="13">
        <f t="shared" si="104"/>
        <v>5.6453618502859987E-2</v>
      </c>
      <c r="F214" s="13">
        <f t="shared" si="104"/>
        <v>5.6203762731464324E-2</v>
      </c>
      <c r="G214" s="13">
        <f t="shared" si="104"/>
        <v>7.9130218053385687E-2</v>
      </c>
      <c r="H214" s="14">
        <v>6.9000000000000006E-2</v>
      </c>
      <c r="I214" s="14">
        <v>6.9000000000000006E-2</v>
      </c>
      <c r="J214" s="14">
        <v>7.1999999999999995E-2</v>
      </c>
      <c r="K214" s="14">
        <v>7.1999999999999995E-2</v>
      </c>
      <c r="L214" s="14">
        <v>7.4999999999999997E-2</v>
      </c>
      <c r="O214"/>
      <c r="P214"/>
    </row>
    <row r="215" spans="2:16" hidden="1" outlineLevel="1" x14ac:dyDescent="0.35">
      <c r="B215" s="11" t="s">
        <v>263</v>
      </c>
      <c r="D215" s="12"/>
      <c r="E215" s="21">
        <f t="shared" si="104"/>
        <v>1117</v>
      </c>
      <c r="F215" s="21">
        <f t="shared" si="104"/>
        <v>0</v>
      </c>
      <c r="G215" s="21">
        <f t="shared" si="104"/>
        <v>0</v>
      </c>
      <c r="H215" s="22">
        <v>0</v>
      </c>
      <c r="I215" s="22">
        <v>0</v>
      </c>
      <c r="J215" s="22">
        <v>0</v>
      </c>
      <c r="K215" s="22">
        <v>0</v>
      </c>
      <c r="L215" s="22">
        <v>0</v>
      </c>
      <c r="O215"/>
      <c r="P215"/>
    </row>
    <row r="216" spans="2:16" hidden="1" outlineLevel="1" x14ac:dyDescent="0.35">
      <c r="B216" s="11" t="s">
        <v>379</v>
      </c>
      <c r="D216" s="12"/>
      <c r="E216" s="13">
        <f t="shared" si="104"/>
        <v>0</v>
      </c>
      <c r="F216" s="13">
        <f t="shared" si="104"/>
        <v>7.7795148415418222E-2</v>
      </c>
      <c r="G216" s="13">
        <f t="shared" si="104"/>
        <v>8.2301847609315512E-2</v>
      </c>
      <c r="H216" s="14">
        <v>8.2000000000000003E-2</v>
      </c>
      <c r="I216" s="14">
        <v>8.5000000000000006E-2</v>
      </c>
      <c r="J216" s="14">
        <v>7.5999999999999998E-2</v>
      </c>
      <c r="K216" s="14">
        <v>7.5999999999999998E-2</v>
      </c>
      <c r="L216" s="14">
        <v>7.4999999999999997E-2</v>
      </c>
      <c r="O216"/>
      <c r="P216"/>
    </row>
    <row r="217" spans="2:16" hidden="1" outlineLevel="1" x14ac:dyDescent="0.35">
      <c r="B217" s="11" t="s">
        <v>333</v>
      </c>
      <c r="D217" s="12"/>
      <c r="E217" s="13">
        <f t="shared" si="104"/>
        <v>6.6581481703813603E-2</v>
      </c>
      <c r="F217" s="13">
        <f t="shared" si="104"/>
        <v>1.0155520303627819E-2</v>
      </c>
      <c r="G217" s="13">
        <f t="shared" si="104"/>
        <v>1.6510537929860607E-2</v>
      </c>
      <c r="H217" s="14">
        <v>1.7100000000000001E-2</v>
      </c>
      <c r="I217" s="14">
        <v>1.9E-2</v>
      </c>
      <c r="J217" s="14">
        <v>1.6E-2</v>
      </c>
      <c r="K217" s="14">
        <v>1.7000000000000001E-2</v>
      </c>
      <c r="L217" s="14">
        <v>1.4999999999999999E-2</v>
      </c>
      <c r="O217"/>
      <c r="P217"/>
    </row>
    <row r="218" spans="2:16" hidden="1" outlineLevel="1" x14ac:dyDescent="0.35">
      <c r="B218" s="11"/>
      <c r="D218" s="12"/>
      <c r="E218" s="12"/>
      <c r="F218" s="12"/>
      <c r="G218" s="12"/>
      <c r="H218" s="7"/>
      <c r="I218" s="7"/>
      <c r="J218" s="7"/>
      <c r="K218" s="7"/>
      <c r="L218" s="7"/>
      <c r="O218"/>
      <c r="P218"/>
    </row>
    <row r="219" spans="2:16" hidden="1" outlineLevel="1" x14ac:dyDescent="0.35">
      <c r="B219" s="8" t="s">
        <v>380</v>
      </c>
      <c r="D219" s="12"/>
      <c r="E219" s="12"/>
      <c r="F219" s="12"/>
      <c r="G219" s="12"/>
      <c r="H219" s="7"/>
      <c r="I219" s="7"/>
      <c r="J219" s="7"/>
      <c r="K219" s="7"/>
      <c r="L219" s="7"/>
      <c r="O219"/>
      <c r="P219"/>
    </row>
    <row r="220" spans="2:16" hidden="1" outlineLevel="1" x14ac:dyDescent="0.35">
      <c r="B220" s="11" t="s">
        <v>281</v>
      </c>
      <c r="D220" s="12"/>
      <c r="E220" s="13">
        <f t="shared" ref="E220:G224" si="105">E34</f>
        <v>0.29440266188716135</v>
      </c>
      <c r="F220" s="13">
        <f t="shared" si="105"/>
        <v>0.3472001897673867</v>
      </c>
      <c r="G220" s="13">
        <f t="shared" si="105"/>
        <v>0.41578470647594845</v>
      </c>
      <c r="H220" s="14">
        <v>0.42799999999999999</v>
      </c>
      <c r="I220" s="14">
        <v>0.43827699662015879</v>
      </c>
      <c r="J220" s="14">
        <v>0.43827699662015879</v>
      </c>
      <c r="K220" s="14">
        <v>0.43827699662015879</v>
      </c>
      <c r="L220" s="14">
        <v>0.43827699662015879</v>
      </c>
      <c r="N220"/>
      <c r="O220"/>
      <c r="P220"/>
    </row>
    <row r="221" spans="2:16" hidden="1" outlineLevel="1" x14ac:dyDescent="0.35">
      <c r="B221" s="11" t="s">
        <v>283</v>
      </c>
      <c r="D221" s="12"/>
      <c r="E221" s="13">
        <f t="shared" si="105"/>
        <v>5.593050279137974E-2</v>
      </c>
      <c r="F221" s="13">
        <f t="shared" si="105"/>
        <v>5.1681961720359965E-2</v>
      </c>
      <c r="G221" s="13">
        <f t="shared" si="105"/>
        <v>4.4334076996492423E-2</v>
      </c>
      <c r="H221" s="14">
        <v>5.6000000000000001E-2</v>
      </c>
      <c r="I221" s="14">
        <v>6.3224104431687481E-2</v>
      </c>
      <c r="J221" s="14">
        <v>6.3224104431687481E-2</v>
      </c>
      <c r="K221" s="14">
        <v>6.3224104431687481E-2</v>
      </c>
      <c r="L221" s="14">
        <v>6.3224104431687481E-2</v>
      </c>
      <c r="N221"/>
      <c r="O221"/>
      <c r="P221"/>
    </row>
    <row r="222" spans="2:16" hidden="1" outlineLevel="1" x14ac:dyDescent="0.35">
      <c r="B222" s="11" t="s">
        <v>284</v>
      </c>
      <c r="D222" s="12"/>
      <c r="E222" s="13">
        <f t="shared" si="105"/>
        <v>4.8383915478222093E-2</v>
      </c>
      <c r="F222" s="13">
        <f t="shared" si="105"/>
        <v>5.4973239833360513E-2</v>
      </c>
      <c r="G222" s="13">
        <f t="shared" si="105"/>
        <v>4.3464781369110216E-2</v>
      </c>
      <c r="H222" s="14">
        <v>5.3999999999999999E-2</v>
      </c>
      <c r="I222" s="14">
        <v>6.1017050519502493E-2</v>
      </c>
      <c r="J222" s="14">
        <v>6.1017050519502493E-2</v>
      </c>
      <c r="K222" s="14">
        <v>6.1017050519502493E-2</v>
      </c>
      <c r="L222" s="14">
        <v>6.1017050519502493E-2</v>
      </c>
      <c r="N222"/>
      <c r="O222"/>
      <c r="P222"/>
    </row>
    <row r="223" spans="2:16" hidden="1" outlineLevel="1" x14ac:dyDescent="0.35">
      <c r="B223" s="11" t="s">
        <v>285</v>
      </c>
      <c r="D223" s="12"/>
      <c r="E223" s="13">
        <f t="shared" si="105"/>
        <v>0.80330917719489514</v>
      </c>
      <c r="F223" s="13">
        <f t="shared" si="105"/>
        <v>0.89735625808837127</v>
      </c>
      <c r="G223" s="13">
        <f t="shared" si="105"/>
        <v>0.71940090186815542</v>
      </c>
      <c r="H223" s="14">
        <v>0.78300000000000003</v>
      </c>
      <c r="I223" s="14">
        <v>0.80668877905047387</v>
      </c>
      <c r="J223" s="14">
        <v>0.80668877905047387</v>
      </c>
      <c r="K223" s="14">
        <v>0.80668877905047387</v>
      </c>
      <c r="L223" s="14">
        <v>0.80668877905047387</v>
      </c>
      <c r="N223"/>
      <c r="O223"/>
      <c r="P223"/>
    </row>
    <row r="224" spans="2:16" hidden="1" outlineLevel="1" x14ac:dyDescent="0.35">
      <c r="B224" s="11" t="s">
        <v>286</v>
      </c>
      <c r="D224" s="12"/>
      <c r="E224" s="13">
        <f t="shared" si="105"/>
        <v>0</v>
      </c>
      <c r="F224" s="13">
        <f t="shared" si="105"/>
        <v>0.2481359976140769</v>
      </c>
      <c r="G224" s="13">
        <f t="shared" si="105"/>
        <v>0.28649940262843487</v>
      </c>
      <c r="H224" s="14">
        <v>0.24</v>
      </c>
      <c r="I224" s="14">
        <v>0.24</v>
      </c>
      <c r="J224" s="14">
        <v>0.24</v>
      </c>
      <c r="K224" s="14">
        <v>0.15</v>
      </c>
      <c r="L224" s="14">
        <v>0.15</v>
      </c>
      <c r="N224"/>
      <c r="O224"/>
      <c r="P224"/>
    </row>
    <row r="225" spans="2:16" hidden="1" outlineLevel="1" x14ac:dyDescent="0.35">
      <c r="B225" s="11"/>
      <c r="D225" s="12"/>
      <c r="E225" s="12"/>
      <c r="F225" s="12"/>
      <c r="G225" s="12"/>
      <c r="H225" s="7"/>
      <c r="I225" s="7"/>
      <c r="J225" s="7"/>
      <c r="K225" s="7"/>
      <c r="L225" s="7"/>
      <c r="O225"/>
      <c r="P225"/>
    </row>
    <row r="226" spans="2:16" hidden="1" outlineLevel="1" x14ac:dyDescent="0.35">
      <c r="B226" s="8" t="s">
        <v>302</v>
      </c>
      <c r="D226" s="12"/>
      <c r="E226" s="12"/>
      <c r="F226" s="12"/>
      <c r="G226" s="12"/>
      <c r="H226" s="12"/>
      <c r="I226" s="12"/>
      <c r="J226" s="12"/>
      <c r="K226" s="12"/>
      <c r="L226" s="12"/>
      <c r="O226"/>
      <c r="P226"/>
    </row>
    <row r="227" spans="2:16" hidden="1" outlineLevel="1" x14ac:dyDescent="0.35">
      <c r="B227" s="11" t="s">
        <v>306</v>
      </c>
      <c r="D227" s="12"/>
      <c r="E227" s="13">
        <f t="shared" ref="E227:G228" si="106">E41</f>
        <v>0</v>
      </c>
      <c r="F227" s="13">
        <f t="shared" si="106"/>
        <v>6.3008702613749246E-2</v>
      </c>
      <c r="G227" s="13">
        <f t="shared" si="106"/>
        <v>6.3829399213378643E-2</v>
      </c>
      <c r="H227" s="14">
        <v>6.3419050913563951E-2</v>
      </c>
      <c r="I227" s="14">
        <v>6.3419050913563951E-2</v>
      </c>
      <c r="J227" s="14">
        <v>6.3419050913563951E-2</v>
      </c>
      <c r="K227" s="14">
        <v>6.3419050913563951E-2</v>
      </c>
      <c r="L227" s="14">
        <v>6.3419050913563951E-2</v>
      </c>
      <c r="O227"/>
      <c r="P227"/>
    </row>
    <row r="228" spans="2:16" hidden="1" outlineLevel="1" x14ac:dyDescent="0.35">
      <c r="B228" s="11" t="s">
        <v>307</v>
      </c>
      <c r="D228" s="12"/>
      <c r="E228" s="13">
        <f t="shared" si="106"/>
        <v>-6.6032638990129412E-4</v>
      </c>
      <c r="F228" s="13">
        <f t="shared" si="106"/>
        <v>-8.5247068242131328E-4</v>
      </c>
      <c r="G228" s="13">
        <f t="shared" si="106"/>
        <v>-1.0577443298217032E-3</v>
      </c>
      <c r="H228" s="14">
        <v>-1E-3</v>
      </c>
      <c r="I228" s="14">
        <v>-1E-3</v>
      </c>
      <c r="J228" s="14">
        <v>-1E-3</v>
      </c>
      <c r="K228" s="14">
        <v>-1E-3</v>
      </c>
      <c r="L228" s="14">
        <v>-1E-3</v>
      </c>
      <c r="O228"/>
      <c r="P228"/>
    </row>
    <row r="229" spans="2:16" hidden="1" outlineLevel="1" x14ac:dyDescent="0.35">
      <c r="D229" s="12"/>
      <c r="H229" s="7"/>
      <c r="I229" s="7"/>
      <c r="J229" s="7"/>
      <c r="K229" s="7"/>
      <c r="L229" s="7"/>
      <c r="O229"/>
      <c r="P229"/>
    </row>
    <row r="230" spans="2:16" hidden="1" outlineLevel="1" x14ac:dyDescent="0.35">
      <c r="B230" s="163" t="s">
        <v>382</v>
      </c>
      <c r="D230" s="12"/>
      <c r="H230" s="7"/>
      <c r="I230" s="7"/>
      <c r="J230" s="7"/>
      <c r="K230" s="7"/>
      <c r="L230" s="7"/>
      <c r="O230"/>
      <c r="P230"/>
    </row>
    <row r="231" spans="2:16" hidden="1" outlineLevel="1" x14ac:dyDescent="0.35">
      <c r="B231" s="11" t="s">
        <v>109</v>
      </c>
      <c r="D231" s="12"/>
      <c r="E231" s="13">
        <f>E45</f>
        <v>0.13743364577348233</v>
      </c>
      <c r="F231" s="13">
        <f t="shared" ref="F231:G231" si="107">F45</f>
        <v>0.12956813093949682</v>
      </c>
      <c r="G231" s="13">
        <f t="shared" si="107"/>
        <v>0.12343997908827302</v>
      </c>
      <c r="H231" s="14">
        <v>0.13</v>
      </c>
      <c r="I231" s="14">
        <v>0.13</v>
      </c>
      <c r="J231" s="14">
        <v>0.13</v>
      </c>
      <c r="K231" s="14">
        <v>0.13</v>
      </c>
      <c r="L231" s="14">
        <v>0.13</v>
      </c>
      <c r="O231"/>
      <c r="P231"/>
    </row>
    <row r="232" spans="2:16" hidden="1" outlineLevel="1" x14ac:dyDescent="0.35">
      <c r="B232" s="11" t="s">
        <v>297</v>
      </c>
      <c r="D232" s="12"/>
      <c r="E232" s="13">
        <f t="shared" ref="E232:G232" si="108">E46</f>
        <v>0.14293922424512687</v>
      </c>
      <c r="F232" s="13">
        <f t="shared" si="108"/>
        <v>0.13972365124312464</v>
      </c>
      <c r="G232" s="13">
        <f t="shared" si="108"/>
        <v>0.12300229177938128</v>
      </c>
      <c r="H232" s="14">
        <v>0.14000000000000001</v>
      </c>
      <c r="I232" s="14">
        <v>0.14000000000000001</v>
      </c>
      <c r="J232" s="14">
        <v>0.14000000000000001</v>
      </c>
      <c r="K232" s="14">
        <v>0.14000000000000001</v>
      </c>
      <c r="L232" s="14">
        <v>0.14000000000000001</v>
      </c>
      <c r="O232"/>
      <c r="P232"/>
    </row>
    <row r="233" spans="2:16" hidden="1" outlineLevel="1" x14ac:dyDescent="0.35">
      <c r="B233" s="11" t="s">
        <v>296</v>
      </c>
      <c r="D233" s="12"/>
      <c r="E233" s="13">
        <f t="shared" ref="E233:G233" si="109">E47</f>
        <v>5.8914835047037539E-3</v>
      </c>
      <c r="F233" s="13">
        <f t="shared" si="109"/>
        <v>5.1148240945278799E-3</v>
      </c>
      <c r="G233" s="13">
        <f t="shared" si="109"/>
        <v>4.310004194503377E-3</v>
      </c>
      <c r="H233" s="14">
        <v>5.0000000000000001E-3</v>
      </c>
      <c r="I233" s="14">
        <v>5.0000000000000001E-3</v>
      </c>
      <c r="J233" s="14">
        <v>5.0000000000000001E-3</v>
      </c>
      <c r="K233" s="14">
        <v>5.0000000000000001E-3</v>
      </c>
      <c r="L233" s="14">
        <v>5.0000000000000001E-3</v>
      </c>
      <c r="O233"/>
      <c r="P233"/>
    </row>
    <row r="234" spans="2:16" hidden="1" outlineLevel="1" x14ac:dyDescent="0.35">
      <c r="D234" s="12"/>
      <c r="H234" s="7"/>
      <c r="I234" s="7"/>
      <c r="J234" s="7"/>
      <c r="K234" s="7"/>
      <c r="L234" s="7"/>
      <c r="O234"/>
      <c r="P234"/>
    </row>
    <row r="235" spans="2:16" hidden="1" outlineLevel="1" x14ac:dyDescent="0.35">
      <c r="B235" s="163" t="s">
        <v>383</v>
      </c>
      <c r="D235" s="12"/>
      <c r="H235" s="7"/>
      <c r="I235" s="7"/>
      <c r="J235" s="7"/>
      <c r="K235" s="7"/>
      <c r="L235" s="7"/>
      <c r="O235"/>
      <c r="P235"/>
    </row>
    <row r="236" spans="2:16" hidden="1" outlineLevel="1" x14ac:dyDescent="0.35">
      <c r="B236" s="11" t="s">
        <v>317</v>
      </c>
      <c r="D236" s="12"/>
      <c r="E236" s="13">
        <f>E50</f>
        <v>7.6823250448602928E-2</v>
      </c>
      <c r="F236" s="13">
        <f t="shared" ref="F236:G236" si="110">F50</f>
        <v>0.10599434010805248</v>
      </c>
      <c r="G236" s="13">
        <f t="shared" si="110"/>
        <v>8.5021551724137931E-2</v>
      </c>
      <c r="H236" s="14">
        <v>7.0000000000000007E-2</v>
      </c>
      <c r="I236" s="14">
        <v>7.0000000000000007E-2</v>
      </c>
      <c r="J236" s="14">
        <v>6.5000000000000002E-2</v>
      </c>
      <c r="K236" s="14">
        <v>6.5000000000000002E-2</v>
      </c>
      <c r="L236" s="14">
        <v>6.5000000000000002E-2</v>
      </c>
      <c r="O236"/>
      <c r="P236"/>
    </row>
    <row r="237" spans="2:16" hidden="1" outlineLevel="1" x14ac:dyDescent="0.35">
      <c r="B237" s="11" t="s">
        <v>318</v>
      </c>
      <c r="D237" s="12"/>
      <c r="E237" s="13">
        <f t="shared" ref="E237:G237" si="111">E51</f>
        <v>7.355485772878749E-2</v>
      </c>
      <c r="F237" s="13">
        <f t="shared" si="111"/>
        <v>0.10707164908669925</v>
      </c>
      <c r="G237" s="13">
        <f t="shared" si="111"/>
        <v>9.7752463054187194E-2</v>
      </c>
      <c r="H237" s="14">
        <v>0.08</v>
      </c>
      <c r="I237" s="14">
        <v>0.08</v>
      </c>
      <c r="J237" s="14">
        <v>7.4999999999999997E-2</v>
      </c>
      <c r="K237" s="14">
        <v>7.4999999999999997E-2</v>
      </c>
      <c r="L237" s="14">
        <v>7.4999999999999997E-2</v>
      </c>
      <c r="O237"/>
      <c r="P237"/>
    </row>
    <row r="238" spans="2:16" hidden="1" outlineLevel="1" x14ac:dyDescent="0.35">
      <c r="B238" s="11" t="s">
        <v>319</v>
      </c>
      <c r="D238" s="12"/>
      <c r="E238" s="13">
        <f t="shared" ref="E238:G238" si="112">E52</f>
        <v>9.366382351054961E-2</v>
      </c>
      <c r="F238" s="13">
        <f t="shared" si="112"/>
        <v>8.1826585320761688E-2</v>
      </c>
      <c r="G238" s="13">
        <f t="shared" si="112"/>
        <v>6.9304273137212796E-2</v>
      </c>
      <c r="H238" s="14">
        <v>0.06</v>
      </c>
      <c r="I238" s="14">
        <v>0.06</v>
      </c>
      <c r="J238" s="14">
        <v>5.5E-2</v>
      </c>
      <c r="K238" s="14">
        <v>5.5E-2</v>
      </c>
      <c r="L238" s="14">
        <v>5.5E-2</v>
      </c>
      <c r="O238"/>
      <c r="P238"/>
    </row>
    <row r="239" spans="2:16" hidden="1" outlineLevel="1" x14ac:dyDescent="0.35">
      <c r="B239" s="11" t="s">
        <v>320</v>
      </c>
      <c r="D239" s="12"/>
      <c r="E239" s="13">
        <f t="shared" ref="E239:G239" si="113">E53</f>
        <v>0.41626623954440289</v>
      </c>
      <c r="F239" s="13">
        <f t="shared" si="113"/>
        <v>0.43877551020408162</v>
      </c>
      <c r="G239" s="13">
        <f t="shared" si="113"/>
        <v>0.41406720462483437</v>
      </c>
      <c r="H239" s="14">
        <v>0.38</v>
      </c>
      <c r="I239" s="14">
        <v>0.38</v>
      </c>
      <c r="J239" s="14">
        <v>0.37</v>
      </c>
      <c r="K239" s="14">
        <v>0.37</v>
      </c>
      <c r="L239" s="14">
        <v>0.37</v>
      </c>
      <c r="O239"/>
      <c r="P239"/>
    </row>
    <row r="240" spans="2:16" hidden="1" outlineLevel="1" x14ac:dyDescent="0.35">
      <c r="B240" s="11" t="s">
        <v>121</v>
      </c>
      <c r="D240" s="12"/>
      <c r="E240" s="13">
        <f t="shared" ref="E240:G240" si="114">E54</f>
        <v>4.2072224270853879E-2</v>
      </c>
      <c r="F240" s="13">
        <f t="shared" si="114"/>
        <v>4.7212050229055169E-2</v>
      </c>
      <c r="G240" s="13">
        <f t="shared" si="114"/>
        <v>3.6923787697339228E-2</v>
      </c>
      <c r="H240" s="14">
        <v>0.03</v>
      </c>
      <c r="I240" s="14">
        <v>0.03</v>
      </c>
      <c r="J240" s="14">
        <v>2.5000000000000001E-2</v>
      </c>
      <c r="K240" s="14">
        <v>2.5000000000000001E-2</v>
      </c>
      <c r="L240" s="14">
        <v>2.5000000000000001E-2</v>
      </c>
      <c r="O240"/>
      <c r="P240"/>
    </row>
    <row r="241" spans="2:16" hidden="1" outlineLevel="1" x14ac:dyDescent="0.35">
      <c r="D241" s="12"/>
      <c r="H241" s="7"/>
      <c r="I241" s="7"/>
      <c r="J241" s="7"/>
      <c r="K241" s="7"/>
      <c r="L241" s="7"/>
      <c r="O241"/>
      <c r="P241"/>
    </row>
    <row r="242" spans="2:16" hidden="1" outlineLevel="1" x14ac:dyDescent="0.35">
      <c r="B242" s="8" t="s">
        <v>10</v>
      </c>
      <c r="D242" s="12"/>
      <c r="H242" s="7"/>
      <c r="I242" s="7"/>
      <c r="J242" s="7"/>
      <c r="K242" s="7"/>
      <c r="L242" s="7"/>
      <c r="O242"/>
      <c r="P242"/>
    </row>
    <row r="243" spans="2:16" hidden="1" outlineLevel="1" x14ac:dyDescent="0.35">
      <c r="B243" s="11" t="s">
        <v>39</v>
      </c>
      <c r="D243" s="12"/>
      <c r="E243" s="13">
        <f t="shared" ref="E243:G252" si="115">E57</f>
        <v>0</v>
      </c>
      <c r="F243" s="13">
        <f t="shared" si="115"/>
        <v>0</v>
      </c>
      <c r="G243" s="13">
        <f t="shared" si="115"/>
        <v>0</v>
      </c>
      <c r="H243" s="14">
        <v>8.0000000000000002E-3</v>
      </c>
      <c r="I243" s="14">
        <v>8.0000000000000002E-3</v>
      </c>
      <c r="J243" s="14">
        <v>8.0000000000000002E-3</v>
      </c>
      <c r="K243" s="14">
        <v>8.0000000000000002E-3</v>
      </c>
      <c r="L243" s="14">
        <v>8.0000000000000002E-3</v>
      </c>
      <c r="O243"/>
      <c r="P243"/>
    </row>
    <row r="244" spans="2:16" hidden="1" outlineLevel="1" x14ac:dyDescent="0.35">
      <c r="B244" s="11" t="s">
        <v>345</v>
      </c>
      <c r="D244" s="12"/>
      <c r="E244" s="13">
        <f t="shared" si="115"/>
        <v>0.10283940347657557</v>
      </c>
      <c r="F244" s="13">
        <f t="shared" si="115"/>
        <v>0.10397918488977183</v>
      </c>
      <c r="G244" s="13">
        <f t="shared" si="115"/>
        <v>0.10145834979726567</v>
      </c>
      <c r="H244" s="14">
        <v>9.5000000000000001E-2</v>
      </c>
      <c r="I244" s="14">
        <v>9.5000000000000001E-2</v>
      </c>
      <c r="J244" s="14">
        <v>9.5000000000000001E-2</v>
      </c>
      <c r="K244" s="14">
        <v>9.5000000000000001E-2</v>
      </c>
      <c r="L244" s="14">
        <v>9.5000000000000001E-2</v>
      </c>
      <c r="O244"/>
      <c r="P244"/>
    </row>
    <row r="245" spans="2:16" hidden="1" outlineLevel="1" x14ac:dyDescent="0.35">
      <c r="B245" s="11" t="s">
        <v>372</v>
      </c>
      <c r="D245" s="12"/>
      <c r="E245" s="13">
        <f t="shared" si="115"/>
        <v>-0.11402199937541206</v>
      </c>
      <c r="F245" s="13">
        <f t="shared" si="115"/>
        <v>2.7620814708610949E-3</v>
      </c>
      <c r="G245" s="13">
        <f t="shared" si="115"/>
        <v>-6.7050648854421691E-2</v>
      </c>
      <c r="H245" s="14">
        <v>0</v>
      </c>
      <c r="I245" s="14">
        <v>0</v>
      </c>
      <c r="J245" s="14">
        <v>0</v>
      </c>
      <c r="K245" s="14">
        <v>0</v>
      </c>
      <c r="L245" s="14">
        <v>0</v>
      </c>
      <c r="O245"/>
      <c r="P245"/>
    </row>
    <row r="246" spans="2:16" hidden="1" outlineLevel="1" x14ac:dyDescent="0.35">
      <c r="B246" s="11" t="s">
        <v>375</v>
      </c>
      <c r="D246" s="12"/>
      <c r="E246" s="13">
        <f t="shared" si="115"/>
        <v>3.5535760061522689E-2</v>
      </c>
      <c r="F246" s="13">
        <f t="shared" si="115"/>
        <v>3.9104708001029075E-2</v>
      </c>
      <c r="G246" s="13">
        <f t="shared" si="115"/>
        <v>5.8959359605911333E-3</v>
      </c>
      <c r="H246" s="14">
        <v>0</v>
      </c>
      <c r="I246" s="14">
        <v>0</v>
      </c>
      <c r="J246" s="14">
        <v>0</v>
      </c>
      <c r="K246" s="14">
        <v>0</v>
      </c>
      <c r="L246" s="14">
        <v>0</v>
      </c>
      <c r="O246"/>
      <c r="P246"/>
    </row>
    <row r="247" spans="2:16" hidden="1" outlineLevel="1" x14ac:dyDescent="0.35">
      <c r="B247" s="11" t="s">
        <v>237</v>
      </c>
      <c r="D247" s="12"/>
      <c r="E247" s="21">
        <f t="shared" si="115"/>
        <v>1341</v>
      </c>
      <c r="F247" s="21">
        <f t="shared" si="115"/>
        <v>-224</v>
      </c>
      <c r="G247" s="21">
        <f t="shared" si="115"/>
        <v>0</v>
      </c>
      <c r="H247" s="22">
        <v>-100</v>
      </c>
      <c r="I247" s="22">
        <v>-100</v>
      </c>
      <c r="J247" s="22">
        <v>-100</v>
      </c>
      <c r="K247" s="22">
        <v>-100</v>
      </c>
      <c r="L247" s="22">
        <v>-100</v>
      </c>
      <c r="O247"/>
      <c r="P247"/>
    </row>
    <row r="248" spans="2:16" hidden="1" outlineLevel="1" x14ac:dyDescent="0.35">
      <c r="B248" s="11" t="s">
        <v>54</v>
      </c>
      <c r="D248" s="12"/>
      <c r="E248" s="21">
        <f t="shared" si="115"/>
        <v>641</v>
      </c>
      <c r="F248" s="21">
        <f t="shared" si="115"/>
        <v>635</v>
      </c>
      <c r="G248" s="21">
        <f t="shared" si="115"/>
        <v>87</v>
      </c>
      <c r="H248" s="22">
        <v>60</v>
      </c>
      <c r="I248" s="22">
        <v>60</v>
      </c>
      <c r="J248" s="22">
        <v>60</v>
      </c>
      <c r="K248" s="22">
        <v>60</v>
      </c>
      <c r="L248" s="22">
        <v>60</v>
      </c>
      <c r="O248"/>
      <c r="P248"/>
    </row>
    <row r="249" spans="2:16" hidden="1" outlineLevel="1" x14ac:dyDescent="0.35">
      <c r="B249" s="11" t="s">
        <v>329</v>
      </c>
      <c r="D249" s="12"/>
      <c r="E249" s="13">
        <f t="shared" si="115"/>
        <v>1.3892581190131123E-3</v>
      </c>
      <c r="F249" s="13">
        <f t="shared" si="115"/>
        <v>4.1437487954218621E-3</v>
      </c>
      <c r="G249" s="13">
        <f t="shared" si="115"/>
        <v>-4.2431353000893608E-3</v>
      </c>
      <c r="H249" s="14">
        <v>4.0000000000000001E-3</v>
      </c>
      <c r="I249" s="14">
        <v>4.0000000000000001E-3</v>
      </c>
      <c r="J249" s="14">
        <v>4.0000000000000001E-3</v>
      </c>
      <c r="K249" s="14">
        <v>4.0000000000000001E-3</v>
      </c>
      <c r="L249" s="14">
        <v>4.0000000000000001E-3</v>
      </c>
      <c r="O249"/>
      <c r="P249"/>
    </row>
    <row r="250" spans="2:16" hidden="1" outlineLevel="1" x14ac:dyDescent="0.35">
      <c r="B250" s="11" t="s">
        <v>339</v>
      </c>
      <c r="D250" s="12"/>
      <c r="E250" s="13">
        <f t="shared" si="115"/>
        <v>9.0902074453944374E-4</v>
      </c>
      <c r="F250" s="13">
        <f t="shared" si="115"/>
        <v>5.9302308342352224E-4</v>
      </c>
      <c r="G250" s="13">
        <f t="shared" si="115"/>
        <v>1.6413274083440222E-3</v>
      </c>
      <c r="H250" s="14">
        <v>1.1999999999999999E-3</v>
      </c>
      <c r="I250" s="14">
        <v>1.1999999999999999E-3</v>
      </c>
      <c r="J250" s="14">
        <v>1.1999999999999999E-3</v>
      </c>
      <c r="K250" s="14">
        <v>1.1999999999999999E-3</v>
      </c>
      <c r="L250" s="14">
        <v>1.1999999999999999E-3</v>
      </c>
      <c r="O250"/>
      <c r="P250"/>
    </row>
    <row r="251" spans="2:16" hidden="1" outlineLevel="1" x14ac:dyDescent="0.35">
      <c r="B251" s="11" t="s">
        <v>241</v>
      </c>
      <c r="D251" s="12"/>
      <c r="E251" s="13">
        <f t="shared" si="115"/>
        <v>6.8892591643168424E-2</v>
      </c>
      <c r="F251" s="13">
        <f t="shared" si="115"/>
        <v>8.1698610753794698E-2</v>
      </c>
      <c r="G251" s="13">
        <f t="shared" si="115"/>
        <v>4.9722906403940883E-3</v>
      </c>
      <c r="H251" s="14">
        <v>0.04</v>
      </c>
      <c r="I251" s="14">
        <v>0.04</v>
      </c>
      <c r="J251" s="14">
        <v>0.04</v>
      </c>
      <c r="K251" s="14">
        <v>0.04</v>
      </c>
      <c r="L251" s="14">
        <v>0.04</v>
      </c>
      <c r="O251"/>
      <c r="P251"/>
    </row>
    <row r="252" spans="2:16" hidden="1" outlineLevel="1" x14ac:dyDescent="0.35">
      <c r="B252" s="11" t="s">
        <v>340</v>
      </c>
      <c r="D252" s="12"/>
      <c r="E252" s="13">
        <f t="shared" si="115"/>
        <v>7.5980413175655397E-3</v>
      </c>
      <c r="F252" s="13">
        <f t="shared" si="115"/>
        <v>4.6255800507034733E-3</v>
      </c>
      <c r="G252" s="13">
        <f t="shared" si="115"/>
        <v>1.7051568075574008E-2</v>
      </c>
      <c r="H252" s="14">
        <v>7.0000000000000001E-3</v>
      </c>
      <c r="I252" s="14">
        <v>7.0000000000000001E-3</v>
      </c>
      <c r="J252" s="14">
        <v>7.0000000000000001E-3</v>
      </c>
      <c r="K252" s="14">
        <v>7.0000000000000001E-3</v>
      </c>
      <c r="L252" s="14">
        <v>7.0000000000000001E-3</v>
      </c>
      <c r="O252"/>
      <c r="P252"/>
    </row>
    <row r="253" spans="2:16" hidden="1" outlineLevel="1" x14ac:dyDescent="0.35">
      <c r="B253" s="12"/>
      <c r="C253" s="12"/>
      <c r="D253" s="12"/>
      <c r="E253" s="12"/>
      <c r="F253" s="12"/>
      <c r="G253" s="12"/>
      <c r="H253" s="12"/>
      <c r="I253" s="12"/>
      <c r="J253" s="12"/>
      <c r="K253" s="12"/>
      <c r="L253" s="12"/>
      <c r="O253"/>
      <c r="P253"/>
    </row>
    <row r="254" spans="2:16" hidden="1" outlineLevel="1" x14ac:dyDescent="0.35">
      <c r="B254" s="11" t="s">
        <v>282</v>
      </c>
      <c r="D254" s="12"/>
      <c r="E254" s="13">
        <f t="shared" ref="E254:G258" si="116">E68</f>
        <v>0.26744076357742541</v>
      </c>
      <c r="F254" s="13">
        <f t="shared" si="116"/>
        <v>0.20047886613986449</v>
      </c>
      <c r="G254" s="13">
        <f t="shared" si="116"/>
        <v>0.22647886638986997</v>
      </c>
      <c r="H254" s="14">
        <v>0.255</v>
      </c>
      <c r="I254" s="14">
        <v>0.255</v>
      </c>
      <c r="J254" s="14">
        <v>0.255</v>
      </c>
      <c r="K254" s="14">
        <v>0.255</v>
      </c>
      <c r="L254" s="14">
        <v>0.255</v>
      </c>
      <c r="O254"/>
      <c r="P254"/>
    </row>
    <row r="255" spans="2:16" hidden="1" outlineLevel="1" x14ac:dyDescent="0.35">
      <c r="B255" s="11" t="s">
        <v>55</v>
      </c>
      <c r="D255" s="12"/>
      <c r="E255" s="13">
        <f t="shared" si="116"/>
        <v>8.2549374405063075E-2</v>
      </c>
      <c r="F255" s="13">
        <f t="shared" si="116"/>
        <v>2.2104935434611794E-2</v>
      </c>
      <c r="G255" s="13">
        <f t="shared" si="116"/>
        <v>0.1552695728293445</v>
      </c>
      <c r="H255" s="14">
        <v>6.5000000000000002E-2</v>
      </c>
      <c r="I255" s="14">
        <v>6.5000000000000002E-2</v>
      </c>
      <c r="J255" s="14">
        <v>6.5000000000000002E-2</v>
      </c>
      <c r="K255" s="14">
        <v>6.5000000000000002E-2</v>
      </c>
      <c r="L255" s="14">
        <v>6.5000000000000002E-2</v>
      </c>
      <c r="O255"/>
      <c r="P255"/>
    </row>
    <row r="256" spans="2:16" hidden="1" outlineLevel="1" x14ac:dyDescent="0.35">
      <c r="B256" s="11" t="s">
        <v>244</v>
      </c>
      <c r="D256" s="12"/>
      <c r="E256" s="13">
        <f t="shared" si="116"/>
        <v>0.11283863166650944</v>
      </c>
      <c r="F256" s="13">
        <f t="shared" si="116"/>
        <v>4.5840684348638271E-2</v>
      </c>
      <c r="G256" s="13">
        <f t="shared" si="116"/>
        <v>9.5981179445717657E-2</v>
      </c>
      <c r="H256" s="14">
        <v>0.105</v>
      </c>
      <c r="I256" s="14">
        <v>0.105</v>
      </c>
      <c r="J256" s="14">
        <v>0.105</v>
      </c>
      <c r="K256" s="14">
        <v>0.105</v>
      </c>
      <c r="L256" s="14">
        <v>0.105</v>
      </c>
      <c r="O256"/>
      <c r="P256"/>
    </row>
    <row r="257" spans="2:16" hidden="1" outlineLevel="1" x14ac:dyDescent="0.35">
      <c r="B257" s="11" t="s">
        <v>245</v>
      </c>
      <c r="D257" s="12"/>
      <c r="E257" s="13">
        <f t="shared" si="116"/>
        <v>1.1251275630525946E-2</v>
      </c>
      <c r="F257" s="13">
        <f t="shared" si="116"/>
        <v>4.662643993417444E-3</v>
      </c>
      <c r="G257" s="13">
        <f t="shared" si="116"/>
        <v>1.6413274083440222E-3</v>
      </c>
      <c r="H257" s="14">
        <v>8.9999999999999993E-3</v>
      </c>
      <c r="I257" s="14">
        <v>8.9999999999999993E-3</v>
      </c>
      <c r="J257" s="14">
        <v>8.9999999999999993E-3</v>
      </c>
      <c r="K257" s="14">
        <v>8.9999999999999993E-3</v>
      </c>
      <c r="L257" s="14">
        <v>8.9999999999999993E-3</v>
      </c>
      <c r="O257"/>
      <c r="P257"/>
    </row>
    <row r="258" spans="2:16" hidden="1" outlineLevel="1" x14ac:dyDescent="0.35">
      <c r="B258" s="11" t="s">
        <v>246</v>
      </c>
      <c r="D258" s="12"/>
      <c r="E258" s="21">
        <f t="shared" si="116"/>
        <v>-4</v>
      </c>
      <c r="F258" s="21">
        <f t="shared" si="116"/>
        <v>-23</v>
      </c>
      <c r="G258" s="21">
        <f t="shared" si="116"/>
        <v>129</v>
      </c>
      <c r="H258" s="22">
        <v>129</v>
      </c>
      <c r="I258" s="22">
        <v>129</v>
      </c>
      <c r="J258" s="22">
        <v>129</v>
      </c>
      <c r="K258" s="22">
        <v>129</v>
      </c>
      <c r="L258" s="22">
        <v>129</v>
      </c>
      <c r="O258"/>
      <c r="P258"/>
    </row>
    <row r="259" spans="2:16" hidden="1" outlineLevel="1" x14ac:dyDescent="0.35">
      <c r="B259" s="11"/>
      <c r="D259" s="12"/>
      <c r="E259" s="12"/>
      <c r="F259" s="12"/>
      <c r="G259" s="12"/>
      <c r="H259" s="12"/>
      <c r="I259" s="12"/>
      <c r="J259" s="12"/>
      <c r="K259" s="12"/>
      <c r="L259" s="12"/>
      <c r="O259"/>
      <c r="P259"/>
    </row>
    <row r="260" spans="2:16" hidden="1" outlineLevel="1" x14ac:dyDescent="0.35">
      <c r="B260" s="11" t="s">
        <v>377</v>
      </c>
      <c r="D260" s="12"/>
      <c r="E260" s="13">
        <f t="shared" ref="E260:G262" si="117">E74</f>
        <v>0.29978318879252835</v>
      </c>
      <c r="F260" s="13">
        <f t="shared" si="117"/>
        <v>0.49989306337777145</v>
      </c>
      <c r="G260" s="13">
        <f t="shared" si="117"/>
        <v>0.82504493708807669</v>
      </c>
      <c r="H260" s="14">
        <v>0.4</v>
      </c>
      <c r="I260" s="14">
        <v>0.4</v>
      </c>
      <c r="J260" s="14">
        <v>0.4</v>
      </c>
      <c r="K260" s="14">
        <v>0.4</v>
      </c>
      <c r="L260" s="14">
        <v>0.4</v>
      </c>
      <c r="O260"/>
      <c r="P260"/>
    </row>
    <row r="261" spans="2:16" hidden="1" outlineLevel="1" x14ac:dyDescent="0.35">
      <c r="B261" s="11" t="s">
        <v>248</v>
      </c>
      <c r="D261" s="12"/>
      <c r="E261" s="13">
        <f t="shared" si="117"/>
        <v>0.23974135787117631</v>
      </c>
      <c r="F261" s="13">
        <f t="shared" si="117"/>
        <v>0.14658048064520912</v>
      </c>
      <c r="G261" s="13">
        <f t="shared" si="117"/>
        <v>0.18312958583838396</v>
      </c>
      <c r="H261" s="14">
        <v>0.22</v>
      </c>
      <c r="I261" s="14">
        <v>0.22</v>
      </c>
      <c r="J261" s="14">
        <v>0.22</v>
      </c>
      <c r="K261" s="14">
        <v>0.22</v>
      </c>
      <c r="L261" s="14">
        <v>0.22</v>
      </c>
      <c r="O261"/>
      <c r="P261"/>
    </row>
    <row r="262" spans="2:16" hidden="1" outlineLevel="1" x14ac:dyDescent="0.35">
      <c r="B262" s="11" t="s">
        <v>56</v>
      </c>
      <c r="D262" s="12"/>
      <c r="E262" s="21">
        <f t="shared" si="117"/>
        <v>0</v>
      </c>
      <c r="F262" s="21">
        <f t="shared" si="117"/>
        <v>0</v>
      </c>
      <c r="G262" s="21">
        <f t="shared" si="117"/>
        <v>-5072</v>
      </c>
      <c r="H262" s="22">
        <v>-6000</v>
      </c>
      <c r="I262" s="22">
        <v>-6000</v>
      </c>
      <c r="J262" s="22">
        <v>-6000</v>
      </c>
      <c r="K262" s="22">
        <v>-6000</v>
      </c>
      <c r="L262" s="22">
        <v>-6000</v>
      </c>
      <c r="O262"/>
      <c r="P262"/>
    </row>
    <row r="263" spans="2:16" hidden="1" outlineLevel="1" x14ac:dyDescent="0.35">
      <c r="B263" s="11" t="s">
        <v>249</v>
      </c>
      <c r="D263" s="12"/>
      <c r="E263" s="13"/>
      <c r="F263" s="13"/>
      <c r="G263" s="13"/>
      <c r="H263" s="14">
        <v>0.2</v>
      </c>
      <c r="I263" s="14">
        <v>0.2</v>
      </c>
      <c r="J263" s="14">
        <v>0.2</v>
      </c>
      <c r="K263" s="14">
        <v>0.2</v>
      </c>
      <c r="L263" s="14">
        <v>0.2</v>
      </c>
      <c r="O263"/>
      <c r="P263"/>
    </row>
    <row r="264" spans="2:16" hidden="1" outlineLevel="1" x14ac:dyDescent="0.35">
      <c r="B264" s="11" t="s">
        <v>250</v>
      </c>
      <c r="D264" s="12"/>
      <c r="E264" s="13">
        <f>E78</f>
        <v>-0.25350432448553534</v>
      </c>
      <c r="F264" s="13">
        <f>F78</f>
        <v>-0.25280764635603348</v>
      </c>
      <c r="G264" s="13">
        <f>G78</f>
        <v>-0.36571322436849923</v>
      </c>
      <c r="H264" s="14">
        <v>-0.24</v>
      </c>
      <c r="I264" s="14">
        <v>-0.24</v>
      </c>
      <c r="J264" s="14">
        <v>-0.24</v>
      </c>
      <c r="K264" s="14">
        <v>-0.24</v>
      </c>
      <c r="L264" s="14">
        <v>-0.24</v>
      </c>
      <c r="O264"/>
      <c r="P264"/>
    </row>
    <row r="265" spans="2:16" hidden="1" outlineLevel="1" x14ac:dyDescent="0.35">
      <c r="B265" s="11" t="s">
        <v>251</v>
      </c>
      <c r="D265" s="12"/>
      <c r="E265" s="21">
        <f>E175</f>
        <v>344</v>
      </c>
      <c r="F265" s="21">
        <f>F175</f>
        <v>-111</v>
      </c>
      <c r="G265" s="21">
        <f>G175</f>
        <v>-277</v>
      </c>
      <c r="H265" s="22">
        <v>50</v>
      </c>
      <c r="I265" s="22">
        <v>50</v>
      </c>
      <c r="J265" s="22">
        <v>50</v>
      </c>
      <c r="K265" s="22">
        <v>50</v>
      </c>
      <c r="L265" s="22">
        <v>50</v>
      </c>
      <c r="O265"/>
      <c r="P265"/>
    </row>
    <row r="266" spans="2:16" hidden="1" outlineLevel="1" x14ac:dyDescent="0.35">
      <c r="B266" s="11"/>
      <c r="D266" s="12"/>
      <c r="E266" s="12"/>
      <c r="F266" s="12"/>
      <c r="G266" s="12"/>
      <c r="H266" s="14"/>
      <c r="I266" s="14"/>
      <c r="J266" s="14"/>
      <c r="K266" s="14"/>
      <c r="L266" s="14"/>
      <c r="O266"/>
      <c r="P266"/>
    </row>
    <row r="267" spans="2:16" hidden="1" outlineLevel="1" x14ac:dyDescent="0.35">
      <c r="B267" s="27" t="s">
        <v>252</v>
      </c>
      <c r="D267" s="12"/>
      <c r="E267" s="21">
        <f>E81</f>
        <v>-638</v>
      </c>
      <c r="F267" s="21">
        <f>F81</f>
        <v>113</v>
      </c>
      <c r="G267" s="21">
        <f>G81</f>
        <v>-786</v>
      </c>
      <c r="H267" s="22">
        <v>-100</v>
      </c>
      <c r="I267" s="22">
        <v>-100</v>
      </c>
      <c r="J267" s="22">
        <v>-100</v>
      </c>
      <c r="K267" s="22">
        <v>-100</v>
      </c>
      <c r="L267" s="22">
        <v>-100</v>
      </c>
      <c r="O267"/>
      <c r="P267"/>
    </row>
    <row r="268" spans="2:16" hidden="1" outlineLevel="1" x14ac:dyDescent="0.35">
      <c r="B268" s="11"/>
      <c r="D268" s="12"/>
      <c r="E268" s="12"/>
      <c r="F268" s="12"/>
      <c r="G268" s="12"/>
      <c r="H268" s="14"/>
      <c r="I268" s="14"/>
      <c r="J268" s="14"/>
      <c r="K268" s="14"/>
      <c r="L268" s="14"/>
      <c r="O268"/>
      <c r="P268"/>
    </row>
    <row r="269" spans="2:16" hidden="1" outlineLevel="1" x14ac:dyDescent="0.35">
      <c r="B269" s="8" t="s">
        <v>362</v>
      </c>
      <c r="D269" s="12"/>
      <c r="E269" s="12"/>
      <c r="F269" s="12"/>
      <c r="G269" s="12"/>
      <c r="H269" s="14"/>
      <c r="I269" s="14"/>
      <c r="J269" s="14"/>
      <c r="K269" s="14"/>
      <c r="L269" s="14"/>
      <c r="O269"/>
      <c r="P269"/>
    </row>
    <row r="270" spans="2:16" hidden="1" outlineLevel="1" x14ac:dyDescent="0.35">
      <c r="B270" s="28" t="s">
        <v>366</v>
      </c>
      <c r="D270" s="12"/>
      <c r="E270" s="25">
        <f t="shared" ref="E270:G271" si="118">E84</f>
        <v>1.667778519012675E-3</v>
      </c>
      <c r="F270" s="25">
        <f t="shared" si="118"/>
        <v>1.8535681186283596E-3</v>
      </c>
      <c r="G270" s="25">
        <f t="shared" si="118"/>
        <v>1.6177351707609346E-3</v>
      </c>
      <c r="H270" s="14">
        <v>1.6000000000000001E-3</v>
      </c>
      <c r="I270" s="14">
        <v>1.5E-3</v>
      </c>
      <c r="J270" s="14">
        <v>1.5E-3</v>
      </c>
      <c r="K270" s="14">
        <v>1.5E-3</v>
      </c>
      <c r="L270" s="14">
        <v>1.5E-3</v>
      </c>
      <c r="O270"/>
      <c r="P270"/>
    </row>
    <row r="271" spans="2:16" hidden="1" outlineLevel="1" x14ac:dyDescent="0.35">
      <c r="B271" s="28" t="s">
        <v>367</v>
      </c>
      <c r="D271" s="12"/>
      <c r="E271" s="25">
        <f t="shared" si="118"/>
        <v>1.3806824516117966E-3</v>
      </c>
      <c r="F271" s="25">
        <f t="shared" si="118"/>
        <v>6.819765459370506E-4</v>
      </c>
      <c r="G271" s="25">
        <f t="shared" si="118"/>
        <v>3.9513437608282016E-4</v>
      </c>
      <c r="H271" s="14">
        <v>4.0000000000000001E-3</v>
      </c>
      <c r="I271" s="14">
        <v>1.1999999999999999E-3</v>
      </c>
      <c r="J271" s="14">
        <v>1.1999999999999999E-3</v>
      </c>
      <c r="K271" s="14">
        <v>1.1999999999999999E-3</v>
      </c>
      <c r="L271" s="14">
        <v>1.1999999999999999E-3</v>
      </c>
      <c r="O271"/>
      <c r="P271"/>
    </row>
    <row r="272" spans="2:16" hidden="1" outlineLevel="1" x14ac:dyDescent="0.35">
      <c r="B272" s="11"/>
      <c r="D272" s="12"/>
      <c r="E272" s="12"/>
      <c r="F272" s="12"/>
      <c r="G272" s="12"/>
      <c r="H272" s="14"/>
      <c r="I272" s="14"/>
      <c r="J272" s="14"/>
      <c r="K272" s="14"/>
      <c r="L272" s="14"/>
      <c r="O272"/>
      <c r="P272"/>
    </row>
    <row r="273" spans="2:16" hidden="1" outlineLevel="1" x14ac:dyDescent="0.35">
      <c r="B273" s="8" t="s">
        <v>52</v>
      </c>
      <c r="D273" s="12"/>
      <c r="E273" s="12"/>
      <c r="F273" s="12"/>
      <c r="G273" s="12"/>
      <c r="H273" s="14"/>
      <c r="I273" s="14"/>
      <c r="J273" s="14"/>
      <c r="K273" s="14"/>
      <c r="L273" s="14"/>
      <c r="O273"/>
      <c r="P273"/>
    </row>
    <row r="274" spans="2:16" hidden="1" outlineLevel="1" x14ac:dyDescent="0.35">
      <c r="B274" s="28" t="s">
        <v>366</v>
      </c>
      <c r="D274" s="12"/>
      <c r="E274" s="13">
        <f t="shared" ref="E274:G276" si="119">E88</f>
        <v>1.9679786524349565E-2</v>
      </c>
      <c r="F274" s="13">
        <f t="shared" si="119"/>
        <v>0.1278962001853568</v>
      </c>
      <c r="G274" s="13">
        <f t="shared" si="119"/>
        <v>0.42234871180347511</v>
      </c>
      <c r="H274" s="14">
        <v>0.1</v>
      </c>
      <c r="I274" s="14">
        <v>0.1</v>
      </c>
      <c r="J274" s="14">
        <v>0.1</v>
      </c>
      <c r="K274" s="14">
        <v>0.1</v>
      </c>
      <c r="L274" s="14">
        <v>0.1</v>
      </c>
      <c r="O274"/>
      <c r="P274"/>
    </row>
    <row r="275" spans="2:16" hidden="1" outlineLevel="1" x14ac:dyDescent="0.35">
      <c r="B275" s="28" t="s">
        <v>367</v>
      </c>
      <c r="D275" s="12"/>
      <c r="E275" s="13">
        <f t="shared" si="119"/>
        <v>0.23948408784913686</v>
      </c>
      <c r="F275" s="13">
        <f t="shared" si="119"/>
        <v>0.14850039287779276</v>
      </c>
      <c r="G275" s="13">
        <f t="shared" si="119"/>
        <v>0.18087428039951126</v>
      </c>
      <c r="H275" s="14">
        <v>0.2</v>
      </c>
      <c r="I275" s="14">
        <v>0.22</v>
      </c>
      <c r="J275" s="14">
        <v>0.22</v>
      </c>
      <c r="K275" s="14">
        <v>0.22</v>
      </c>
      <c r="L275" s="14">
        <v>0.22</v>
      </c>
      <c r="O275"/>
      <c r="P275"/>
    </row>
    <row r="276" spans="2:16" hidden="1" outlineLevel="1" x14ac:dyDescent="0.35">
      <c r="B276" s="28" t="s">
        <v>370</v>
      </c>
      <c r="D276" s="12"/>
      <c r="E276" s="21">
        <f t="shared" si="119"/>
        <v>0</v>
      </c>
      <c r="F276" s="21">
        <f t="shared" si="119"/>
        <v>0</v>
      </c>
      <c r="G276" s="21">
        <f t="shared" si="119"/>
        <v>-5121</v>
      </c>
      <c r="H276" s="22">
        <v>-6000</v>
      </c>
      <c r="I276" s="22">
        <v>-6000</v>
      </c>
      <c r="J276" s="22">
        <v>-6000</v>
      </c>
      <c r="K276" s="22">
        <v>-6000</v>
      </c>
      <c r="L276" s="22">
        <v>-6000</v>
      </c>
      <c r="O276"/>
      <c r="P276"/>
    </row>
    <row r="277" spans="2:16" hidden="1" outlineLevel="1" x14ac:dyDescent="0.35">
      <c r="B277" s="11"/>
      <c r="D277" s="12"/>
      <c r="E277" s="12"/>
      <c r="F277" s="12"/>
      <c r="G277" s="12"/>
      <c r="H277" s="14"/>
      <c r="I277" s="14"/>
      <c r="J277" s="14"/>
      <c r="K277" s="14"/>
      <c r="L277" s="14"/>
      <c r="O277"/>
      <c r="P277"/>
    </row>
    <row r="278" spans="2:16" hidden="1" outlineLevel="1" x14ac:dyDescent="0.35">
      <c r="B278" s="8" t="s">
        <v>363</v>
      </c>
      <c r="D278" s="12"/>
      <c r="E278" s="12"/>
      <c r="F278" s="12"/>
      <c r="G278" s="12"/>
      <c r="H278" s="14"/>
      <c r="I278" s="14"/>
      <c r="J278" s="14"/>
      <c r="K278" s="14"/>
      <c r="L278" s="14"/>
      <c r="O278"/>
      <c r="P278"/>
    </row>
    <row r="279" spans="2:16" hidden="1" outlineLevel="1" x14ac:dyDescent="0.35">
      <c r="B279" s="28" t="s">
        <v>366</v>
      </c>
      <c r="D279" s="12"/>
      <c r="E279" s="13">
        <f t="shared" ref="E279:G280" si="120">E93</f>
        <v>0.28010340226817876</v>
      </c>
      <c r="F279" s="13">
        <f t="shared" si="120"/>
        <v>0.37199686319241465</v>
      </c>
      <c r="G279" s="13">
        <f t="shared" si="120"/>
        <v>0.40269622528460158</v>
      </c>
      <c r="H279" s="14">
        <v>0.4</v>
      </c>
      <c r="I279" s="14">
        <v>0.28000000000000003</v>
      </c>
      <c r="J279" s="14">
        <v>0.28000000000000003</v>
      </c>
      <c r="K279" s="14">
        <v>0.28000000000000003</v>
      </c>
      <c r="L279" s="14">
        <v>0.28000000000000003</v>
      </c>
      <c r="O279"/>
      <c r="P279"/>
    </row>
    <row r="280" spans="2:16" hidden="1" outlineLevel="1" x14ac:dyDescent="0.35">
      <c r="B280" s="28" t="s">
        <v>54</v>
      </c>
      <c r="D280" s="12"/>
      <c r="E280" s="21">
        <f t="shared" si="120"/>
        <v>0</v>
      </c>
      <c r="F280" s="21">
        <f t="shared" si="120"/>
        <v>0</v>
      </c>
      <c r="G280" s="21">
        <f t="shared" si="120"/>
        <v>6</v>
      </c>
      <c r="H280" s="22">
        <v>0</v>
      </c>
      <c r="I280" s="22">
        <v>0</v>
      </c>
      <c r="J280" s="22">
        <v>0</v>
      </c>
      <c r="K280" s="22">
        <v>0</v>
      </c>
      <c r="L280" s="22">
        <v>0</v>
      </c>
      <c r="O280"/>
      <c r="P280"/>
    </row>
    <row r="281" spans="2:16" hidden="1" outlineLevel="1" x14ac:dyDescent="0.35">
      <c r="B281" s="11"/>
      <c r="D281" s="12"/>
      <c r="E281" s="12"/>
      <c r="F281" s="12"/>
      <c r="G281" s="12"/>
      <c r="H281" s="14"/>
      <c r="I281" s="14"/>
      <c r="J281" s="14"/>
      <c r="K281" s="14"/>
      <c r="L281" s="14"/>
      <c r="O281"/>
      <c r="P281"/>
    </row>
    <row r="282" spans="2:16" hidden="1" outlineLevel="1" x14ac:dyDescent="0.35">
      <c r="B282" s="8" t="s">
        <v>368</v>
      </c>
      <c r="D282" s="12"/>
      <c r="E282" s="12"/>
      <c r="F282" s="12"/>
      <c r="G282" s="12"/>
      <c r="H282" s="14"/>
      <c r="I282" s="14"/>
      <c r="J282" s="14"/>
      <c r="K282" s="14"/>
      <c r="L282" s="14"/>
      <c r="O282"/>
      <c r="P282"/>
    </row>
    <row r="283" spans="2:16" hidden="1" outlineLevel="1" x14ac:dyDescent="0.35">
      <c r="B283" s="28" t="s">
        <v>369</v>
      </c>
      <c r="D283" s="12"/>
      <c r="E283" s="13">
        <f>E97</f>
        <v>-2.4329168417532094E-2</v>
      </c>
      <c r="F283" s="13">
        <f>F97</f>
        <v>1.0192584246341788E-2</v>
      </c>
      <c r="G283" s="13">
        <f>G97</f>
        <v>-5.7264089580002552E-3</v>
      </c>
      <c r="H283" s="14">
        <v>0.01</v>
      </c>
      <c r="I283" s="14">
        <v>0.01</v>
      </c>
      <c r="J283" s="14">
        <v>0.01</v>
      </c>
      <c r="K283" s="14">
        <v>0.01</v>
      </c>
      <c r="L283" s="14">
        <v>0.01</v>
      </c>
      <c r="O283"/>
      <c r="P283"/>
    </row>
    <row r="284" spans="2:16" hidden="1" outlineLevel="1" x14ac:dyDescent="0.3">
      <c r="D284" s="6"/>
      <c r="E284" s="6"/>
      <c r="F284" s="6"/>
      <c r="G284" s="7"/>
      <c r="H284" s="7"/>
      <c r="I284" s="7"/>
      <c r="J284" s="7"/>
      <c r="K284" s="7"/>
      <c r="L284" s="7"/>
      <c r="O284"/>
      <c r="P284"/>
    </row>
    <row r="285" spans="2:16" hidden="1" outlineLevel="1" x14ac:dyDescent="0.3">
      <c r="B285" s="261" t="s">
        <v>70</v>
      </c>
      <c r="C285" s="261"/>
      <c r="D285" s="261"/>
      <c r="E285" s="261"/>
      <c r="F285" s="261"/>
      <c r="G285" s="261"/>
      <c r="H285" s="261"/>
      <c r="I285" s="261"/>
      <c r="J285" s="261"/>
      <c r="K285" s="261"/>
      <c r="L285" s="261"/>
      <c r="O285"/>
      <c r="P285"/>
    </row>
    <row r="286" spans="2:16" hidden="1" outlineLevel="1" x14ac:dyDescent="0.3">
      <c r="D286" s="6"/>
      <c r="E286" s="6"/>
      <c r="F286" s="6"/>
      <c r="G286" s="7"/>
      <c r="H286" s="7"/>
      <c r="I286" s="7"/>
      <c r="J286" s="7"/>
      <c r="K286" s="7"/>
      <c r="L286" s="7"/>
      <c r="O286"/>
      <c r="P286"/>
    </row>
    <row r="287" spans="2:16" hidden="1" outlineLevel="1" x14ac:dyDescent="0.3">
      <c r="B287" s="8" t="s">
        <v>8</v>
      </c>
      <c r="C287" s="8"/>
      <c r="O287"/>
      <c r="P287"/>
    </row>
    <row r="288" spans="2:16" hidden="1" outlineLevel="1" x14ac:dyDescent="0.35">
      <c r="B288" s="11" t="s">
        <v>72</v>
      </c>
      <c r="C288" s="11"/>
      <c r="D288" s="12"/>
      <c r="E288" s="13">
        <f t="shared" ref="E288:G294" si="121">E12</f>
        <v>-1.1193175554782941E-2</v>
      </c>
      <c r="F288" s="13">
        <f t="shared" si="121"/>
        <v>0.15687468377226454</v>
      </c>
      <c r="G288" s="13">
        <f t="shared" si="121"/>
        <v>0.21941112807816054</v>
      </c>
      <c r="H288" s="14">
        <v>0.06</v>
      </c>
      <c r="I288" s="14">
        <v>0.06</v>
      </c>
      <c r="J288" s="14">
        <v>0.06</v>
      </c>
      <c r="K288" s="14">
        <v>0.06</v>
      </c>
      <c r="L288" s="14">
        <v>0.06</v>
      </c>
      <c r="O288"/>
      <c r="P288"/>
    </row>
    <row r="289" spans="2:16" hidden="1" outlineLevel="1" x14ac:dyDescent="0.35">
      <c r="B289" s="11" t="s">
        <v>124</v>
      </c>
      <c r="C289" s="11"/>
      <c r="D289" s="12"/>
      <c r="E289" s="13">
        <f t="shared" si="121"/>
        <v>0.21652702621581524</v>
      </c>
      <c r="F289" s="13">
        <f t="shared" si="121"/>
        <v>0.19242857778239017</v>
      </c>
      <c r="G289" s="13">
        <f t="shared" si="121"/>
        <v>0.18334842949282984</v>
      </c>
      <c r="H289" s="14">
        <v>0.17</v>
      </c>
      <c r="I289" s="14">
        <v>0.17</v>
      </c>
      <c r="J289" s="14">
        <v>0.17</v>
      </c>
      <c r="K289" s="14">
        <v>0.17</v>
      </c>
      <c r="L289" s="14">
        <v>0.17</v>
      </c>
      <c r="O289"/>
      <c r="P289"/>
    </row>
    <row r="290" spans="2:16" hidden="1" outlineLevel="1" x14ac:dyDescent="0.35">
      <c r="B290" s="11" t="s">
        <v>64</v>
      </c>
      <c r="C290" s="11"/>
      <c r="D290" s="12"/>
      <c r="E290" s="13">
        <f t="shared" si="121"/>
        <v>0.30304693462768739</v>
      </c>
      <c r="F290" s="13">
        <f t="shared" si="121"/>
        <v>0.28526634149234259</v>
      </c>
      <c r="G290" s="13">
        <f t="shared" si="121"/>
        <v>0.26670354587510109</v>
      </c>
      <c r="H290" s="14">
        <v>0.25</v>
      </c>
      <c r="I290" s="14">
        <v>0.25</v>
      </c>
      <c r="J290" s="14">
        <v>0.25</v>
      </c>
      <c r="K290" s="14">
        <v>0.25</v>
      </c>
      <c r="L290" s="14">
        <v>0.25</v>
      </c>
      <c r="O290"/>
      <c r="P290"/>
    </row>
    <row r="291" spans="2:16" hidden="1" outlineLevel="1" x14ac:dyDescent="0.35">
      <c r="B291" s="11" t="s">
        <v>264</v>
      </c>
      <c r="C291" s="11"/>
      <c r="D291" s="12"/>
      <c r="E291" s="13">
        <f t="shared" si="121"/>
        <v>0.13088183587887728</v>
      </c>
      <c r="F291" s="13">
        <f t="shared" si="121"/>
        <v>9.118471186490934E-2</v>
      </c>
      <c r="G291" s="13">
        <f t="shared" si="121"/>
        <v>6.8978304083257849E-2</v>
      </c>
      <c r="H291" s="14">
        <v>7.0000000000000007E-2</v>
      </c>
      <c r="I291" s="14">
        <v>7.0000000000000007E-2</v>
      </c>
      <c r="J291" s="14">
        <v>7.0000000000000007E-2</v>
      </c>
      <c r="K291" s="14">
        <v>7.0000000000000007E-2</v>
      </c>
      <c r="L291" s="14">
        <v>7.0000000000000007E-2</v>
      </c>
      <c r="O291"/>
      <c r="P291"/>
    </row>
    <row r="292" spans="2:16" hidden="1" outlineLevel="1" x14ac:dyDescent="0.35">
      <c r="B292" s="11" t="s">
        <v>265</v>
      </c>
      <c r="C292" s="11"/>
      <c r="D292" s="12"/>
      <c r="E292" s="13">
        <f t="shared" si="121"/>
        <v>0.10133008601394404</v>
      </c>
      <c r="F292" s="13">
        <f t="shared" si="121"/>
        <v>8.4565091696194278E-2</v>
      </c>
      <c r="G292" s="13">
        <f t="shared" si="121"/>
        <v>5.9209366508410285E-2</v>
      </c>
      <c r="H292" s="14">
        <v>6.7000000000000004E-2</v>
      </c>
      <c r="I292" s="14">
        <v>6.7000000000000004E-2</v>
      </c>
      <c r="J292" s="14">
        <v>6.7000000000000004E-2</v>
      </c>
      <c r="K292" s="14">
        <v>6.7000000000000004E-2</v>
      </c>
      <c r="L292" s="14">
        <v>6.7000000000000004E-2</v>
      </c>
      <c r="M292" s="16"/>
      <c r="O292"/>
      <c r="P292"/>
    </row>
    <row r="293" spans="2:16" hidden="1" outlineLevel="1" x14ac:dyDescent="0.35">
      <c r="B293" s="11" t="s">
        <v>233</v>
      </c>
      <c r="C293" s="11"/>
      <c r="D293" s="12"/>
      <c r="E293" s="13">
        <f t="shared" si="121"/>
        <v>-1.0719584251644384E-3</v>
      </c>
      <c r="F293" s="13">
        <f t="shared" si="121"/>
        <v>5.018457843471557E-3</v>
      </c>
      <c r="G293" s="13">
        <f t="shared" si="121"/>
        <v>7.7993446848347425E-3</v>
      </c>
      <c r="H293" s="14">
        <v>0.01</v>
      </c>
      <c r="I293" s="14">
        <v>0.01</v>
      </c>
      <c r="J293" s="14">
        <v>0.01</v>
      </c>
      <c r="K293" s="14">
        <v>0.01</v>
      </c>
      <c r="L293" s="14">
        <v>0.01</v>
      </c>
      <c r="O293"/>
      <c r="P293"/>
    </row>
    <row r="294" spans="2:16" hidden="1" outlineLevel="1" x14ac:dyDescent="0.35">
      <c r="B294" s="11" t="s">
        <v>266</v>
      </c>
      <c r="C294" s="11"/>
      <c r="D294" s="12"/>
      <c r="E294" s="15">
        <f t="shared" si="121"/>
        <v>0.19497553697213643</v>
      </c>
      <c r="F294" s="15">
        <f t="shared" si="121"/>
        <v>0.17563464620055663</v>
      </c>
      <c r="G294" s="15">
        <f t="shared" si="121"/>
        <v>0.11750137978857393</v>
      </c>
      <c r="H294" s="14">
        <v>0.115</v>
      </c>
      <c r="I294" s="14">
        <v>0.115</v>
      </c>
      <c r="J294" s="14">
        <v>0.115</v>
      </c>
      <c r="K294" s="14">
        <v>0.115</v>
      </c>
      <c r="L294" s="14">
        <v>0.115</v>
      </c>
      <c r="O294"/>
      <c r="P294"/>
    </row>
    <row r="295" spans="2:16" hidden="1" outlineLevel="1" x14ac:dyDescent="0.35">
      <c r="B295" s="11"/>
      <c r="C295" s="11"/>
      <c r="D295" s="12"/>
      <c r="O295"/>
      <c r="P295"/>
    </row>
    <row r="296" spans="2:16" hidden="1" outlineLevel="1" x14ac:dyDescent="0.35">
      <c r="B296" s="8" t="s">
        <v>9</v>
      </c>
      <c r="C296" s="8"/>
      <c r="D296" s="12"/>
      <c r="O296"/>
      <c r="P296"/>
    </row>
    <row r="297" spans="2:16" hidden="1" outlineLevel="1" x14ac:dyDescent="0.35">
      <c r="B297" s="11" t="s">
        <v>59</v>
      </c>
      <c r="C297" s="8"/>
      <c r="D297" s="12"/>
      <c r="E297" s="18">
        <f t="shared" ref="E297:G307" si="122">E21</f>
        <v>42.150177087531837</v>
      </c>
      <c r="F297" s="18">
        <f t="shared" si="122"/>
        <v>43.747942951179375</v>
      </c>
      <c r="G297" s="18">
        <f t="shared" si="122"/>
        <v>37.706822450927348</v>
      </c>
      <c r="H297" s="19">
        <v>44</v>
      </c>
      <c r="I297" s="19">
        <v>45</v>
      </c>
      <c r="J297" s="19">
        <v>45</v>
      </c>
      <c r="K297" s="19">
        <v>45</v>
      </c>
      <c r="L297" s="19">
        <v>45</v>
      </c>
      <c r="O297"/>
      <c r="P297"/>
    </row>
    <row r="298" spans="2:16" hidden="1" outlineLevel="1" x14ac:dyDescent="0.35">
      <c r="B298" s="11" t="s">
        <v>60</v>
      </c>
      <c r="C298" s="8"/>
      <c r="D298" s="12"/>
      <c r="E298" s="18">
        <f t="shared" si="122"/>
        <v>72.135530120004759</v>
      </c>
      <c r="F298" s="18">
        <f t="shared" si="122"/>
        <v>68.18001463846835</v>
      </c>
      <c r="G298" s="18">
        <f t="shared" si="122"/>
        <v>93.02592752229701</v>
      </c>
      <c r="H298" s="19">
        <v>60</v>
      </c>
      <c r="I298" s="19">
        <v>60</v>
      </c>
      <c r="J298" s="19">
        <v>60</v>
      </c>
      <c r="K298" s="19">
        <v>60</v>
      </c>
      <c r="L298" s="19">
        <v>60</v>
      </c>
      <c r="O298"/>
      <c r="P298"/>
    </row>
    <row r="299" spans="2:16" hidden="1" outlineLevel="1" x14ac:dyDescent="0.35">
      <c r="B299" s="11" t="s">
        <v>65</v>
      </c>
      <c r="D299" s="12"/>
      <c r="E299" s="13">
        <f t="shared" si="122"/>
        <v>0.22345616547607819</v>
      </c>
      <c r="F299" s="13">
        <f t="shared" si="122"/>
        <v>0.17450445508591422</v>
      </c>
      <c r="G299" s="13">
        <f t="shared" si="122"/>
        <v>0.20623582835362703</v>
      </c>
      <c r="H299" s="14">
        <v>0.23</v>
      </c>
      <c r="I299" s="14">
        <v>0.26</v>
      </c>
      <c r="J299" s="14">
        <v>0.26</v>
      </c>
      <c r="K299" s="14">
        <v>0.28000000000000003</v>
      </c>
      <c r="L299" s="14">
        <v>0.28000000000000003</v>
      </c>
      <c r="O299"/>
      <c r="P299"/>
    </row>
    <row r="300" spans="2:16" hidden="1" outlineLevel="1" x14ac:dyDescent="0.35">
      <c r="B300" s="11" t="s">
        <v>326</v>
      </c>
      <c r="D300" s="12"/>
      <c r="E300" s="13">
        <f t="shared" si="122"/>
        <v>4.5836942260031384E-2</v>
      </c>
      <c r="F300" s="13">
        <f t="shared" si="122"/>
        <v>2.8116706942817749E-2</v>
      </c>
      <c r="G300" s="13">
        <f t="shared" si="122"/>
        <v>3.1829593741071485E-2</v>
      </c>
      <c r="H300" s="14">
        <v>0.05</v>
      </c>
      <c r="I300" s="14">
        <v>0.08</v>
      </c>
      <c r="J300" s="14">
        <v>0.08</v>
      </c>
      <c r="K300" s="14">
        <v>0.1</v>
      </c>
      <c r="L300" s="14">
        <v>0.1</v>
      </c>
      <c r="O300"/>
      <c r="P300"/>
    </row>
    <row r="301" spans="2:16" hidden="1" outlineLevel="1" x14ac:dyDescent="0.35">
      <c r="B301" s="11" t="s">
        <v>254</v>
      </c>
      <c r="D301" s="12"/>
      <c r="E301" s="21">
        <f t="shared" si="122"/>
        <v>6201</v>
      </c>
      <c r="F301" s="21">
        <f t="shared" si="122"/>
        <v>6141</v>
      </c>
      <c r="G301" s="21">
        <f t="shared" si="122"/>
        <v>6070</v>
      </c>
      <c r="H301" s="22">
        <v>6070</v>
      </c>
      <c r="I301" s="22">
        <v>6070</v>
      </c>
      <c r="J301" s="22">
        <v>6070</v>
      </c>
      <c r="K301" s="22">
        <v>6070</v>
      </c>
      <c r="L301" s="22">
        <v>6070</v>
      </c>
      <c r="O301"/>
      <c r="P301"/>
    </row>
    <row r="302" spans="2:16" hidden="1" outlineLevel="1" x14ac:dyDescent="0.35">
      <c r="B302" s="11" t="s">
        <v>262</v>
      </c>
      <c r="D302" s="12"/>
      <c r="E302" s="21">
        <f t="shared" si="122"/>
        <v>897</v>
      </c>
      <c r="F302" s="21">
        <f t="shared" si="122"/>
        <v>0</v>
      </c>
      <c r="G302" s="21">
        <f t="shared" si="122"/>
        <v>0</v>
      </c>
      <c r="H302" s="22">
        <v>0</v>
      </c>
      <c r="I302" s="22">
        <v>0</v>
      </c>
      <c r="J302" s="22">
        <v>0</v>
      </c>
      <c r="K302" s="22">
        <v>0</v>
      </c>
      <c r="L302" s="22">
        <v>0</v>
      </c>
      <c r="O302"/>
      <c r="P302"/>
    </row>
    <row r="303" spans="2:16" hidden="1" outlineLevel="1" x14ac:dyDescent="0.35">
      <c r="B303" s="11" t="s">
        <v>256</v>
      </c>
      <c r="D303" s="12"/>
      <c r="E303" s="21">
        <f t="shared" si="122"/>
        <v>20306</v>
      </c>
      <c r="F303" s="21">
        <f t="shared" si="122"/>
        <v>20654</v>
      </c>
      <c r="G303" s="21">
        <f t="shared" si="122"/>
        <v>20654</v>
      </c>
      <c r="H303" s="22">
        <v>20654</v>
      </c>
      <c r="I303" s="22">
        <v>20654</v>
      </c>
      <c r="J303" s="22">
        <v>22000</v>
      </c>
      <c r="K303" s="22">
        <v>22000</v>
      </c>
      <c r="L303" s="22">
        <v>22000</v>
      </c>
      <c r="O303"/>
      <c r="P303"/>
    </row>
    <row r="304" spans="2:16" hidden="1" outlineLevel="1" x14ac:dyDescent="0.35">
      <c r="B304" s="11" t="s">
        <v>335</v>
      </c>
      <c r="D304" s="12"/>
      <c r="E304" s="13">
        <f t="shared" si="122"/>
        <v>5.6453618502859987E-2</v>
      </c>
      <c r="F304" s="13">
        <f t="shared" si="122"/>
        <v>5.6203762731464324E-2</v>
      </c>
      <c r="G304" s="13">
        <f t="shared" si="122"/>
        <v>7.9130218053385687E-2</v>
      </c>
      <c r="H304" s="14">
        <v>0.09</v>
      </c>
      <c r="I304" s="14">
        <v>9.9500000000000005E-2</v>
      </c>
      <c r="J304" s="14">
        <v>0.125</v>
      </c>
      <c r="K304" s="14">
        <v>0.11</v>
      </c>
      <c r="L304" s="14">
        <v>0.111</v>
      </c>
      <c r="O304"/>
      <c r="P304"/>
    </row>
    <row r="305" spans="2:16" hidden="1" outlineLevel="1" x14ac:dyDescent="0.35">
      <c r="B305" s="11" t="s">
        <v>263</v>
      </c>
      <c r="D305" s="12"/>
      <c r="E305" s="21">
        <f t="shared" si="122"/>
        <v>1117</v>
      </c>
      <c r="F305" s="21">
        <f t="shared" si="122"/>
        <v>0</v>
      </c>
      <c r="G305" s="21">
        <f t="shared" si="122"/>
        <v>0</v>
      </c>
      <c r="H305" s="22">
        <v>0</v>
      </c>
      <c r="I305" s="22">
        <v>0</v>
      </c>
      <c r="J305" s="22">
        <v>0</v>
      </c>
      <c r="K305" s="22">
        <v>0</v>
      </c>
      <c r="L305" s="22">
        <v>0</v>
      </c>
      <c r="O305"/>
      <c r="P305"/>
    </row>
    <row r="306" spans="2:16" hidden="1" outlineLevel="1" x14ac:dyDescent="0.35">
      <c r="B306" s="11" t="s">
        <v>379</v>
      </c>
      <c r="D306" s="12"/>
      <c r="E306" s="13">
        <f t="shared" si="122"/>
        <v>0</v>
      </c>
      <c r="F306" s="13">
        <f t="shared" si="122"/>
        <v>7.7795148415418222E-2</v>
      </c>
      <c r="G306" s="13">
        <f t="shared" si="122"/>
        <v>8.2301847609315512E-2</v>
      </c>
      <c r="H306" s="14">
        <v>0.08</v>
      </c>
      <c r="I306" s="14">
        <v>0.08</v>
      </c>
      <c r="J306" s="14">
        <v>7.0000000000000007E-2</v>
      </c>
      <c r="K306" s="14">
        <v>7.6999999999999999E-2</v>
      </c>
      <c r="L306" s="14">
        <v>7.0000000000000007E-2</v>
      </c>
      <c r="O306"/>
      <c r="P306"/>
    </row>
    <row r="307" spans="2:16" hidden="1" outlineLevel="1" x14ac:dyDescent="0.35">
      <c r="B307" s="11" t="s">
        <v>333</v>
      </c>
      <c r="D307" s="12"/>
      <c r="E307" s="13">
        <f t="shared" si="122"/>
        <v>6.6581481703813603E-2</v>
      </c>
      <c r="F307" s="13">
        <f t="shared" si="122"/>
        <v>1.0155520303627819E-2</v>
      </c>
      <c r="G307" s="13">
        <f t="shared" si="122"/>
        <v>1.6510537929860607E-2</v>
      </c>
      <c r="H307" s="14">
        <v>1.4E-2</v>
      </c>
      <c r="I307" s="14">
        <v>1.4E-2</v>
      </c>
      <c r="J307" s="14">
        <v>0.01</v>
      </c>
      <c r="K307" s="14">
        <v>1.4E-2</v>
      </c>
      <c r="L307" s="14">
        <v>0.01</v>
      </c>
      <c r="O307"/>
      <c r="P307"/>
    </row>
    <row r="308" spans="2:16" hidden="1" outlineLevel="1" x14ac:dyDescent="0.35">
      <c r="B308" s="11"/>
      <c r="D308" s="12"/>
      <c r="E308" s="12"/>
      <c r="F308" s="12"/>
      <c r="G308" s="12"/>
      <c r="O308"/>
      <c r="P308"/>
    </row>
    <row r="309" spans="2:16" hidden="1" outlineLevel="1" x14ac:dyDescent="0.35">
      <c r="B309" s="8" t="s">
        <v>380</v>
      </c>
      <c r="D309" s="12"/>
      <c r="E309" s="12"/>
      <c r="F309" s="12"/>
      <c r="G309" s="12"/>
      <c r="O309"/>
      <c r="P309"/>
    </row>
    <row r="310" spans="2:16" hidden="1" outlineLevel="1" x14ac:dyDescent="0.35">
      <c r="B310" s="11" t="s">
        <v>281</v>
      </c>
      <c r="D310" s="12"/>
      <c r="E310" s="13">
        <f t="shared" ref="E310:G314" si="123">E34</f>
        <v>0.29440266188716135</v>
      </c>
      <c r="F310" s="13">
        <f t="shared" si="123"/>
        <v>0.3472001897673867</v>
      </c>
      <c r="G310" s="13">
        <f t="shared" si="123"/>
        <v>0.41578470647594845</v>
      </c>
      <c r="H310" s="14">
        <v>0.42</v>
      </c>
      <c r="I310" s="14">
        <v>0.45</v>
      </c>
      <c r="J310" s="14">
        <v>0.5</v>
      </c>
      <c r="K310" s="14">
        <v>0.55000000000000004</v>
      </c>
      <c r="L310" s="14">
        <v>0.62</v>
      </c>
      <c r="O310"/>
      <c r="P310"/>
    </row>
    <row r="311" spans="2:16" hidden="1" outlineLevel="1" x14ac:dyDescent="0.35">
      <c r="B311" s="11" t="s">
        <v>283</v>
      </c>
      <c r="D311" s="12"/>
      <c r="E311" s="13">
        <f t="shared" si="123"/>
        <v>5.593050279137974E-2</v>
      </c>
      <c r="F311" s="13">
        <f t="shared" si="123"/>
        <v>5.1681961720359965E-2</v>
      </c>
      <c r="G311" s="13">
        <f t="shared" si="123"/>
        <v>4.4334076996492423E-2</v>
      </c>
      <c r="H311" s="14">
        <v>6.4500000000000002E-2</v>
      </c>
      <c r="I311" s="14">
        <v>7.0000000000000007E-2</v>
      </c>
      <c r="J311" s="14">
        <v>0.09</v>
      </c>
      <c r="K311" s="14">
        <v>0.12</v>
      </c>
      <c r="L311" s="14">
        <v>0.13</v>
      </c>
      <c r="O311"/>
      <c r="P311"/>
    </row>
    <row r="312" spans="2:16" hidden="1" outlineLevel="1" x14ac:dyDescent="0.35">
      <c r="B312" s="11" t="s">
        <v>284</v>
      </c>
      <c r="D312" s="12"/>
      <c r="E312" s="13">
        <f t="shared" si="123"/>
        <v>4.8383915478222093E-2</v>
      </c>
      <c r="F312" s="13">
        <f t="shared" si="123"/>
        <v>5.4973239833360513E-2</v>
      </c>
      <c r="G312" s="13">
        <f t="shared" si="123"/>
        <v>4.3464781369110216E-2</v>
      </c>
      <c r="H312" s="14">
        <v>6.4000000000000001E-2</v>
      </c>
      <c r="I312" s="14">
        <v>6.5000000000000002E-2</v>
      </c>
      <c r="J312" s="14">
        <v>0.08</v>
      </c>
      <c r="K312" s="14">
        <v>0.12</v>
      </c>
      <c r="L312" s="14">
        <v>0.15</v>
      </c>
      <c r="O312"/>
      <c r="P312"/>
    </row>
    <row r="313" spans="2:16" hidden="1" outlineLevel="1" x14ac:dyDescent="0.35">
      <c r="B313" s="11" t="s">
        <v>285</v>
      </c>
      <c r="D313" s="12"/>
      <c r="E313" s="13">
        <f t="shared" si="123"/>
        <v>0.80330917719489514</v>
      </c>
      <c r="F313" s="13">
        <f t="shared" si="123"/>
        <v>0.89735625808837127</v>
      </c>
      <c r="G313" s="13">
        <f t="shared" si="123"/>
        <v>0.71940090186815542</v>
      </c>
      <c r="H313" s="14">
        <v>0.81499999999999995</v>
      </c>
      <c r="I313" s="14">
        <v>0.81499999999999995</v>
      </c>
      <c r="J313" s="14">
        <v>0.83</v>
      </c>
      <c r="K313" s="14">
        <v>0.88</v>
      </c>
      <c r="L313" s="14">
        <v>0.9</v>
      </c>
      <c r="O313"/>
      <c r="P313"/>
    </row>
    <row r="314" spans="2:16" hidden="1" outlineLevel="1" x14ac:dyDescent="0.35">
      <c r="B314" s="11" t="s">
        <v>286</v>
      </c>
      <c r="D314" s="12"/>
      <c r="E314" s="13">
        <f t="shared" si="123"/>
        <v>0</v>
      </c>
      <c r="F314" s="13">
        <f t="shared" si="123"/>
        <v>0.2481359976140769</v>
      </c>
      <c r="G314" s="13">
        <f t="shared" si="123"/>
        <v>0.28649940262843487</v>
      </c>
      <c r="H314" s="14">
        <v>0.24</v>
      </c>
      <c r="I314" s="14">
        <v>0.24</v>
      </c>
      <c r="J314" s="14">
        <v>0.24</v>
      </c>
      <c r="K314" s="14">
        <v>0.15</v>
      </c>
      <c r="L314" s="14">
        <v>0.15</v>
      </c>
      <c r="O314"/>
      <c r="P314"/>
    </row>
    <row r="315" spans="2:16" hidden="1" outlineLevel="1" x14ac:dyDescent="0.35">
      <c r="B315" s="11"/>
      <c r="D315" s="12"/>
      <c r="E315" s="12"/>
      <c r="F315" s="12"/>
      <c r="G315" s="12"/>
      <c r="O315"/>
      <c r="P315"/>
    </row>
    <row r="316" spans="2:16" hidden="1" outlineLevel="1" x14ac:dyDescent="0.35">
      <c r="B316" s="8" t="s">
        <v>302</v>
      </c>
      <c r="D316" s="12"/>
      <c r="E316" s="12"/>
      <c r="F316" s="12"/>
      <c r="G316" s="12"/>
      <c r="H316" s="14"/>
      <c r="I316" s="14"/>
      <c r="J316" s="14"/>
      <c r="K316" s="14"/>
      <c r="L316" s="14"/>
      <c r="O316"/>
      <c r="P316"/>
    </row>
    <row r="317" spans="2:16" hidden="1" outlineLevel="1" x14ac:dyDescent="0.35">
      <c r="B317" s="11" t="s">
        <v>306</v>
      </c>
      <c r="D317" s="12"/>
      <c r="E317" s="13">
        <f t="shared" ref="E317:G318" si="124">E41</f>
        <v>0</v>
      </c>
      <c r="F317" s="13">
        <f t="shared" si="124"/>
        <v>6.3008702613749246E-2</v>
      </c>
      <c r="G317" s="13">
        <f t="shared" si="124"/>
        <v>6.3829399213378643E-2</v>
      </c>
      <c r="H317" s="14">
        <v>0.05</v>
      </c>
      <c r="I317" s="14">
        <v>0.05</v>
      </c>
      <c r="J317" s="14">
        <v>0.05</v>
      </c>
      <c r="K317" s="14">
        <v>0.05</v>
      </c>
      <c r="L317" s="14">
        <v>0.05</v>
      </c>
      <c r="O317"/>
      <c r="P317"/>
    </row>
    <row r="318" spans="2:16" hidden="1" outlineLevel="1" x14ac:dyDescent="0.35">
      <c r="B318" s="11" t="s">
        <v>307</v>
      </c>
      <c r="D318" s="12"/>
      <c r="E318" s="13">
        <f t="shared" si="124"/>
        <v>-6.6032638990129412E-4</v>
      </c>
      <c r="F318" s="13">
        <f t="shared" si="124"/>
        <v>-8.5247068242131328E-4</v>
      </c>
      <c r="G318" s="13">
        <f t="shared" si="124"/>
        <v>-1.0577443298217032E-3</v>
      </c>
      <c r="H318" s="14">
        <v>-3.0000000000000001E-3</v>
      </c>
      <c r="I318" s="14">
        <v>-3.0000000000000001E-3</v>
      </c>
      <c r="J318" s="14">
        <v>-3.0000000000000001E-3</v>
      </c>
      <c r="K318" s="14">
        <v>-3.0000000000000001E-3</v>
      </c>
      <c r="L318" s="14">
        <v>-3.0000000000000001E-3</v>
      </c>
      <c r="O318"/>
      <c r="P318"/>
    </row>
    <row r="319" spans="2:16" hidden="1" outlineLevel="1" x14ac:dyDescent="0.35">
      <c r="D319" s="12"/>
      <c r="O319"/>
      <c r="P319"/>
    </row>
    <row r="320" spans="2:16" hidden="1" outlineLevel="1" x14ac:dyDescent="0.35">
      <c r="B320" s="163" t="s">
        <v>382</v>
      </c>
      <c r="D320" s="12"/>
      <c r="O320"/>
      <c r="P320"/>
    </row>
    <row r="321" spans="2:16" hidden="1" outlineLevel="1" x14ac:dyDescent="0.35">
      <c r="B321" s="11" t="s">
        <v>109</v>
      </c>
      <c r="D321" s="12"/>
      <c r="E321" s="13">
        <f>E45</f>
        <v>0.13743364577348233</v>
      </c>
      <c r="F321" s="13">
        <f t="shared" ref="F321:G321" si="125">F45</f>
        <v>0.12956813093949682</v>
      </c>
      <c r="G321" s="13">
        <f t="shared" si="125"/>
        <v>0.12343997908827302</v>
      </c>
      <c r="H321" s="14">
        <v>0.13</v>
      </c>
      <c r="I321" s="14">
        <v>0.13</v>
      </c>
      <c r="J321" s="14">
        <v>0.13</v>
      </c>
      <c r="K321" s="14">
        <v>0.13</v>
      </c>
      <c r="L321" s="14">
        <v>0.13</v>
      </c>
      <c r="O321"/>
      <c r="P321"/>
    </row>
    <row r="322" spans="2:16" hidden="1" outlineLevel="1" x14ac:dyDescent="0.35">
      <c r="B322" s="11" t="s">
        <v>297</v>
      </c>
      <c r="D322" s="12"/>
      <c r="E322" s="13">
        <f t="shared" ref="E322:G322" si="126">E46</f>
        <v>0.14293922424512687</v>
      </c>
      <c r="F322" s="13">
        <f t="shared" si="126"/>
        <v>0.13972365124312464</v>
      </c>
      <c r="G322" s="13">
        <f t="shared" si="126"/>
        <v>0.12300229177938128</v>
      </c>
      <c r="H322" s="14">
        <v>0.12</v>
      </c>
      <c r="I322" s="14">
        <v>0.1</v>
      </c>
      <c r="J322" s="14">
        <v>0.1</v>
      </c>
      <c r="K322" s="14">
        <v>0.1</v>
      </c>
      <c r="L322" s="14">
        <v>0.1</v>
      </c>
      <c r="O322"/>
      <c r="P322"/>
    </row>
    <row r="323" spans="2:16" hidden="1" outlineLevel="1" x14ac:dyDescent="0.35">
      <c r="B323" s="11" t="s">
        <v>296</v>
      </c>
      <c r="D323" s="12"/>
      <c r="E323" s="13">
        <f t="shared" ref="E323:G323" si="127">E47</f>
        <v>5.8914835047037539E-3</v>
      </c>
      <c r="F323" s="13">
        <f t="shared" si="127"/>
        <v>5.1148240945278799E-3</v>
      </c>
      <c r="G323" s="13">
        <f t="shared" si="127"/>
        <v>4.310004194503377E-3</v>
      </c>
      <c r="H323" s="14">
        <v>5.0000000000000001E-3</v>
      </c>
      <c r="I323" s="14">
        <v>5.0000000000000001E-3</v>
      </c>
      <c r="J323" s="14">
        <v>5.0000000000000001E-3</v>
      </c>
      <c r="K323" s="14">
        <v>5.0000000000000001E-3</v>
      </c>
      <c r="L323" s="14">
        <v>5.0000000000000001E-3</v>
      </c>
      <c r="O323"/>
      <c r="P323"/>
    </row>
    <row r="324" spans="2:16" hidden="1" outlineLevel="1" x14ac:dyDescent="0.35">
      <c r="D324" s="12"/>
      <c r="O324"/>
      <c r="P324"/>
    </row>
    <row r="325" spans="2:16" hidden="1" outlineLevel="1" x14ac:dyDescent="0.35">
      <c r="B325" s="163" t="s">
        <v>383</v>
      </c>
      <c r="D325" s="12"/>
      <c r="O325"/>
      <c r="P325"/>
    </row>
    <row r="326" spans="2:16" hidden="1" outlineLevel="1" x14ac:dyDescent="0.35">
      <c r="B326" s="11" t="s">
        <v>317</v>
      </c>
      <c r="D326" s="12"/>
      <c r="E326" s="13">
        <f>E50</f>
        <v>7.6823250448602928E-2</v>
      </c>
      <c r="F326" s="13">
        <f t="shared" ref="F326:G326" si="128">F50</f>
        <v>0.10599434010805248</v>
      </c>
      <c r="G326" s="13">
        <f t="shared" si="128"/>
        <v>8.5021551724137931E-2</v>
      </c>
      <c r="H326" s="14">
        <v>7.0000000000000007E-2</v>
      </c>
      <c r="I326" s="14">
        <v>0.06</v>
      </c>
      <c r="J326" s="14">
        <v>0.06</v>
      </c>
      <c r="K326" s="14">
        <v>0.06</v>
      </c>
      <c r="L326" s="14">
        <v>0.06</v>
      </c>
      <c r="O326"/>
      <c r="P326"/>
    </row>
    <row r="327" spans="2:16" hidden="1" outlineLevel="1" x14ac:dyDescent="0.35">
      <c r="B327" s="11" t="s">
        <v>318</v>
      </c>
      <c r="D327" s="12"/>
      <c r="E327" s="13">
        <f t="shared" ref="E327:G327" si="129">E51</f>
        <v>7.355485772878749E-2</v>
      </c>
      <c r="F327" s="13">
        <f t="shared" si="129"/>
        <v>0.10707164908669925</v>
      </c>
      <c r="G327" s="13">
        <f t="shared" si="129"/>
        <v>9.7752463054187194E-2</v>
      </c>
      <c r="H327" s="14">
        <v>0.08</v>
      </c>
      <c r="I327" s="14">
        <v>7.0000000000000007E-2</v>
      </c>
      <c r="J327" s="14">
        <v>7.0000000000000007E-2</v>
      </c>
      <c r="K327" s="14">
        <v>7.0000000000000007E-2</v>
      </c>
      <c r="L327" s="14">
        <v>7.0000000000000007E-2</v>
      </c>
      <c r="O327"/>
      <c r="P327"/>
    </row>
    <row r="328" spans="2:16" hidden="1" outlineLevel="1" x14ac:dyDescent="0.35">
      <c r="B328" s="11" t="s">
        <v>319</v>
      </c>
      <c r="D328" s="12"/>
      <c r="E328" s="13">
        <f t="shared" ref="E328:G328" si="130">E52</f>
        <v>9.366382351054961E-2</v>
      </c>
      <c r="F328" s="13">
        <f t="shared" si="130"/>
        <v>8.1826585320761688E-2</v>
      </c>
      <c r="G328" s="13">
        <f t="shared" si="130"/>
        <v>6.9304273137212796E-2</v>
      </c>
      <c r="H328" s="14">
        <v>0.06</v>
      </c>
      <c r="I328" s="14">
        <v>0.06</v>
      </c>
      <c r="J328" s="14">
        <v>0.06</v>
      </c>
      <c r="K328" s="14">
        <v>0.06</v>
      </c>
      <c r="L328" s="14">
        <v>0.06</v>
      </c>
      <c r="O328"/>
      <c r="P328"/>
    </row>
    <row r="329" spans="2:16" hidden="1" outlineLevel="1" x14ac:dyDescent="0.35">
      <c r="B329" s="11" t="s">
        <v>320</v>
      </c>
      <c r="D329" s="12"/>
      <c r="E329" s="13">
        <f t="shared" ref="E329:G329" si="131">E53</f>
        <v>0.41626623954440289</v>
      </c>
      <c r="F329" s="13">
        <f t="shared" si="131"/>
        <v>0.43877551020408162</v>
      </c>
      <c r="G329" s="13">
        <f t="shared" si="131"/>
        <v>0.41406720462483437</v>
      </c>
      <c r="H329" s="14">
        <v>0.38</v>
      </c>
      <c r="I329" s="14">
        <v>0.37</v>
      </c>
      <c r="J329" s="14">
        <v>0.37</v>
      </c>
      <c r="K329" s="14">
        <v>0.37</v>
      </c>
      <c r="L329" s="14">
        <v>0.37</v>
      </c>
      <c r="O329"/>
      <c r="P329"/>
    </row>
    <row r="330" spans="2:16" hidden="1" outlineLevel="1" x14ac:dyDescent="0.35">
      <c r="B330" s="11" t="s">
        <v>121</v>
      </c>
      <c r="D330" s="12"/>
      <c r="E330" s="13">
        <f t="shared" ref="E330:G330" si="132">E54</f>
        <v>4.2072224270853879E-2</v>
      </c>
      <c r="F330" s="13">
        <f t="shared" si="132"/>
        <v>4.7212050229055169E-2</v>
      </c>
      <c r="G330" s="13">
        <f t="shared" si="132"/>
        <v>3.6923787697339228E-2</v>
      </c>
      <c r="H330" s="14">
        <v>0.03</v>
      </c>
      <c r="I330" s="14">
        <v>2.5000000000000001E-2</v>
      </c>
      <c r="J330" s="14">
        <v>2.5000000000000001E-2</v>
      </c>
      <c r="K330" s="14">
        <v>2.5000000000000001E-2</v>
      </c>
      <c r="L330" s="14">
        <v>2.5000000000000001E-2</v>
      </c>
      <c r="O330"/>
      <c r="P330"/>
    </row>
    <row r="331" spans="2:16" hidden="1" outlineLevel="1" x14ac:dyDescent="0.35">
      <c r="D331" s="12"/>
      <c r="O331"/>
      <c r="P331"/>
    </row>
    <row r="332" spans="2:16" hidden="1" outlineLevel="1" x14ac:dyDescent="0.35">
      <c r="B332" s="8" t="s">
        <v>10</v>
      </c>
      <c r="D332" s="12"/>
      <c r="O332"/>
      <c r="P332"/>
    </row>
    <row r="333" spans="2:16" hidden="1" outlineLevel="1" x14ac:dyDescent="0.35">
      <c r="B333" s="11" t="s">
        <v>39</v>
      </c>
      <c r="D333" s="12"/>
      <c r="E333" s="13">
        <f t="shared" ref="E333:G342" si="133">E57</f>
        <v>0</v>
      </c>
      <c r="F333" s="13">
        <f t="shared" si="133"/>
        <v>0</v>
      </c>
      <c r="G333" s="13">
        <f t="shared" si="133"/>
        <v>0</v>
      </c>
      <c r="H333" s="14">
        <v>1.2E-2</v>
      </c>
      <c r="I333" s="14">
        <v>1.2E-2</v>
      </c>
      <c r="J333" s="14">
        <v>1.2E-2</v>
      </c>
      <c r="K333" s="14">
        <v>1.2E-2</v>
      </c>
      <c r="L333" s="14">
        <v>1.2E-2</v>
      </c>
      <c r="O333"/>
      <c r="P333"/>
    </row>
    <row r="334" spans="2:16" hidden="1" outlineLevel="1" x14ac:dyDescent="0.35">
      <c r="B334" s="11" t="s">
        <v>345</v>
      </c>
      <c r="D334" s="12"/>
      <c r="E334" s="13">
        <f t="shared" si="133"/>
        <v>0.10283940347657557</v>
      </c>
      <c r="F334" s="13">
        <f t="shared" si="133"/>
        <v>0.10397918488977183</v>
      </c>
      <c r="G334" s="13">
        <f t="shared" si="133"/>
        <v>0.10145834979726567</v>
      </c>
      <c r="H334" s="14">
        <v>0.108</v>
      </c>
      <c r="I334" s="14">
        <v>0.108</v>
      </c>
      <c r="J334" s="14">
        <v>0.108</v>
      </c>
      <c r="K334" s="14">
        <v>0.108</v>
      </c>
      <c r="L334" s="14">
        <v>0.108</v>
      </c>
      <c r="O334"/>
      <c r="P334"/>
    </row>
    <row r="335" spans="2:16" hidden="1" outlineLevel="1" x14ac:dyDescent="0.35">
      <c r="B335" s="11" t="s">
        <v>372</v>
      </c>
      <c r="D335" s="12"/>
      <c r="E335" s="13">
        <f t="shared" si="133"/>
        <v>-0.11402199937541206</v>
      </c>
      <c r="F335" s="13">
        <f t="shared" si="133"/>
        <v>2.7620814708610949E-3</v>
      </c>
      <c r="G335" s="13">
        <f t="shared" si="133"/>
        <v>-6.7050648854421691E-2</v>
      </c>
      <c r="H335" s="14">
        <v>-0.08</v>
      </c>
      <c r="I335" s="14">
        <v>-0.08</v>
      </c>
      <c r="J335" s="14">
        <v>-0.08</v>
      </c>
      <c r="K335" s="14">
        <v>-0.08</v>
      </c>
      <c r="L335" s="14">
        <v>-0.08</v>
      </c>
      <c r="O335"/>
      <c r="P335"/>
    </row>
    <row r="336" spans="2:16" hidden="1" outlineLevel="1" x14ac:dyDescent="0.35">
      <c r="B336" s="11" t="s">
        <v>376</v>
      </c>
      <c r="D336" s="12"/>
      <c r="E336" s="13">
        <f t="shared" si="133"/>
        <v>3.5535760061522689E-2</v>
      </c>
      <c r="F336" s="13">
        <f t="shared" si="133"/>
        <v>3.9104708001029075E-2</v>
      </c>
      <c r="G336" s="13">
        <f t="shared" si="133"/>
        <v>5.8959359605911333E-3</v>
      </c>
      <c r="H336" s="14">
        <v>2.5000000000000001E-2</v>
      </c>
      <c r="I336" s="14">
        <v>2.5000000000000001E-2</v>
      </c>
      <c r="J336" s="14">
        <v>2.5000000000000001E-2</v>
      </c>
      <c r="K336" s="14">
        <v>2.5000000000000001E-2</v>
      </c>
      <c r="L336" s="14">
        <v>2.5000000000000001E-2</v>
      </c>
      <c r="O336"/>
      <c r="P336"/>
    </row>
    <row r="337" spans="2:16" hidden="1" outlineLevel="1" x14ac:dyDescent="0.35">
      <c r="B337" s="11" t="s">
        <v>237</v>
      </c>
      <c r="D337" s="12"/>
      <c r="E337" s="21">
        <f t="shared" si="133"/>
        <v>1341</v>
      </c>
      <c r="F337" s="21">
        <f t="shared" si="133"/>
        <v>-224</v>
      </c>
      <c r="G337" s="21">
        <f t="shared" si="133"/>
        <v>0</v>
      </c>
      <c r="H337" s="22">
        <v>500</v>
      </c>
      <c r="I337" s="22">
        <v>500</v>
      </c>
      <c r="J337" s="22">
        <v>500</v>
      </c>
      <c r="K337" s="22">
        <v>500</v>
      </c>
      <c r="L337" s="22">
        <v>500</v>
      </c>
      <c r="O337"/>
      <c r="P337"/>
    </row>
    <row r="338" spans="2:16" hidden="1" outlineLevel="1" x14ac:dyDescent="0.35">
      <c r="B338" s="11" t="s">
        <v>54</v>
      </c>
      <c r="D338" s="12"/>
      <c r="E338" s="21">
        <f t="shared" si="133"/>
        <v>641</v>
      </c>
      <c r="F338" s="21">
        <f t="shared" si="133"/>
        <v>635</v>
      </c>
      <c r="G338" s="21">
        <f t="shared" si="133"/>
        <v>87</v>
      </c>
      <c r="H338" s="22">
        <v>454</v>
      </c>
      <c r="I338" s="22">
        <v>454</v>
      </c>
      <c r="J338" s="22">
        <v>454</v>
      </c>
      <c r="K338" s="22">
        <v>454</v>
      </c>
      <c r="L338" s="22">
        <v>454</v>
      </c>
      <c r="O338"/>
      <c r="P338"/>
    </row>
    <row r="339" spans="2:16" hidden="1" outlineLevel="1" x14ac:dyDescent="0.35">
      <c r="B339" s="11" t="s">
        <v>329</v>
      </c>
      <c r="D339" s="12"/>
      <c r="E339" s="13">
        <f t="shared" si="133"/>
        <v>1.3892581190131123E-3</v>
      </c>
      <c r="F339" s="13">
        <f t="shared" si="133"/>
        <v>4.1437487954218621E-3</v>
      </c>
      <c r="G339" s="13">
        <f t="shared" si="133"/>
        <v>-4.2431353000893608E-3</v>
      </c>
      <c r="H339" s="14">
        <v>-2E-3</v>
      </c>
      <c r="I339" s="14">
        <v>-2E-3</v>
      </c>
      <c r="J339" s="14">
        <v>-2E-3</v>
      </c>
      <c r="K339" s="14">
        <v>-2E-3</v>
      </c>
      <c r="L339" s="14">
        <v>-2E-3</v>
      </c>
      <c r="O339"/>
      <c r="P339"/>
    </row>
    <row r="340" spans="2:16" hidden="1" outlineLevel="1" x14ac:dyDescent="0.35">
      <c r="B340" s="11" t="s">
        <v>339</v>
      </c>
      <c r="D340" s="12"/>
      <c r="E340" s="13">
        <f t="shared" si="133"/>
        <v>9.0902074453944374E-4</v>
      </c>
      <c r="F340" s="13">
        <f t="shared" si="133"/>
        <v>5.9302308342352224E-4</v>
      </c>
      <c r="G340" s="13">
        <f t="shared" si="133"/>
        <v>1.6413274083440222E-3</v>
      </c>
      <c r="H340" s="14">
        <v>1.5E-3</v>
      </c>
      <c r="I340" s="14">
        <v>1.5E-3</v>
      </c>
      <c r="J340" s="14">
        <v>1.5E-3</v>
      </c>
      <c r="K340" s="14">
        <v>1.5E-3</v>
      </c>
      <c r="L340" s="14">
        <v>1.5E-3</v>
      </c>
      <c r="O340"/>
      <c r="P340"/>
    </row>
    <row r="341" spans="2:16" hidden="1" outlineLevel="1" x14ac:dyDescent="0.35">
      <c r="B341" s="11" t="s">
        <v>241</v>
      </c>
      <c r="D341" s="12"/>
      <c r="E341" s="13">
        <f t="shared" si="133"/>
        <v>6.8892591643168424E-2</v>
      </c>
      <c r="F341" s="13">
        <f t="shared" si="133"/>
        <v>8.1698610753794698E-2</v>
      </c>
      <c r="G341" s="13">
        <f t="shared" si="133"/>
        <v>4.9722906403940883E-3</v>
      </c>
      <c r="H341" s="14">
        <v>7.4999999999999997E-2</v>
      </c>
      <c r="I341" s="14">
        <v>7.4999999999999997E-2</v>
      </c>
      <c r="J341" s="14">
        <v>7.4999999999999997E-2</v>
      </c>
      <c r="K341" s="14">
        <v>7.4999999999999997E-2</v>
      </c>
      <c r="L341" s="14">
        <v>7.4999999999999997E-2</v>
      </c>
      <c r="O341"/>
      <c r="P341"/>
    </row>
    <row r="342" spans="2:16" hidden="1" outlineLevel="1" x14ac:dyDescent="0.35">
      <c r="B342" s="11" t="s">
        <v>340</v>
      </c>
      <c r="D342" s="12"/>
      <c r="E342" s="13">
        <f t="shared" si="133"/>
        <v>7.5980413175655397E-3</v>
      </c>
      <c r="F342" s="13">
        <f t="shared" si="133"/>
        <v>4.6255800507034733E-3</v>
      </c>
      <c r="G342" s="13">
        <f t="shared" si="133"/>
        <v>1.7051568075574008E-2</v>
      </c>
      <c r="H342" s="14">
        <v>1.4E-2</v>
      </c>
      <c r="I342" s="14">
        <v>1.4E-2</v>
      </c>
      <c r="J342" s="14">
        <v>1.4E-2</v>
      </c>
      <c r="K342" s="14">
        <v>1.4E-2</v>
      </c>
      <c r="L342" s="14">
        <v>1.4E-2</v>
      </c>
      <c r="O342"/>
      <c r="P342"/>
    </row>
    <row r="343" spans="2:16" hidden="1" outlineLevel="1" x14ac:dyDescent="0.35">
      <c r="B343" s="12"/>
      <c r="C343" s="12"/>
      <c r="D343" s="12"/>
      <c r="E343" s="12"/>
      <c r="F343" s="12"/>
      <c r="G343" s="12"/>
      <c r="H343" s="12"/>
      <c r="I343" s="12"/>
      <c r="J343" s="12"/>
      <c r="K343" s="12"/>
      <c r="L343" s="12"/>
      <c r="O343"/>
      <c r="P343"/>
    </row>
    <row r="344" spans="2:16" hidden="1" outlineLevel="1" x14ac:dyDescent="0.35">
      <c r="B344" s="11" t="s">
        <v>282</v>
      </c>
      <c r="D344" s="12"/>
      <c r="E344" s="13">
        <f t="shared" ref="E344:G348" si="134">E68</f>
        <v>0.26744076357742541</v>
      </c>
      <c r="F344" s="13">
        <f t="shared" si="134"/>
        <v>0.20047886613986449</v>
      </c>
      <c r="G344" s="13">
        <f t="shared" si="134"/>
        <v>0.22647886638986997</v>
      </c>
      <c r="H344" s="14">
        <v>0.20499999999999999</v>
      </c>
      <c r="I344" s="14">
        <v>0.20499999999999999</v>
      </c>
      <c r="J344" s="14">
        <v>0.20499999999999999</v>
      </c>
      <c r="K344" s="14">
        <v>0.20499999999999999</v>
      </c>
      <c r="L344" s="14">
        <v>0.20499999999999999</v>
      </c>
      <c r="O344"/>
      <c r="P344"/>
    </row>
    <row r="345" spans="2:16" hidden="1" outlineLevel="1" x14ac:dyDescent="0.35">
      <c r="B345" s="11" t="s">
        <v>55</v>
      </c>
      <c r="D345" s="12"/>
      <c r="E345" s="13">
        <f t="shared" si="134"/>
        <v>8.2549374405063075E-2</v>
      </c>
      <c r="F345" s="13">
        <f t="shared" si="134"/>
        <v>2.2104935434611794E-2</v>
      </c>
      <c r="G345" s="13">
        <f t="shared" si="134"/>
        <v>0.1552695728293445</v>
      </c>
      <c r="H345" s="14">
        <v>0.15</v>
      </c>
      <c r="I345" s="14">
        <v>0.15</v>
      </c>
      <c r="J345" s="14">
        <v>0.15</v>
      </c>
      <c r="K345" s="14">
        <v>0.15</v>
      </c>
      <c r="L345" s="14">
        <v>0.15</v>
      </c>
      <c r="O345"/>
      <c r="P345"/>
    </row>
    <row r="346" spans="2:16" hidden="1" outlineLevel="1" x14ac:dyDescent="0.35">
      <c r="B346" s="11" t="s">
        <v>244</v>
      </c>
      <c r="D346" s="12"/>
      <c r="E346" s="13">
        <f t="shared" si="134"/>
        <v>0.11283863166650944</v>
      </c>
      <c r="F346" s="13">
        <f t="shared" si="134"/>
        <v>4.5840684348638271E-2</v>
      </c>
      <c r="G346" s="13">
        <f t="shared" si="134"/>
        <v>9.5981179445717657E-2</v>
      </c>
      <c r="H346" s="14">
        <v>0.05</v>
      </c>
      <c r="I346" s="14">
        <v>0.05</v>
      </c>
      <c r="J346" s="14">
        <v>0.05</v>
      </c>
      <c r="K346" s="14">
        <v>0.05</v>
      </c>
      <c r="L346" s="14">
        <v>0.05</v>
      </c>
      <c r="O346"/>
      <c r="P346"/>
    </row>
    <row r="347" spans="2:16" hidden="1" outlineLevel="1" x14ac:dyDescent="0.35">
      <c r="B347" s="11" t="s">
        <v>245</v>
      </c>
      <c r="D347" s="12"/>
      <c r="E347" s="13">
        <f t="shared" si="134"/>
        <v>1.1251275630525946E-2</v>
      </c>
      <c r="F347" s="13">
        <f t="shared" si="134"/>
        <v>4.662643993417444E-3</v>
      </c>
      <c r="G347" s="13">
        <f t="shared" si="134"/>
        <v>1.6413274083440222E-3</v>
      </c>
      <c r="H347" s="14">
        <v>3.0000000000000001E-3</v>
      </c>
      <c r="I347" s="14">
        <v>3.0000000000000001E-3</v>
      </c>
      <c r="J347" s="14">
        <v>3.0000000000000001E-3</v>
      </c>
      <c r="K347" s="14">
        <v>3.0000000000000001E-3</v>
      </c>
      <c r="L347" s="14">
        <v>3.0000000000000001E-3</v>
      </c>
      <c r="O347"/>
      <c r="P347"/>
    </row>
    <row r="348" spans="2:16" hidden="1" outlineLevel="1" x14ac:dyDescent="0.35">
      <c r="B348" s="11" t="s">
        <v>246</v>
      </c>
      <c r="D348" s="12"/>
      <c r="E348" s="21">
        <f t="shared" si="134"/>
        <v>-4</v>
      </c>
      <c r="F348" s="21">
        <f t="shared" si="134"/>
        <v>-23</v>
      </c>
      <c r="G348" s="21">
        <f t="shared" si="134"/>
        <v>129</v>
      </c>
      <c r="H348" s="22">
        <v>0</v>
      </c>
      <c r="I348" s="22">
        <v>0</v>
      </c>
      <c r="J348" s="22">
        <v>0</v>
      </c>
      <c r="K348" s="22">
        <v>0</v>
      </c>
      <c r="L348" s="22">
        <v>0</v>
      </c>
      <c r="O348"/>
      <c r="P348"/>
    </row>
    <row r="349" spans="2:16" hidden="1" outlineLevel="1" x14ac:dyDescent="0.35">
      <c r="B349" s="11"/>
      <c r="D349" s="12"/>
      <c r="E349" s="22"/>
      <c r="F349" s="22"/>
      <c r="G349" s="22"/>
      <c r="H349" s="22"/>
      <c r="I349" s="22"/>
      <c r="J349" s="22"/>
      <c r="K349" s="22"/>
      <c r="L349" s="22"/>
      <c r="O349"/>
      <c r="P349"/>
    </row>
    <row r="350" spans="2:16" hidden="1" outlineLevel="1" x14ac:dyDescent="0.35">
      <c r="B350" s="11" t="s">
        <v>377</v>
      </c>
      <c r="D350" s="12"/>
      <c r="E350" s="13">
        <f t="shared" ref="E350:G351" si="135">E74</f>
        <v>0.29978318879252835</v>
      </c>
      <c r="F350" s="13">
        <f t="shared" si="135"/>
        <v>0.49989306337777145</v>
      </c>
      <c r="G350" s="13">
        <f t="shared" si="135"/>
        <v>0.82504493708807669</v>
      </c>
      <c r="H350" s="14">
        <v>0.85</v>
      </c>
      <c r="I350" s="14">
        <v>0.85</v>
      </c>
      <c r="J350" s="14">
        <v>0.85</v>
      </c>
      <c r="K350" s="14">
        <v>0.85</v>
      </c>
      <c r="L350" s="14">
        <v>0.85</v>
      </c>
      <c r="O350"/>
      <c r="P350"/>
    </row>
    <row r="351" spans="2:16" hidden="1" outlineLevel="1" x14ac:dyDescent="0.35">
      <c r="B351" s="11" t="s">
        <v>248</v>
      </c>
      <c r="D351" s="12"/>
      <c r="E351" s="13">
        <f t="shared" si="135"/>
        <v>0.23974135787117631</v>
      </c>
      <c r="F351" s="13">
        <f t="shared" si="135"/>
        <v>0.14658048064520912</v>
      </c>
      <c r="G351" s="13">
        <f t="shared" si="135"/>
        <v>0.18312958583838396</v>
      </c>
      <c r="H351" s="14">
        <v>0.12</v>
      </c>
      <c r="I351" s="14">
        <v>0.12</v>
      </c>
      <c r="J351" s="14">
        <v>0.12</v>
      </c>
      <c r="K351" s="14">
        <v>0.12</v>
      </c>
      <c r="L351" s="14">
        <v>0.12</v>
      </c>
      <c r="O351"/>
      <c r="P351"/>
    </row>
    <row r="352" spans="2:16" hidden="1" outlineLevel="1" x14ac:dyDescent="0.35">
      <c r="B352" s="11" t="s">
        <v>56</v>
      </c>
      <c r="D352" s="12"/>
      <c r="E352" s="21">
        <f>E172</f>
        <v>0</v>
      </c>
      <c r="F352" s="21">
        <f>F172</f>
        <v>0</v>
      </c>
      <c r="G352" s="21">
        <f>G172</f>
        <v>-5072</v>
      </c>
      <c r="H352" s="22">
        <v>-4000</v>
      </c>
      <c r="I352" s="22">
        <v>-4000</v>
      </c>
      <c r="J352" s="22">
        <v>-4000</v>
      </c>
      <c r="K352" s="22">
        <v>-4000</v>
      </c>
      <c r="L352" s="22">
        <v>-4000</v>
      </c>
      <c r="O352"/>
      <c r="P352"/>
    </row>
    <row r="353" spans="2:16" hidden="1" outlineLevel="1" x14ac:dyDescent="0.35">
      <c r="B353" s="11" t="s">
        <v>249</v>
      </c>
      <c r="D353" s="12"/>
      <c r="E353" s="13"/>
      <c r="F353" s="13"/>
      <c r="G353" s="13"/>
      <c r="H353" s="14">
        <v>0.35</v>
      </c>
      <c r="I353" s="14">
        <v>0.35</v>
      </c>
      <c r="J353" s="14">
        <v>0.35</v>
      </c>
      <c r="K353" s="14">
        <v>0.35</v>
      </c>
      <c r="L353" s="14">
        <v>0.35</v>
      </c>
      <c r="O353"/>
      <c r="P353"/>
    </row>
    <row r="354" spans="2:16" hidden="1" outlineLevel="1" x14ac:dyDescent="0.35">
      <c r="B354" s="11" t="s">
        <v>250</v>
      </c>
      <c r="D354" s="12"/>
      <c r="E354" s="13">
        <f t="shared" ref="E354:G355" si="136">E78</f>
        <v>-0.25350432448553534</v>
      </c>
      <c r="F354" s="13">
        <f t="shared" si="136"/>
        <v>-0.25280764635603348</v>
      </c>
      <c r="G354" s="13">
        <f t="shared" si="136"/>
        <v>-0.36571322436849923</v>
      </c>
      <c r="H354" s="14">
        <v>-0.38</v>
      </c>
      <c r="I354" s="14">
        <v>-0.38</v>
      </c>
      <c r="J354" s="14">
        <v>-0.38</v>
      </c>
      <c r="K354" s="14">
        <v>-0.38</v>
      </c>
      <c r="L354" s="14">
        <v>-0.38</v>
      </c>
      <c r="O354"/>
      <c r="P354"/>
    </row>
    <row r="355" spans="2:16" hidden="1" outlineLevel="1" x14ac:dyDescent="0.35">
      <c r="B355" s="11" t="s">
        <v>251</v>
      </c>
      <c r="D355" s="12"/>
      <c r="E355" s="21">
        <f t="shared" si="136"/>
        <v>344</v>
      </c>
      <c r="F355" s="21">
        <f t="shared" si="136"/>
        <v>-111</v>
      </c>
      <c r="G355" s="21">
        <f t="shared" si="136"/>
        <v>-277</v>
      </c>
      <c r="H355" s="22">
        <v>-300</v>
      </c>
      <c r="I355" s="22">
        <v>-300</v>
      </c>
      <c r="J355" s="22">
        <v>-300</v>
      </c>
      <c r="K355" s="22">
        <v>-300</v>
      </c>
      <c r="L355" s="22">
        <v>-300</v>
      </c>
      <c r="O355"/>
      <c r="P355"/>
    </row>
    <row r="356" spans="2:16" hidden="1" outlineLevel="1" x14ac:dyDescent="0.35">
      <c r="B356" s="11"/>
      <c r="D356" s="12"/>
      <c r="E356" s="12"/>
      <c r="F356" s="12"/>
      <c r="G356" s="12"/>
      <c r="H356" s="14"/>
      <c r="I356" s="14"/>
      <c r="J356" s="14"/>
      <c r="K356" s="14"/>
      <c r="L356" s="14"/>
      <c r="O356"/>
      <c r="P356"/>
    </row>
    <row r="357" spans="2:16" hidden="1" outlineLevel="1" x14ac:dyDescent="0.35">
      <c r="B357" s="27" t="s">
        <v>252</v>
      </c>
      <c r="D357" s="12"/>
      <c r="E357" s="21">
        <f>E81</f>
        <v>-638</v>
      </c>
      <c r="F357" s="21">
        <f>F81</f>
        <v>113</v>
      </c>
      <c r="G357" s="21">
        <f>G81</f>
        <v>-786</v>
      </c>
      <c r="H357" s="22">
        <v>-700</v>
      </c>
      <c r="I357" s="22">
        <v>-700</v>
      </c>
      <c r="J357" s="22">
        <v>-700</v>
      </c>
      <c r="K357" s="22">
        <v>-700</v>
      </c>
      <c r="L357" s="22">
        <v>-700</v>
      </c>
      <c r="O357"/>
      <c r="P357"/>
    </row>
    <row r="358" spans="2:16" hidden="1" outlineLevel="1" x14ac:dyDescent="0.35">
      <c r="B358" s="11"/>
      <c r="D358" s="12"/>
      <c r="E358" s="12"/>
      <c r="F358" s="12"/>
      <c r="G358" s="12"/>
      <c r="H358" s="14"/>
      <c r="I358" s="14"/>
      <c r="J358" s="14"/>
      <c r="K358" s="14"/>
      <c r="L358" s="14"/>
      <c r="O358"/>
      <c r="P358"/>
    </row>
    <row r="359" spans="2:16" hidden="1" outlineLevel="1" x14ac:dyDescent="0.35">
      <c r="B359" s="8" t="s">
        <v>362</v>
      </c>
      <c r="D359" s="12"/>
      <c r="E359" s="12"/>
      <c r="F359" s="12"/>
      <c r="G359" s="12"/>
      <c r="H359" s="14"/>
      <c r="I359" s="14"/>
      <c r="J359" s="14"/>
      <c r="K359" s="14"/>
      <c r="L359" s="14"/>
      <c r="O359"/>
      <c r="P359"/>
    </row>
    <row r="360" spans="2:16" hidden="1" outlineLevel="1" x14ac:dyDescent="0.35">
      <c r="B360" s="28" t="s">
        <v>366</v>
      </c>
      <c r="D360" s="12"/>
      <c r="E360" s="25">
        <f t="shared" ref="E360:G361" si="137">E84</f>
        <v>1.667778519012675E-3</v>
      </c>
      <c r="F360" s="25">
        <f t="shared" si="137"/>
        <v>1.8535681186283596E-3</v>
      </c>
      <c r="G360" s="25">
        <f t="shared" si="137"/>
        <v>1.6177351707609346E-3</v>
      </c>
      <c r="H360" s="26">
        <v>3.0000000000000001E-3</v>
      </c>
      <c r="I360" s="26">
        <v>3.0000000000000001E-3</v>
      </c>
      <c r="J360" s="26">
        <v>3.0000000000000001E-3</v>
      </c>
      <c r="K360" s="26">
        <v>3.0000000000000001E-3</v>
      </c>
      <c r="L360" s="26">
        <v>3.0000000000000001E-3</v>
      </c>
      <c r="O360"/>
      <c r="P360"/>
    </row>
    <row r="361" spans="2:16" hidden="1" outlineLevel="1" x14ac:dyDescent="0.35">
      <c r="B361" s="28" t="s">
        <v>367</v>
      </c>
      <c r="D361" s="12"/>
      <c r="E361" s="25">
        <f t="shared" si="137"/>
        <v>1.3806824516117966E-3</v>
      </c>
      <c r="F361" s="25">
        <f t="shared" si="137"/>
        <v>6.819765459370506E-4</v>
      </c>
      <c r="G361" s="25">
        <f t="shared" si="137"/>
        <v>3.9513437608282016E-4</v>
      </c>
      <c r="H361" s="26">
        <v>4.0000000000000002E-4</v>
      </c>
      <c r="I361" s="26">
        <v>4.0000000000000002E-4</v>
      </c>
      <c r="J361" s="26">
        <v>4.0000000000000002E-4</v>
      </c>
      <c r="K361" s="26">
        <v>4.0000000000000002E-4</v>
      </c>
      <c r="L361" s="26">
        <v>4.0000000000000002E-4</v>
      </c>
      <c r="O361"/>
      <c r="P361"/>
    </row>
    <row r="362" spans="2:16" hidden="1" outlineLevel="1" x14ac:dyDescent="0.35">
      <c r="B362" s="11"/>
      <c r="D362" s="12"/>
      <c r="E362" s="12"/>
      <c r="F362" s="12"/>
      <c r="G362" s="12"/>
      <c r="H362" s="14"/>
      <c r="I362" s="14"/>
      <c r="J362" s="14"/>
      <c r="K362" s="14"/>
      <c r="L362" s="14"/>
      <c r="O362"/>
      <c r="P362"/>
    </row>
    <row r="363" spans="2:16" hidden="1" outlineLevel="1" x14ac:dyDescent="0.35">
      <c r="B363" s="8" t="s">
        <v>52</v>
      </c>
      <c r="D363" s="12"/>
      <c r="E363" s="12"/>
      <c r="F363" s="12"/>
      <c r="G363" s="12"/>
      <c r="H363" s="14"/>
      <c r="I363" s="14"/>
      <c r="J363" s="14"/>
      <c r="K363" s="14"/>
      <c r="L363" s="14"/>
      <c r="O363"/>
      <c r="P363"/>
    </row>
    <row r="364" spans="2:16" hidden="1" outlineLevel="1" x14ac:dyDescent="0.35">
      <c r="B364" s="28" t="s">
        <v>366</v>
      </c>
      <c r="D364" s="12"/>
      <c r="E364" s="13">
        <f t="shared" ref="E364:G366" si="138">E88</f>
        <v>1.9679786524349565E-2</v>
      </c>
      <c r="F364" s="13">
        <f t="shared" si="138"/>
        <v>0.1278962001853568</v>
      </c>
      <c r="G364" s="13">
        <f t="shared" si="138"/>
        <v>0.42234871180347511</v>
      </c>
      <c r="H364" s="14">
        <v>0.47</v>
      </c>
      <c r="I364" s="14">
        <v>0.55000000000000004</v>
      </c>
      <c r="J364" s="14">
        <v>0.55000000000000004</v>
      </c>
      <c r="K364" s="14">
        <v>0.6</v>
      </c>
      <c r="L364" s="14">
        <v>0.6</v>
      </c>
      <c r="O364"/>
      <c r="P364"/>
    </row>
    <row r="365" spans="2:16" hidden="1" outlineLevel="1" x14ac:dyDescent="0.35">
      <c r="B365" s="28" t="s">
        <v>367</v>
      </c>
      <c r="D365" s="12"/>
      <c r="E365" s="13">
        <f t="shared" si="138"/>
        <v>0.23948408784913686</v>
      </c>
      <c r="F365" s="13">
        <f t="shared" si="138"/>
        <v>0.14850039287779276</v>
      </c>
      <c r="G365" s="13">
        <f t="shared" si="138"/>
        <v>0.18087428039951126</v>
      </c>
      <c r="H365" s="14">
        <v>0.2</v>
      </c>
      <c r="I365" s="14">
        <v>0.22</v>
      </c>
      <c r="J365" s="14">
        <v>0.22</v>
      </c>
      <c r="K365" s="14">
        <v>0.22</v>
      </c>
      <c r="L365" s="14">
        <v>0.22</v>
      </c>
      <c r="O365"/>
      <c r="P365"/>
    </row>
    <row r="366" spans="2:16" hidden="1" outlineLevel="1" x14ac:dyDescent="0.35">
      <c r="B366" s="28" t="s">
        <v>370</v>
      </c>
      <c r="D366" s="12"/>
      <c r="E366" s="21">
        <f t="shared" si="138"/>
        <v>0</v>
      </c>
      <c r="F366" s="21">
        <f t="shared" si="138"/>
        <v>0</v>
      </c>
      <c r="G366" s="21">
        <f t="shared" si="138"/>
        <v>-5121</v>
      </c>
      <c r="H366" s="22">
        <v>-3000</v>
      </c>
      <c r="I366" s="22">
        <v>-3000</v>
      </c>
      <c r="J366" s="22">
        <v>-3000</v>
      </c>
      <c r="K366" s="22">
        <v>-3000</v>
      </c>
      <c r="L366" s="22">
        <v>-3000</v>
      </c>
      <c r="O366"/>
      <c r="P366"/>
    </row>
    <row r="367" spans="2:16" hidden="1" outlineLevel="1" x14ac:dyDescent="0.35">
      <c r="B367" s="11"/>
      <c r="D367" s="12"/>
      <c r="E367" s="12"/>
      <c r="F367" s="12"/>
      <c r="G367" s="12"/>
      <c r="H367" s="14"/>
      <c r="I367" s="14"/>
      <c r="J367" s="14"/>
      <c r="K367" s="14"/>
      <c r="L367" s="14"/>
      <c r="O367"/>
      <c r="P367"/>
    </row>
    <row r="368" spans="2:16" hidden="1" outlineLevel="1" x14ac:dyDescent="0.35">
      <c r="B368" s="8" t="s">
        <v>363</v>
      </c>
      <c r="D368" s="12"/>
      <c r="E368" s="12"/>
      <c r="F368" s="12"/>
      <c r="G368" s="12"/>
      <c r="H368" s="14"/>
      <c r="I368" s="14"/>
      <c r="J368" s="14"/>
      <c r="K368" s="14"/>
      <c r="L368" s="14"/>
      <c r="O368"/>
      <c r="P368"/>
    </row>
    <row r="369" spans="2:16" hidden="1" outlineLevel="1" x14ac:dyDescent="0.35">
      <c r="B369" s="28" t="s">
        <v>366</v>
      </c>
      <c r="D369" s="12"/>
      <c r="E369" s="13">
        <f t="shared" ref="E369:G370" si="139">E93</f>
        <v>0.28010340226817876</v>
      </c>
      <c r="F369" s="13">
        <f t="shared" si="139"/>
        <v>0.37199686319241465</v>
      </c>
      <c r="G369" s="13">
        <f t="shared" si="139"/>
        <v>0.40269622528460158</v>
      </c>
      <c r="H369" s="14">
        <v>0.47</v>
      </c>
      <c r="I369" s="14">
        <v>0.55000000000000004</v>
      </c>
      <c r="J369" s="14">
        <v>0.55000000000000004</v>
      </c>
      <c r="K369" s="14">
        <v>0.6</v>
      </c>
      <c r="L369" s="14">
        <v>0.6</v>
      </c>
      <c r="O369"/>
      <c r="P369"/>
    </row>
    <row r="370" spans="2:16" hidden="1" outlineLevel="1" x14ac:dyDescent="0.35">
      <c r="B370" s="28" t="s">
        <v>54</v>
      </c>
      <c r="D370" s="12"/>
      <c r="E370" s="21">
        <f t="shared" si="139"/>
        <v>0</v>
      </c>
      <c r="F370" s="21">
        <f t="shared" si="139"/>
        <v>0</v>
      </c>
      <c r="G370" s="21">
        <f t="shared" si="139"/>
        <v>6</v>
      </c>
      <c r="H370" s="22">
        <v>6</v>
      </c>
      <c r="I370" s="22">
        <v>10</v>
      </c>
      <c r="J370" s="22">
        <v>10</v>
      </c>
      <c r="K370" s="22">
        <v>10</v>
      </c>
      <c r="L370" s="22">
        <v>10</v>
      </c>
      <c r="O370"/>
      <c r="P370"/>
    </row>
    <row r="371" spans="2:16" hidden="1" outlineLevel="1" x14ac:dyDescent="0.35">
      <c r="B371" s="11"/>
      <c r="D371" s="12"/>
      <c r="E371" s="12"/>
      <c r="F371" s="12"/>
      <c r="G371" s="12"/>
      <c r="H371" s="14"/>
      <c r="I371" s="14"/>
      <c r="J371" s="14"/>
      <c r="K371" s="14"/>
      <c r="L371" s="14"/>
      <c r="O371"/>
      <c r="P371"/>
    </row>
    <row r="372" spans="2:16" hidden="1" outlineLevel="1" x14ac:dyDescent="0.35">
      <c r="B372" s="8" t="s">
        <v>368</v>
      </c>
      <c r="D372" s="12"/>
      <c r="E372" s="12"/>
      <c r="F372" s="12"/>
      <c r="G372" s="12"/>
      <c r="H372" s="14"/>
      <c r="I372" s="14"/>
      <c r="J372" s="14"/>
      <c r="K372" s="14"/>
      <c r="L372" s="14"/>
      <c r="O372"/>
      <c r="P372"/>
    </row>
    <row r="373" spans="2:16" hidden="1" outlineLevel="1" x14ac:dyDescent="0.35">
      <c r="B373" s="28" t="s">
        <v>369</v>
      </c>
      <c r="D373" s="12"/>
      <c r="E373" s="13">
        <f>E97</f>
        <v>-2.4329168417532094E-2</v>
      </c>
      <c r="F373" s="13">
        <f>F97</f>
        <v>1.0192584246341788E-2</v>
      </c>
      <c r="G373" s="13">
        <f>G97</f>
        <v>-5.7264089580002552E-3</v>
      </c>
      <c r="H373" s="14">
        <v>-8.0000000000000002E-3</v>
      </c>
      <c r="I373" s="14">
        <v>-8.0000000000000002E-3</v>
      </c>
      <c r="J373" s="14">
        <v>-8.0000000000000002E-3</v>
      </c>
      <c r="K373" s="14">
        <v>-8.0000000000000002E-3</v>
      </c>
      <c r="L373" s="14">
        <v>-8.0000000000000002E-3</v>
      </c>
      <c r="O373"/>
      <c r="P373"/>
    </row>
    <row r="374" spans="2:16" collapsed="1" x14ac:dyDescent="0.3">
      <c r="O374"/>
      <c r="P374"/>
    </row>
    <row r="375" spans="2:16" ht="18.600000000000001" customHeight="1" x14ac:dyDescent="0.3">
      <c r="B375" s="186" t="s">
        <v>8</v>
      </c>
      <c r="C375" s="186"/>
      <c r="D375" s="186"/>
      <c r="E375" s="186"/>
      <c r="F375" s="186"/>
      <c r="G375" s="186"/>
      <c r="H375" s="186"/>
      <c r="I375" s="186"/>
      <c r="J375" s="186"/>
      <c r="K375" s="186"/>
      <c r="L375" s="186"/>
      <c r="O375"/>
      <c r="P375"/>
    </row>
    <row r="376" spans="2:16" hidden="1" outlineLevel="1" x14ac:dyDescent="0.3">
      <c r="O376"/>
      <c r="P376"/>
    </row>
    <row r="377" spans="2:16" ht="16.2" hidden="1" outlineLevel="1" thickBot="1" x14ac:dyDescent="0.35">
      <c r="B377" s="261" t="s">
        <v>74</v>
      </c>
      <c r="D377" s="4">
        <v>2021</v>
      </c>
      <c r="E377" s="4">
        <f>D377+1</f>
        <v>2022</v>
      </c>
      <c r="F377" s="4">
        <f t="shared" ref="F377:L377" si="140">E377+1</f>
        <v>2023</v>
      </c>
      <c r="G377" s="4">
        <f t="shared" si="140"/>
        <v>2024</v>
      </c>
      <c r="H377" s="5">
        <f t="shared" si="140"/>
        <v>2025</v>
      </c>
      <c r="I377" s="5">
        <f t="shared" si="140"/>
        <v>2026</v>
      </c>
      <c r="J377" s="5">
        <f t="shared" si="140"/>
        <v>2027</v>
      </c>
      <c r="K377" s="5">
        <f t="shared" si="140"/>
        <v>2028</v>
      </c>
      <c r="L377" s="5">
        <f t="shared" si="140"/>
        <v>2029</v>
      </c>
    </row>
    <row r="378" spans="2:16" hidden="1" outlineLevel="1" x14ac:dyDescent="0.3">
      <c r="E378" s="6"/>
    </row>
    <row r="379" spans="2:16" hidden="1" outlineLevel="1" x14ac:dyDescent="0.3">
      <c r="B379" s="11" t="s">
        <v>57</v>
      </c>
      <c r="C379" s="11"/>
      <c r="D379" s="22">
        <v>117929</v>
      </c>
      <c r="E379" s="22">
        <v>116609</v>
      </c>
      <c r="F379" s="22">
        <v>134902</v>
      </c>
      <c r="G379" s="22">
        <v>164501</v>
      </c>
      <c r="H379" s="29">
        <f>G379*(1+H12)</f>
        <v>189176.15</v>
      </c>
      <c r="I379" s="29">
        <f>H379*(1+I12)</f>
        <v>217552.57249999998</v>
      </c>
      <c r="J379" s="29">
        <f>I379*(1+J12)</f>
        <v>250185.45837499996</v>
      </c>
      <c r="K379" s="29">
        <f>J379*(1+K12)</f>
        <v>287713.27713124995</v>
      </c>
      <c r="L379" s="29">
        <f>K379*(1+L12)</f>
        <v>330870.26870093745</v>
      </c>
    </row>
    <row r="380" spans="2:16" hidden="1" outlineLevel="1" x14ac:dyDescent="0.35">
      <c r="B380" s="11" t="s">
        <v>118</v>
      </c>
      <c r="C380" s="11"/>
      <c r="D380" s="12"/>
      <c r="E380" s="22">
        <v>25249</v>
      </c>
      <c r="F380" s="22">
        <v>25959</v>
      </c>
      <c r="G380" s="22">
        <v>30161</v>
      </c>
      <c r="H380" s="29">
        <f>H379*H13</f>
        <v>38682.323342652555</v>
      </c>
      <c r="I380" s="29">
        <f>I379*I13</f>
        <v>44484.671844050434</v>
      </c>
      <c r="J380" s="29">
        <f>J379*J13</f>
        <v>51157.372620657996</v>
      </c>
      <c r="K380" s="29">
        <f>K379*K13</f>
        <v>58830.978513756694</v>
      </c>
      <c r="L380" s="29">
        <f>L379*L13</f>
        <v>67655.6252908202</v>
      </c>
    </row>
    <row r="381" spans="2:16" hidden="1" outlineLevel="1" x14ac:dyDescent="0.35">
      <c r="B381" s="8" t="s">
        <v>11</v>
      </c>
      <c r="C381" s="11"/>
      <c r="D381" s="12"/>
      <c r="E381" s="30">
        <f t="shared" ref="E381:L381" si="141">E379-E380</f>
        <v>91360</v>
      </c>
      <c r="F381" s="30">
        <f t="shared" si="141"/>
        <v>108943</v>
      </c>
      <c r="G381" s="30">
        <f t="shared" si="141"/>
        <v>134340</v>
      </c>
      <c r="H381" s="30">
        <f t="shared" si="141"/>
        <v>150493.82665734744</v>
      </c>
      <c r="I381" s="30">
        <f t="shared" si="141"/>
        <v>173067.90065594955</v>
      </c>
      <c r="J381" s="30">
        <f t="shared" si="141"/>
        <v>199028.08575434197</v>
      </c>
      <c r="K381" s="30">
        <f t="shared" si="141"/>
        <v>228882.29861749324</v>
      </c>
      <c r="L381" s="30">
        <f t="shared" si="141"/>
        <v>263214.64341011725</v>
      </c>
    </row>
    <row r="382" spans="2:16" hidden="1" outlineLevel="1" x14ac:dyDescent="0.35">
      <c r="B382" s="11"/>
      <c r="C382" s="11"/>
      <c r="D382" s="12"/>
      <c r="E382" s="31"/>
      <c r="F382" s="31"/>
      <c r="G382" s="31"/>
      <c r="H382" s="31"/>
      <c r="I382" s="31"/>
      <c r="J382" s="31"/>
      <c r="K382" s="31"/>
      <c r="L382" s="31"/>
    </row>
    <row r="383" spans="2:16" hidden="1" outlineLevel="1" x14ac:dyDescent="0.35">
      <c r="B383" s="8" t="s">
        <v>12</v>
      </c>
      <c r="C383" s="8"/>
      <c r="D383" s="12"/>
      <c r="E383" s="32"/>
      <c r="F383" s="32"/>
      <c r="G383" s="32"/>
      <c r="H383" s="32"/>
    </row>
    <row r="384" spans="2:16" hidden="1" outlineLevel="1" x14ac:dyDescent="0.35">
      <c r="B384" s="11" t="s">
        <v>48</v>
      </c>
      <c r="C384" s="11"/>
      <c r="D384" s="12"/>
      <c r="E384" s="22">
        <v>35338</v>
      </c>
      <c r="F384" s="22">
        <v>38483</v>
      </c>
      <c r="G384" s="22">
        <v>43873</v>
      </c>
      <c r="H384" s="29">
        <f t="shared" ref="H384:L386" si="142">H$379*H14</f>
        <v>49185.798999999999</v>
      </c>
      <c r="I384" s="29">
        <f t="shared" si="142"/>
        <v>56563.668849999995</v>
      </c>
      <c r="J384" s="29">
        <f t="shared" si="142"/>
        <v>65048.219177499988</v>
      </c>
      <c r="K384" s="29">
        <f t="shared" si="142"/>
        <v>74805.452054124995</v>
      </c>
      <c r="L384" s="29">
        <f t="shared" si="142"/>
        <v>86026.269862243746</v>
      </c>
    </row>
    <row r="385" spans="2:14" hidden="1" outlineLevel="1" x14ac:dyDescent="0.35">
      <c r="B385" s="11" t="s">
        <v>231</v>
      </c>
      <c r="C385" s="11"/>
      <c r="D385" s="12"/>
      <c r="E385" s="22">
        <v>15262</v>
      </c>
      <c r="F385" s="22">
        <v>12301</v>
      </c>
      <c r="G385" s="22">
        <v>11347</v>
      </c>
      <c r="H385" s="29">
        <f t="shared" si="142"/>
        <v>16079.972750000001</v>
      </c>
      <c r="I385" s="29">
        <f t="shared" si="142"/>
        <v>18491.968662499999</v>
      </c>
      <c r="J385" s="29">
        <f t="shared" si="142"/>
        <v>21265.763961874996</v>
      </c>
      <c r="K385" s="29">
        <f t="shared" si="142"/>
        <v>24455.628556156247</v>
      </c>
      <c r="L385" s="29">
        <f t="shared" si="142"/>
        <v>28123.972839579685</v>
      </c>
    </row>
    <row r="386" spans="2:14" hidden="1" outlineLevel="1" x14ac:dyDescent="0.35">
      <c r="B386" s="11" t="s">
        <v>232</v>
      </c>
      <c r="C386" s="11"/>
      <c r="D386" s="12"/>
      <c r="E386" s="22">
        <v>11816</v>
      </c>
      <c r="F386" s="22">
        <v>11408</v>
      </c>
      <c r="G386" s="22">
        <v>9740</v>
      </c>
      <c r="H386" s="29">
        <f t="shared" si="142"/>
        <v>13242.3305</v>
      </c>
      <c r="I386" s="29">
        <f t="shared" si="142"/>
        <v>15228.680075</v>
      </c>
      <c r="J386" s="29">
        <f t="shared" si="142"/>
        <v>17512.982086249998</v>
      </c>
      <c r="K386" s="29">
        <f t="shared" si="142"/>
        <v>20139.929399187498</v>
      </c>
      <c r="L386" s="29">
        <f t="shared" si="142"/>
        <v>23160.918809065624</v>
      </c>
    </row>
    <row r="387" spans="2:14" hidden="1" outlineLevel="1" x14ac:dyDescent="0.35">
      <c r="B387" s="8" t="s">
        <v>13</v>
      </c>
      <c r="C387" s="11"/>
      <c r="D387" s="12"/>
      <c r="E387" s="30">
        <f t="shared" ref="E387:L387" si="143">SUM(E384:E386)</f>
        <v>62416</v>
      </c>
      <c r="F387" s="30">
        <f t="shared" si="143"/>
        <v>62192</v>
      </c>
      <c r="G387" s="30">
        <f t="shared" si="143"/>
        <v>64960</v>
      </c>
      <c r="H387" s="30">
        <f t="shared" si="143"/>
        <v>78508.102249999996</v>
      </c>
      <c r="I387" s="30">
        <f t="shared" si="143"/>
        <v>90284.317587499987</v>
      </c>
      <c r="J387" s="30">
        <f t="shared" si="143"/>
        <v>103826.965225625</v>
      </c>
      <c r="K387" s="30">
        <f t="shared" si="143"/>
        <v>119401.01000946874</v>
      </c>
      <c r="L387" s="30">
        <f t="shared" si="143"/>
        <v>137311.16151088907</v>
      </c>
    </row>
    <row r="388" spans="2:14" hidden="1" outlineLevel="1" x14ac:dyDescent="0.35">
      <c r="B388" s="11"/>
      <c r="C388" s="11"/>
      <c r="D388" s="12"/>
      <c r="E388" s="22"/>
      <c r="F388" s="22"/>
      <c r="G388" s="22"/>
      <c r="H388" s="22"/>
      <c r="I388" s="29"/>
      <c r="J388" s="29"/>
      <c r="K388" s="29"/>
      <c r="L388" s="29"/>
    </row>
    <row r="389" spans="2:14" hidden="1" outlineLevel="1" x14ac:dyDescent="0.35">
      <c r="B389" s="8" t="s">
        <v>14</v>
      </c>
      <c r="C389" s="8"/>
      <c r="D389" s="12"/>
      <c r="E389" s="30">
        <f>E381-E387</f>
        <v>28944</v>
      </c>
      <c r="F389" s="30">
        <f t="shared" ref="F389:L389" si="144">F381-F387</f>
        <v>46751</v>
      </c>
      <c r="G389" s="30">
        <f t="shared" si="144"/>
        <v>69380</v>
      </c>
      <c r="H389" s="30">
        <f t="shared" si="144"/>
        <v>71985.724407347443</v>
      </c>
      <c r="I389" s="30">
        <f t="shared" si="144"/>
        <v>82783.58306844956</v>
      </c>
      <c r="J389" s="30">
        <f t="shared" si="144"/>
        <v>95201.120528716972</v>
      </c>
      <c r="K389" s="30">
        <f t="shared" si="144"/>
        <v>109481.28860802451</v>
      </c>
      <c r="L389" s="30">
        <f t="shared" si="144"/>
        <v>125903.48189922818</v>
      </c>
    </row>
    <row r="390" spans="2:14" hidden="1" outlineLevel="1" x14ac:dyDescent="0.35">
      <c r="B390" s="11"/>
      <c r="C390" s="11"/>
      <c r="D390" s="12"/>
      <c r="E390" s="32"/>
      <c r="F390" s="32"/>
      <c r="G390" s="32"/>
      <c r="H390" s="32"/>
    </row>
    <row r="391" spans="2:14" hidden="1" outlineLevel="1" x14ac:dyDescent="0.35">
      <c r="B391" s="11" t="s">
        <v>233</v>
      </c>
      <c r="C391" s="11"/>
      <c r="D391" s="12"/>
      <c r="E391" s="22">
        <v>-125</v>
      </c>
      <c r="F391" s="22">
        <v>677</v>
      </c>
      <c r="G391" s="22">
        <v>1283</v>
      </c>
      <c r="H391" s="29">
        <f>H379*H17</f>
        <v>740.67785531085997</v>
      </c>
      <c r="I391" s="29">
        <f>I379*I17</f>
        <v>851.77953360748893</v>
      </c>
      <c r="J391" s="29">
        <f>J379*J17</f>
        <v>979.54646364861219</v>
      </c>
      <c r="K391" s="29">
        <f>K379*K17</f>
        <v>1126.478433195904</v>
      </c>
      <c r="L391" s="29">
        <f>L379*L17</f>
        <v>1295.4501981752896</v>
      </c>
      <c r="N391" s="33"/>
    </row>
    <row r="392" spans="2:14" hidden="1" outlineLevel="1" x14ac:dyDescent="0.35">
      <c r="B392" s="8" t="s">
        <v>15</v>
      </c>
      <c r="C392" s="8"/>
      <c r="D392" s="12"/>
      <c r="E392" s="30">
        <f t="shared" ref="E392:G392" si="145">E389+E391</f>
        <v>28819</v>
      </c>
      <c r="F392" s="30">
        <f t="shared" si="145"/>
        <v>47428</v>
      </c>
      <c r="G392" s="30">
        <f t="shared" si="145"/>
        <v>70663</v>
      </c>
      <c r="H392" s="30">
        <f>H389-H391</f>
        <v>71245.046552036583</v>
      </c>
      <c r="I392" s="30">
        <f>I389-I391</f>
        <v>81931.803534842067</v>
      </c>
      <c r="J392" s="30">
        <f>J389-J391</f>
        <v>94221.574065068358</v>
      </c>
      <c r="K392" s="30">
        <f>K389-K391</f>
        <v>108354.8101748286</v>
      </c>
      <c r="L392" s="30">
        <f>L389-L391</f>
        <v>124608.0317010529</v>
      </c>
    </row>
    <row r="393" spans="2:14" hidden="1" outlineLevel="1" x14ac:dyDescent="0.35">
      <c r="B393" s="11"/>
      <c r="C393" s="11"/>
      <c r="D393" s="12"/>
      <c r="E393" s="22"/>
      <c r="F393" s="22"/>
      <c r="G393" s="22"/>
      <c r="H393" s="22"/>
      <c r="I393" s="29"/>
      <c r="J393" s="29"/>
      <c r="K393" s="29"/>
      <c r="L393" s="29"/>
    </row>
    <row r="394" spans="2:14" ht="16.2" hidden="1" outlineLevel="1" thickBot="1" x14ac:dyDescent="0.4">
      <c r="B394" s="11" t="s">
        <v>234</v>
      </c>
      <c r="C394" s="11"/>
      <c r="D394" s="12"/>
      <c r="E394" s="22">
        <v>5619</v>
      </c>
      <c r="F394" s="22">
        <v>8330</v>
      </c>
      <c r="G394" s="22">
        <v>8303</v>
      </c>
      <c r="H394" s="29">
        <f>H392*H18</f>
        <v>11591.843675254268</v>
      </c>
      <c r="I394" s="29">
        <f>I392*I18</f>
        <v>13330.620226542407</v>
      </c>
      <c r="J394" s="29">
        <f>J392*J18</f>
        <v>15330.213260523766</v>
      </c>
      <c r="K394" s="29">
        <f>K392*K18</f>
        <v>17629.745249602329</v>
      </c>
      <c r="L394" s="29">
        <f>L392*L18</f>
        <v>20274.207037042677</v>
      </c>
    </row>
    <row r="395" spans="2:14" ht="16.2" hidden="1" outlineLevel="1" thickBot="1" x14ac:dyDescent="0.4">
      <c r="B395" s="8" t="s">
        <v>16</v>
      </c>
      <c r="C395" s="8"/>
      <c r="D395" s="12"/>
      <c r="E395" s="34">
        <f t="shared" ref="E395:L395" si="146">E392-E394</f>
        <v>23200</v>
      </c>
      <c r="F395" s="34">
        <f t="shared" si="146"/>
        <v>39098</v>
      </c>
      <c r="G395" s="34">
        <f t="shared" si="146"/>
        <v>62360</v>
      </c>
      <c r="H395" s="34">
        <f t="shared" si="146"/>
        <v>59653.202876782314</v>
      </c>
      <c r="I395" s="34">
        <f t="shared" si="146"/>
        <v>68601.18330829966</v>
      </c>
      <c r="J395" s="34">
        <f t="shared" si="146"/>
        <v>78891.360804544587</v>
      </c>
      <c r="K395" s="34">
        <f t="shared" si="146"/>
        <v>90725.064925226266</v>
      </c>
      <c r="L395" s="34">
        <f t="shared" si="146"/>
        <v>104333.82466401022</v>
      </c>
    </row>
    <row r="396" spans="2:14" collapsed="1" x14ac:dyDescent="0.3"/>
    <row r="397" spans="2:14" ht="18.600000000000001" customHeight="1" x14ac:dyDescent="0.3">
      <c r="B397" s="186" t="s">
        <v>10</v>
      </c>
      <c r="C397" s="186"/>
      <c r="D397" s="186"/>
      <c r="E397" s="186"/>
      <c r="F397" s="186"/>
      <c r="G397" s="186"/>
      <c r="H397" s="186"/>
      <c r="I397" s="186"/>
      <c r="J397" s="186"/>
      <c r="K397" s="186"/>
      <c r="L397" s="186"/>
    </row>
    <row r="398" spans="2:14" hidden="1" outlineLevel="1" x14ac:dyDescent="0.3"/>
    <row r="399" spans="2:14" ht="16.2" hidden="1" outlineLevel="1" thickBot="1" x14ac:dyDescent="0.4">
      <c r="B399" s="261" t="s">
        <v>74</v>
      </c>
      <c r="D399" s="12"/>
      <c r="E399" s="4">
        <v>2022</v>
      </c>
      <c r="F399" s="4">
        <v>2023</v>
      </c>
      <c r="G399" s="4">
        <v>2024</v>
      </c>
      <c r="H399" s="5">
        <f>G399+1</f>
        <v>2025</v>
      </c>
      <c r="I399" s="5">
        <f>H399+1</f>
        <v>2026</v>
      </c>
      <c r="J399" s="5">
        <f>I399+1</f>
        <v>2027</v>
      </c>
      <c r="K399" s="5">
        <f>J399+1</f>
        <v>2028</v>
      </c>
      <c r="L399" s="5">
        <f>K399+1</f>
        <v>2029</v>
      </c>
    </row>
    <row r="400" spans="2:14" hidden="1" outlineLevel="1" x14ac:dyDescent="0.3"/>
    <row r="401" spans="2:12" hidden="1" outlineLevel="1" x14ac:dyDescent="0.3">
      <c r="B401" s="35" t="s">
        <v>37</v>
      </c>
      <c r="C401" s="35"/>
    </row>
    <row r="402" spans="2:12" hidden="1" outlineLevel="1" x14ac:dyDescent="0.35">
      <c r="B402" s="27" t="s">
        <v>38</v>
      </c>
      <c r="C402" s="27"/>
      <c r="D402" s="12"/>
      <c r="E402" s="22">
        <f>E395</f>
        <v>23200</v>
      </c>
      <c r="F402" s="22">
        <f t="shared" ref="F402:G402" si="147">F395</f>
        <v>39098</v>
      </c>
      <c r="G402" s="22">
        <f t="shared" si="147"/>
        <v>62360</v>
      </c>
      <c r="H402" s="29">
        <f>H395</f>
        <v>59653.202876782314</v>
      </c>
      <c r="I402" s="29">
        <f t="shared" ref="I402:L402" si="148">I395</f>
        <v>68601.18330829966</v>
      </c>
      <c r="J402" s="29">
        <f t="shared" si="148"/>
        <v>78891.360804544587</v>
      </c>
      <c r="K402" s="29">
        <f t="shared" si="148"/>
        <v>90725.064925226266</v>
      </c>
      <c r="L402" s="29">
        <f t="shared" si="148"/>
        <v>104333.82466401022</v>
      </c>
    </row>
    <row r="403" spans="2:12" hidden="1" outlineLevel="1" x14ac:dyDescent="0.35">
      <c r="B403" s="27" t="s">
        <v>53</v>
      </c>
      <c r="C403" s="27"/>
      <c r="D403" s="12"/>
    </row>
    <row r="404" spans="2:12" hidden="1" outlineLevel="1" x14ac:dyDescent="0.35">
      <c r="B404" s="11" t="s">
        <v>39</v>
      </c>
      <c r="C404" s="11"/>
      <c r="D404" s="12"/>
      <c r="E404" s="22">
        <v>8686</v>
      </c>
      <c r="F404" s="22">
        <v>11178</v>
      </c>
      <c r="G404" s="22">
        <v>15498</v>
      </c>
      <c r="H404" s="29">
        <f>H519</f>
        <v>18469.055837769065</v>
      </c>
      <c r="I404" s="29">
        <f t="shared" ref="I404:L404" si="149">I519</f>
        <v>22795.919927720141</v>
      </c>
      <c r="J404" s="29">
        <f t="shared" si="149"/>
        <v>27771.813631163874</v>
      </c>
      <c r="K404" s="29">
        <f t="shared" si="149"/>
        <v>33494.091390124166</v>
      </c>
      <c r="L404" s="29">
        <f t="shared" si="149"/>
        <v>40074.710812928512</v>
      </c>
    </row>
    <row r="405" spans="2:12" hidden="1" outlineLevel="1" x14ac:dyDescent="0.35">
      <c r="B405" s="11" t="s">
        <v>113</v>
      </c>
      <c r="C405" s="11"/>
      <c r="D405" s="12"/>
      <c r="E405" s="22">
        <v>11992</v>
      </c>
      <c r="F405" s="22">
        <v>14027</v>
      </c>
      <c r="G405" s="22">
        <v>16690</v>
      </c>
      <c r="H405" s="29">
        <f>H692</f>
        <v>18917.615000000002</v>
      </c>
      <c r="I405" s="29">
        <f t="shared" ref="I405:L405" si="150">I692</f>
        <v>21755.257249999999</v>
      </c>
      <c r="J405" s="29">
        <f t="shared" si="150"/>
        <v>25018.545837499998</v>
      </c>
      <c r="K405" s="29">
        <f t="shared" si="150"/>
        <v>28771.327713124996</v>
      </c>
      <c r="L405" s="29">
        <f t="shared" si="150"/>
        <v>33087.026870093745</v>
      </c>
    </row>
    <row r="406" spans="2:12" hidden="1" outlineLevel="1" x14ac:dyDescent="0.35">
      <c r="B406" s="11" t="s">
        <v>235</v>
      </c>
      <c r="C406" s="11"/>
      <c r="D406" s="12"/>
      <c r="E406" s="22">
        <v>-3286</v>
      </c>
      <c r="F406" s="22">
        <v>131</v>
      </c>
      <c r="G406" s="22">
        <v>-4738</v>
      </c>
      <c r="H406" s="29">
        <f>H59*H392</f>
        <v>-2849.8018620814632</v>
      </c>
      <c r="I406" s="29">
        <f>I59*I392</f>
        <v>-3277.2721413936829</v>
      </c>
      <c r="J406" s="29">
        <f>J59*J392</f>
        <v>-3768.8629626027346</v>
      </c>
      <c r="K406" s="29">
        <f>K59*K392</f>
        <v>-4334.1924069931438</v>
      </c>
      <c r="L406" s="29">
        <f>L59*L392</f>
        <v>-4984.3212680421157</v>
      </c>
    </row>
    <row r="407" spans="2:12" hidden="1" outlineLevel="1" x14ac:dyDescent="0.35">
      <c r="B407" s="11" t="s">
        <v>236</v>
      </c>
      <c r="C407" s="11"/>
      <c r="D407" s="12"/>
      <c r="E407" s="22">
        <v>2218</v>
      </c>
      <c r="F407" s="22">
        <v>2432</v>
      </c>
      <c r="G407" s="22">
        <v>383</v>
      </c>
      <c r="H407" s="29">
        <f>H60*H387</f>
        <v>392.54051125000001</v>
      </c>
      <c r="I407" s="29">
        <f>I60*I387</f>
        <v>451.42158793749996</v>
      </c>
      <c r="J407" s="29">
        <f>J60*J387</f>
        <v>519.13482612812504</v>
      </c>
      <c r="K407" s="29">
        <f>K60*K387</f>
        <v>597.00505004734373</v>
      </c>
      <c r="L407" s="29">
        <f>L60*L387</f>
        <v>686.55580755444532</v>
      </c>
    </row>
    <row r="408" spans="2:12" hidden="1" outlineLevel="1" x14ac:dyDescent="0.35">
      <c r="B408" s="11" t="s">
        <v>237</v>
      </c>
      <c r="C408" s="11"/>
      <c r="D408" s="12"/>
      <c r="E408" s="22">
        <v>1341</v>
      </c>
      <c r="F408" s="22">
        <v>-224</v>
      </c>
      <c r="G408" s="22">
        <v>0</v>
      </c>
      <c r="H408" s="29">
        <f t="shared" ref="H408:L409" si="151">H61</f>
        <v>0</v>
      </c>
      <c r="I408" s="29">
        <f t="shared" si="151"/>
        <v>0</v>
      </c>
      <c r="J408" s="29">
        <f t="shared" si="151"/>
        <v>0</v>
      </c>
      <c r="K408" s="29">
        <f t="shared" si="151"/>
        <v>0</v>
      </c>
      <c r="L408" s="29">
        <f t="shared" si="151"/>
        <v>0</v>
      </c>
    </row>
    <row r="409" spans="2:12" hidden="1" outlineLevel="1" x14ac:dyDescent="0.35">
      <c r="B409" s="11" t="s">
        <v>54</v>
      </c>
      <c r="C409" s="11"/>
      <c r="D409" s="12"/>
      <c r="E409" s="22">
        <v>641</v>
      </c>
      <c r="F409" s="22">
        <v>635</v>
      </c>
      <c r="G409" s="22">
        <v>87</v>
      </c>
      <c r="H409" s="29">
        <f t="shared" si="151"/>
        <v>87</v>
      </c>
      <c r="I409" s="29">
        <f t="shared" si="151"/>
        <v>87</v>
      </c>
      <c r="J409" s="29">
        <f t="shared" si="151"/>
        <v>87</v>
      </c>
      <c r="K409" s="29">
        <f t="shared" si="151"/>
        <v>87</v>
      </c>
      <c r="L409" s="29">
        <f t="shared" si="151"/>
        <v>87</v>
      </c>
    </row>
    <row r="410" spans="2:12" hidden="1" outlineLevel="1" x14ac:dyDescent="0.35">
      <c r="B410" s="8" t="s">
        <v>238</v>
      </c>
      <c r="C410" s="11"/>
      <c r="D410" s="12"/>
      <c r="G410" s="22"/>
      <c r="H410" s="29"/>
      <c r="I410" s="29"/>
      <c r="J410" s="29"/>
      <c r="K410" s="29"/>
      <c r="L410" s="29"/>
    </row>
    <row r="411" spans="2:12" hidden="1" outlineLevel="1" x14ac:dyDescent="0.35">
      <c r="B411" s="11" t="s">
        <v>20</v>
      </c>
      <c r="C411" s="11"/>
      <c r="D411" s="12"/>
      <c r="E411" s="22">
        <v>231</v>
      </c>
      <c r="F411" s="22">
        <v>-2399</v>
      </c>
      <c r="G411" s="22">
        <v>-1485</v>
      </c>
      <c r="H411" s="29">
        <f>H504</f>
        <v>-791.31744496494321</v>
      </c>
      <c r="I411" s="29">
        <f t="shared" ref="I411:L411" si="152">I504</f>
        <v>-1027.9959902019982</v>
      </c>
      <c r="J411" s="29">
        <f t="shared" si="152"/>
        <v>-1425.94701527504</v>
      </c>
      <c r="K411" s="29">
        <f t="shared" si="152"/>
        <v>-1639.8390675662995</v>
      </c>
      <c r="L411" s="29">
        <f t="shared" si="152"/>
        <v>-1885.8149277012399</v>
      </c>
    </row>
    <row r="412" spans="2:12" hidden="1" outlineLevel="1" x14ac:dyDescent="0.35">
      <c r="B412" s="11" t="s">
        <v>239</v>
      </c>
      <c r="C412" s="11"/>
      <c r="D412" s="12"/>
      <c r="E412" s="22">
        <v>162</v>
      </c>
      <c r="F412" s="22">
        <v>559</v>
      </c>
      <c r="G412" s="22">
        <v>-698</v>
      </c>
      <c r="H412" s="29">
        <f>H601</f>
        <v>378.35230000000001</v>
      </c>
      <c r="I412" s="29">
        <f t="shared" ref="I412:L412" si="153">I601</f>
        <v>435.10514499999999</v>
      </c>
      <c r="J412" s="29">
        <f t="shared" si="153"/>
        <v>500.37091674999994</v>
      </c>
      <c r="K412" s="29">
        <f t="shared" si="153"/>
        <v>575.42655426249996</v>
      </c>
      <c r="L412" s="29">
        <f t="shared" si="153"/>
        <v>661.74053740187492</v>
      </c>
    </row>
    <row r="413" spans="2:12" hidden="1" outlineLevel="1" x14ac:dyDescent="0.35">
      <c r="B413" s="11" t="s">
        <v>240</v>
      </c>
      <c r="C413" s="11"/>
      <c r="D413" s="12"/>
      <c r="E413" s="22">
        <v>-106</v>
      </c>
      <c r="F413" s="22">
        <v>-80</v>
      </c>
      <c r="G413" s="22">
        <v>-270</v>
      </c>
      <c r="H413" s="29">
        <f>H752</f>
        <v>-189.17615000000001</v>
      </c>
      <c r="I413" s="29">
        <f t="shared" ref="I413:L413" si="154">I752</f>
        <v>-217.5525725</v>
      </c>
      <c r="J413" s="29">
        <f t="shared" si="154"/>
        <v>-250.18545837499997</v>
      </c>
      <c r="K413" s="29">
        <f t="shared" si="154"/>
        <v>-287.71327713124998</v>
      </c>
      <c r="L413" s="29">
        <f t="shared" si="154"/>
        <v>-330.87026870093746</v>
      </c>
    </row>
    <row r="414" spans="2:12" hidden="1" outlineLevel="1" x14ac:dyDescent="0.35">
      <c r="B414" s="11" t="s">
        <v>27</v>
      </c>
      <c r="C414" s="11"/>
      <c r="D414" s="12"/>
      <c r="E414" s="22">
        <v>210</v>
      </c>
      <c r="F414" s="22">
        <v>51</v>
      </c>
      <c r="G414" s="22">
        <v>373</v>
      </c>
      <c r="H414" s="29">
        <f>H508</f>
        <v>280.38464287355742</v>
      </c>
      <c r="I414" s="29">
        <f t="shared" ref="I414:L414" si="155">I508</f>
        <v>299.32702378854759</v>
      </c>
      <c r="J414" s="29">
        <f t="shared" si="155"/>
        <v>427.44038085236974</v>
      </c>
      <c r="K414" s="29">
        <f t="shared" si="155"/>
        <v>437.94880689030026</v>
      </c>
      <c r="L414" s="29">
        <f t="shared" si="155"/>
        <v>508.05667296850379</v>
      </c>
    </row>
    <row r="415" spans="2:12" hidden="1" outlineLevel="1" x14ac:dyDescent="0.35">
      <c r="B415" s="11" t="s">
        <v>241</v>
      </c>
      <c r="C415" s="11"/>
      <c r="D415" s="12"/>
      <c r="E415" s="22">
        <v>4300</v>
      </c>
      <c r="F415" s="22">
        <v>5081</v>
      </c>
      <c r="G415" s="22">
        <v>323</v>
      </c>
      <c r="H415" s="29">
        <f>H645</f>
        <v>-334.98576590338052</v>
      </c>
      <c r="I415" s="29">
        <f t="shared" ref="I415:L415" si="156">I645</f>
        <v>2449.7271351144955</v>
      </c>
      <c r="J415" s="29">
        <f t="shared" si="156"/>
        <v>637.26417027018033</v>
      </c>
      <c r="K415" s="29">
        <f t="shared" si="156"/>
        <v>3381.632080922187</v>
      </c>
      <c r="L415" s="29">
        <f t="shared" si="156"/>
        <v>4123.3050180605278</v>
      </c>
    </row>
    <row r="416" spans="2:12" hidden="1" outlineLevel="1" x14ac:dyDescent="0.35">
      <c r="B416" s="11" t="s">
        <v>242</v>
      </c>
      <c r="C416" s="11"/>
      <c r="D416" s="12"/>
      <c r="E416" s="22">
        <v>886</v>
      </c>
      <c r="F416" s="22">
        <v>624</v>
      </c>
      <c r="G416" s="22">
        <v>2805</v>
      </c>
      <c r="H416" s="29">
        <f>H760</f>
        <v>2837.6422499999999</v>
      </c>
      <c r="I416" s="29">
        <f t="shared" ref="I416:L416" si="157">I760</f>
        <v>3263.2885874999997</v>
      </c>
      <c r="J416" s="29">
        <f t="shared" si="157"/>
        <v>4253.152792375</v>
      </c>
      <c r="K416" s="29">
        <f t="shared" si="157"/>
        <v>4891.1257112312496</v>
      </c>
      <c r="L416" s="29">
        <f t="shared" si="157"/>
        <v>5624.7945679159375</v>
      </c>
    </row>
    <row r="417" spans="2:14" hidden="1" outlineLevel="1" x14ac:dyDescent="0.35">
      <c r="B417" s="8" t="s">
        <v>40</v>
      </c>
      <c r="C417" s="8"/>
      <c r="D417" s="12"/>
      <c r="E417" s="30">
        <f t="shared" ref="E417:L417" si="158">SUM(E402:E416)</f>
        <v>50475</v>
      </c>
      <c r="F417" s="30">
        <f t="shared" si="158"/>
        <v>71113</v>
      </c>
      <c r="G417" s="30">
        <f t="shared" si="158"/>
        <v>91328</v>
      </c>
      <c r="H417" s="30">
        <f t="shared" si="158"/>
        <v>96850.512195725169</v>
      </c>
      <c r="I417" s="30">
        <f t="shared" si="158"/>
        <v>115615.40926126465</v>
      </c>
      <c r="J417" s="30">
        <f t="shared" si="158"/>
        <v>132661.08792333136</v>
      </c>
      <c r="K417" s="30">
        <f t="shared" si="158"/>
        <v>156698.8774801383</v>
      </c>
      <c r="L417" s="30">
        <f t="shared" si="158"/>
        <v>181986.00848648947</v>
      </c>
    </row>
    <row r="418" spans="2:14" hidden="1" outlineLevel="1" x14ac:dyDescent="0.35">
      <c r="B418" s="11"/>
      <c r="C418" s="11"/>
      <c r="D418" s="12"/>
      <c r="E418" s="22"/>
      <c r="F418" s="22"/>
      <c r="G418" s="22"/>
      <c r="H418" s="29"/>
      <c r="I418" s="29"/>
      <c r="J418" s="29"/>
      <c r="K418" s="29"/>
      <c r="L418" s="29"/>
    </row>
    <row r="419" spans="2:14" hidden="1" outlineLevel="1" x14ac:dyDescent="0.35">
      <c r="B419" s="35" t="s">
        <v>41</v>
      </c>
      <c r="C419" s="35"/>
      <c r="D419" s="12"/>
      <c r="E419" s="22"/>
      <c r="F419" s="22"/>
      <c r="G419" s="22"/>
      <c r="H419" s="29"/>
      <c r="I419" s="29"/>
      <c r="J419" s="29"/>
      <c r="K419" s="29"/>
      <c r="L419" s="29"/>
    </row>
    <row r="420" spans="2:14" hidden="1" outlineLevel="1" x14ac:dyDescent="0.35">
      <c r="B420" s="11" t="s">
        <v>243</v>
      </c>
      <c r="C420" s="11"/>
      <c r="D420" s="12"/>
      <c r="E420" s="22">
        <v>-31186</v>
      </c>
      <c r="F420" s="22">
        <v>-27045</v>
      </c>
      <c r="G420" s="22">
        <v>-37256</v>
      </c>
      <c r="H420" s="29">
        <f>-H68*H379</f>
        <v>-37835.230000000003</v>
      </c>
      <c r="I420" s="29">
        <f>-I68*I379</f>
        <v>-43510.514499999997</v>
      </c>
      <c r="J420" s="29">
        <f>-J68*J379</f>
        <v>-50037.091674999996</v>
      </c>
      <c r="K420" s="29">
        <f>-K68*K379</f>
        <v>-57542.655426249992</v>
      </c>
      <c r="L420" s="29">
        <f>-L68*L379</f>
        <v>-66174.05374018749</v>
      </c>
    </row>
    <row r="421" spans="2:14" hidden="1" outlineLevel="1" x14ac:dyDescent="0.35">
      <c r="B421" s="11" t="s">
        <v>55</v>
      </c>
      <c r="C421" s="11"/>
      <c r="D421" s="12"/>
      <c r="E421" s="22">
        <v>-9626</v>
      </c>
      <c r="F421" s="22">
        <v>-2982</v>
      </c>
      <c r="G421" s="22">
        <v>-25542</v>
      </c>
      <c r="H421" s="29">
        <f t="shared" ref="H421:L423" si="159">H590</f>
        <v>-16390.466472125605</v>
      </c>
      <c r="I421" s="29">
        <f t="shared" si="159"/>
        <v>-18849.036442944445</v>
      </c>
      <c r="J421" s="29">
        <f t="shared" si="159"/>
        <v>-21676.391909386108</v>
      </c>
      <c r="K421" s="29">
        <f t="shared" si="159"/>
        <v>-24927.850695794026</v>
      </c>
      <c r="L421" s="29">
        <f t="shared" si="159"/>
        <v>-28667.028300163129</v>
      </c>
      <c r="M421" s="33"/>
    </row>
    <row r="422" spans="2:14" hidden="1" outlineLevel="1" x14ac:dyDescent="0.35">
      <c r="B422" s="11" t="s">
        <v>244</v>
      </c>
      <c r="C422" s="11"/>
      <c r="D422" s="12"/>
      <c r="E422" s="22">
        <v>13158</v>
      </c>
      <c r="F422" s="22">
        <v>6184</v>
      </c>
      <c r="G422" s="22">
        <v>15789</v>
      </c>
      <c r="H422" s="29">
        <f t="shared" si="159"/>
        <v>16058.56402945966</v>
      </c>
      <c r="I422" s="29">
        <f t="shared" si="159"/>
        <v>18467.348633878606</v>
      </c>
      <c r="J422" s="29">
        <f t="shared" si="159"/>
        <v>21237.450928960396</v>
      </c>
      <c r="K422" s="29">
        <f t="shared" si="159"/>
        <v>24423.068568304458</v>
      </c>
      <c r="L422" s="29">
        <f t="shared" si="159"/>
        <v>28086.528853550124</v>
      </c>
    </row>
    <row r="423" spans="2:14" hidden="1" outlineLevel="1" x14ac:dyDescent="0.35">
      <c r="B423" s="11" t="s">
        <v>245</v>
      </c>
      <c r="C423" s="11"/>
      <c r="D423" s="12"/>
      <c r="E423" s="22">
        <v>-1312</v>
      </c>
      <c r="F423" s="22">
        <v>-629</v>
      </c>
      <c r="G423" s="22">
        <v>-270</v>
      </c>
      <c r="H423" s="29">
        <f t="shared" si="159"/>
        <v>-1107.0113486223527</v>
      </c>
      <c r="I423" s="29">
        <f t="shared" si="159"/>
        <v>-1273.0630509157056</v>
      </c>
      <c r="J423" s="29">
        <f t="shared" si="159"/>
        <v>-1464.0225085530612</v>
      </c>
      <c r="K423" s="29">
        <f t="shared" si="159"/>
        <v>-1683.6258848360205</v>
      </c>
      <c r="L423" s="29">
        <f t="shared" si="159"/>
        <v>-1936.1697675614237</v>
      </c>
    </row>
    <row r="424" spans="2:14" hidden="1" outlineLevel="1" x14ac:dyDescent="0.35">
      <c r="B424" s="11" t="s">
        <v>246</v>
      </c>
      <c r="C424" s="11"/>
      <c r="D424" s="12"/>
      <c r="E424" s="22">
        <v>-4</v>
      </c>
      <c r="F424" s="22">
        <v>-23</v>
      </c>
      <c r="G424" s="22">
        <v>129</v>
      </c>
      <c r="H424" s="29">
        <f>H72</f>
        <v>34</v>
      </c>
      <c r="I424" s="29">
        <f>I72</f>
        <v>34</v>
      </c>
      <c r="J424" s="29">
        <f>J72</f>
        <v>34</v>
      </c>
      <c r="K424" s="29">
        <f>K72</f>
        <v>34</v>
      </c>
      <c r="L424" s="29">
        <f>L72</f>
        <v>34</v>
      </c>
    </row>
    <row r="425" spans="2:14" hidden="1" outlineLevel="1" x14ac:dyDescent="0.35">
      <c r="B425" s="8" t="s">
        <v>42</v>
      </c>
      <c r="C425" s="8"/>
      <c r="D425" s="12"/>
      <c r="E425" s="30">
        <f t="shared" ref="E425:L425" si="160">SUM(E420:E424)</f>
        <v>-28970</v>
      </c>
      <c r="F425" s="30">
        <f t="shared" si="160"/>
        <v>-24495</v>
      </c>
      <c r="G425" s="30">
        <f t="shared" si="160"/>
        <v>-47150</v>
      </c>
      <c r="H425" s="30">
        <f t="shared" si="160"/>
        <v>-39240.143791288298</v>
      </c>
      <c r="I425" s="30">
        <f t="shared" si="160"/>
        <v>-45131.265359981538</v>
      </c>
      <c r="J425" s="30">
        <f t="shared" si="160"/>
        <v>-51906.055163978774</v>
      </c>
      <c r="K425" s="30">
        <f t="shared" si="160"/>
        <v>-59697.063438575591</v>
      </c>
      <c r="L425" s="30">
        <f t="shared" si="160"/>
        <v>-68656.722954361932</v>
      </c>
    </row>
    <row r="426" spans="2:14" hidden="1" outlineLevel="1" x14ac:dyDescent="0.35">
      <c r="B426" s="27"/>
      <c r="C426" s="27"/>
      <c r="D426" s="12"/>
    </row>
    <row r="427" spans="2:14" hidden="1" outlineLevel="1" x14ac:dyDescent="0.35">
      <c r="B427" s="35" t="s">
        <v>43</v>
      </c>
      <c r="C427" s="35"/>
      <c r="D427" s="12"/>
    </row>
    <row r="428" spans="2:14" hidden="1" outlineLevel="1" x14ac:dyDescent="0.35">
      <c r="B428" s="11" t="s">
        <v>247</v>
      </c>
      <c r="C428" s="35"/>
      <c r="D428" s="12"/>
      <c r="E428" s="22">
        <v>-3595</v>
      </c>
      <c r="F428" s="22">
        <v>-7012</v>
      </c>
      <c r="G428" s="22">
        <v>-13770</v>
      </c>
      <c r="H428" s="29">
        <f>-H74*H405</f>
        <v>-11350.569000000001</v>
      </c>
      <c r="I428" s="29">
        <f>-I74*I405</f>
        <v>-13053.154349999999</v>
      </c>
      <c r="J428" s="29">
        <f>-J74*J405</f>
        <v>-15011.127502499998</v>
      </c>
      <c r="K428" s="29">
        <f>-K74*K405</f>
        <v>-17262.796627874995</v>
      </c>
      <c r="L428" s="29">
        <f>-L74*L405</f>
        <v>-19852.216122056245</v>
      </c>
    </row>
    <row r="429" spans="2:14" hidden="1" outlineLevel="1" x14ac:dyDescent="0.35">
      <c r="B429" s="11" t="s">
        <v>248</v>
      </c>
      <c r="C429" s="35"/>
      <c r="D429" s="12"/>
      <c r="E429" s="22">
        <v>-27956</v>
      </c>
      <c r="F429" s="22">
        <v>-19774</v>
      </c>
      <c r="G429" s="22">
        <v>-30125</v>
      </c>
      <c r="H429" s="29">
        <f>H739</f>
        <v>-34997.587749999999</v>
      </c>
      <c r="I429" s="29">
        <f t="shared" ref="I429:L429" si="161">I739</f>
        <v>-40247.225912499998</v>
      </c>
      <c r="J429" s="29">
        <f t="shared" si="161"/>
        <v>-46284.309799374991</v>
      </c>
      <c r="K429" s="29">
        <f t="shared" si="161"/>
        <v>-53226.95626928124</v>
      </c>
      <c r="L429" s="29">
        <f t="shared" si="161"/>
        <v>-61210.99970967343</v>
      </c>
    </row>
    <row r="430" spans="2:14" hidden="1" outlineLevel="1" x14ac:dyDescent="0.35">
      <c r="B430" s="11" t="s">
        <v>56</v>
      </c>
      <c r="C430" s="35"/>
      <c r="D430" s="12"/>
      <c r="E430" s="22">
        <v>0</v>
      </c>
      <c r="F430" s="22">
        <v>0</v>
      </c>
      <c r="G430" s="22">
        <v>-5072</v>
      </c>
      <c r="H430" s="29">
        <f>H76</f>
        <v>-5300</v>
      </c>
      <c r="I430" s="29">
        <f>I76</f>
        <v>-5300</v>
      </c>
      <c r="J430" s="29">
        <f>J76</f>
        <v>-5300</v>
      </c>
      <c r="K430" s="29">
        <f>K76</f>
        <v>-5300</v>
      </c>
      <c r="L430" s="29">
        <f>L76</f>
        <v>-5300</v>
      </c>
    </row>
    <row r="431" spans="2:14" hidden="1" outlineLevel="1" x14ac:dyDescent="0.35">
      <c r="B431" s="11" t="s">
        <v>249</v>
      </c>
      <c r="C431" s="35"/>
      <c r="D431" s="12"/>
      <c r="E431" s="22">
        <v>9921</v>
      </c>
      <c r="F431" s="22">
        <v>8455</v>
      </c>
      <c r="G431" s="22">
        <v>10432</v>
      </c>
      <c r="H431" s="29">
        <f>H625</f>
        <v>12031.603140000001</v>
      </c>
      <c r="I431" s="29">
        <f t="shared" ref="I431:L431" si="162">I625</f>
        <v>13836.343611</v>
      </c>
      <c r="J431" s="29">
        <f t="shared" si="162"/>
        <v>15911.795152649998</v>
      </c>
      <c r="K431" s="29">
        <f t="shared" si="162"/>
        <v>18298.564425547498</v>
      </c>
      <c r="L431" s="29">
        <f t="shared" si="162"/>
        <v>21043.349089379622</v>
      </c>
    </row>
    <row r="432" spans="2:14" hidden="1" outlineLevel="1" x14ac:dyDescent="0.35">
      <c r="B432" s="11" t="s">
        <v>250</v>
      </c>
      <c r="C432" s="27"/>
      <c r="D432" s="12"/>
      <c r="E432" s="22">
        <v>-850</v>
      </c>
      <c r="F432" s="22">
        <v>-1058</v>
      </c>
      <c r="G432" s="22">
        <v>-1969</v>
      </c>
      <c r="H432" s="29">
        <f>H78*H668</f>
        <v>-1314.7140696785873</v>
      </c>
      <c r="I432" s="29">
        <f>I78*I668</f>
        <v>-1511.9211801303754</v>
      </c>
      <c r="J432" s="29">
        <f>J78*J668</f>
        <v>-1738.7093571499317</v>
      </c>
      <c r="K432" s="29">
        <f>K78*K668</f>
        <v>-1999.5157607224212</v>
      </c>
      <c r="L432" s="29">
        <f>L78*L668</f>
        <v>-2299.4431248307847</v>
      </c>
      <c r="M432" s="12"/>
      <c r="N432" s="12"/>
    </row>
    <row r="433" spans="2:17" hidden="1" outlineLevel="1" x14ac:dyDescent="0.35">
      <c r="B433" s="11" t="s">
        <v>251</v>
      </c>
      <c r="C433" s="27"/>
      <c r="D433" s="12"/>
      <c r="E433" s="22">
        <v>344</v>
      </c>
      <c r="F433" s="22">
        <v>-111</v>
      </c>
      <c r="G433" s="22">
        <v>-277</v>
      </c>
      <c r="H433" s="29">
        <f>H79</f>
        <v>-15</v>
      </c>
      <c r="I433" s="29">
        <f>I79</f>
        <v>-15</v>
      </c>
      <c r="J433" s="29">
        <f>J79</f>
        <v>-15</v>
      </c>
      <c r="K433" s="29">
        <f>K79</f>
        <v>-15</v>
      </c>
      <c r="L433" s="29">
        <f>L79</f>
        <v>-15</v>
      </c>
      <c r="M433" s="12"/>
      <c r="N433" s="12"/>
    </row>
    <row r="434" spans="2:17" hidden="1" outlineLevel="1" x14ac:dyDescent="0.35">
      <c r="B434" s="8" t="s">
        <v>44</v>
      </c>
      <c r="C434" s="27"/>
      <c r="D434" s="12"/>
      <c r="E434" s="30">
        <f t="shared" ref="E434:L434" si="163">SUM(E428:E433)</f>
        <v>-22136</v>
      </c>
      <c r="F434" s="30">
        <f t="shared" si="163"/>
        <v>-19500</v>
      </c>
      <c r="G434" s="30">
        <f t="shared" si="163"/>
        <v>-40781</v>
      </c>
      <c r="H434" s="30">
        <f t="shared" si="163"/>
        <v>-40946.267679678589</v>
      </c>
      <c r="I434" s="30">
        <f t="shared" si="163"/>
        <v>-46290.957831630367</v>
      </c>
      <c r="J434" s="30">
        <f t="shared" si="163"/>
        <v>-52437.351506374922</v>
      </c>
      <c r="K434" s="30">
        <f t="shared" si="163"/>
        <v>-59505.704232331154</v>
      </c>
      <c r="L434" s="30">
        <f t="shared" si="163"/>
        <v>-67634.309867180826</v>
      </c>
    </row>
    <row r="435" spans="2:17" hidden="1" outlineLevel="1" x14ac:dyDescent="0.35">
      <c r="B435" s="27"/>
      <c r="C435" s="27"/>
      <c r="D435" s="12"/>
      <c r="E435" s="22"/>
      <c r="F435" s="22"/>
      <c r="G435" s="22"/>
      <c r="H435" s="29"/>
      <c r="I435" s="29"/>
      <c r="J435" s="29"/>
      <c r="K435" s="29"/>
      <c r="L435" s="29"/>
    </row>
    <row r="436" spans="2:17" hidden="1" outlineLevel="1" x14ac:dyDescent="0.35">
      <c r="B436" s="27" t="s">
        <v>252</v>
      </c>
      <c r="C436" s="27"/>
      <c r="D436" s="12"/>
      <c r="E436" s="22">
        <v>-638</v>
      </c>
      <c r="F436" s="22">
        <v>113</v>
      </c>
      <c r="G436" s="22">
        <v>-786</v>
      </c>
      <c r="H436" s="29">
        <f>H81</f>
        <v>-400</v>
      </c>
      <c r="I436" s="29">
        <f>I81</f>
        <v>-400</v>
      </c>
      <c r="J436" s="29">
        <f>J81</f>
        <v>-400</v>
      </c>
      <c r="K436" s="29">
        <f>K81</f>
        <v>-400</v>
      </c>
      <c r="L436" s="29">
        <f>L81</f>
        <v>-400</v>
      </c>
    </row>
    <row r="437" spans="2:17" hidden="1" outlineLevel="1" x14ac:dyDescent="0.35">
      <c r="B437" s="27"/>
      <c r="C437" s="27"/>
      <c r="D437" s="12"/>
      <c r="E437" s="22"/>
      <c r="F437" s="22"/>
      <c r="G437" s="22"/>
      <c r="H437" s="29"/>
      <c r="I437" s="29"/>
      <c r="J437" s="29"/>
      <c r="K437" s="29"/>
      <c r="L437" s="29"/>
    </row>
    <row r="438" spans="2:17" hidden="1" outlineLevel="1" x14ac:dyDescent="0.35">
      <c r="B438" s="27" t="s">
        <v>45</v>
      </c>
      <c r="C438" s="27"/>
      <c r="D438" s="12"/>
      <c r="E438" s="29">
        <v>16865</v>
      </c>
      <c r="F438" s="29">
        <f t="shared" ref="F438:L438" si="164">E440</f>
        <v>15596</v>
      </c>
      <c r="G438" s="29">
        <f t="shared" si="164"/>
        <v>42827</v>
      </c>
      <c r="H438" s="29">
        <f>G440</f>
        <v>45438</v>
      </c>
      <c r="I438" s="29">
        <f t="shared" si="164"/>
        <v>61702.100724758282</v>
      </c>
      <c r="J438" s="29">
        <f t="shared" si="164"/>
        <v>85495.286794411018</v>
      </c>
      <c r="K438" s="29">
        <f t="shared" si="164"/>
        <v>113412.96804738868</v>
      </c>
      <c r="L438" s="29">
        <f t="shared" si="164"/>
        <v>150509.07785662022</v>
      </c>
    </row>
    <row r="439" spans="2:17" ht="16.2" hidden="1" outlineLevel="1" thickBot="1" x14ac:dyDescent="0.4">
      <c r="B439" s="27" t="s">
        <v>46</v>
      </c>
      <c r="C439" s="27"/>
      <c r="D439" s="12"/>
      <c r="E439" s="29">
        <f>E417+E425+E434+E436</f>
        <v>-1269</v>
      </c>
      <c r="F439" s="29">
        <f>F417+F425+F434+F436</f>
        <v>27231</v>
      </c>
      <c r="G439" s="29">
        <f>G417+G425+G434+G436</f>
        <v>2611</v>
      </c>
      <c r="H439" s="29">
        <f t="shared" ref="H439:L439" si="165">H417+H425+H434+H436</f>
        <v>16264.100724758282</v>
      </c>
      <c r="I439" s="29">
        <f t="shared" si="165"/>
        <v>23793.186069652744</v>
      </c>
      <c r="J439" s="29">
        <f t="shared" si="165"/>
        <v>27917.681252977665</v>
      </c>
      <c r="K439" s="29">
        <f t="shared" si="165"/>
        <v>37096.109809231544</v>
      </c>
      <c r="L439" s="29">
        <f t="shared" si="165"/>
        <v>45294.975664946716</v>
      </c>
    </row>
    <row r="440" spans="2:17" ht="16.2" hidden="1" outlineLevel="1" thickBot="1" x14ac:dyDescent="0.4">
      <c r="B440" s="27" t="s">
        <v>47</v>
      </c>
      <c r="C440" s="27"/>
      <c r="D440" s="12"/>
      <c r="E440" s="34">
        <f t="shared" ref="E440:L440" si="166">SUM(E438:E439)</f>
        <v>15596</v>
      </c>
      <c r="F440" s="34">
        <f t="shared" si="166"/>
        <v>42827</v>
      </c>
      <c r="G440" s="34">
        <f t="shared" si="166"/>
        <v>45438</v>
      </c>
      <c r="H440" s="34">
        <f t="shared" si="166"/>
        <v>61702.100724758282</v>
      </c>
      <c r="I440" s="34">
        <f t="shared" si="166"/>
        <v>85495.286794411018</v>
      </c>
      <c r="J440" s="34">
        <f t="shared" si="166"/>
        <v>113412.96804738868</v>
      </c>
      <c r="K440" s="34">
        <f t="shared" si="166"/>
        <v>150509.07785662022</v>
      </c>
      <c r="L440" s="34">
        <f t="shared" si="166"/>
        <v>195804.05352156694</v>
      </c>
      <c r="M440" s="36"/>
      <c r="N440" s="36"/>
      <c r="O440" s="36"/>
      <c r="P440" s="36"/>
      <c r="Q440" s="36"/>
    </row>
    <row r="441" spans="2:17" collapsed="1" x14ac:dyDescent="0.3"/>
    <row r="442" spans="2:17" ht="18.600000000000001" customHeight="1" x14ac:dyDescent="0.3">
      <c r="B442" s="186" t="s">
        <v>9</v>
      </c>
      <c r="C442" s="186"/>
      <c r="D442" s="186"/>
      <c r="E442" s="186"/>
      <c r="F442" s="186"/>
      <c r="G442" s="186"/>
      <c r="H442" s="186"/>
      <c r="I442" s="186"/>
      <c r="J442" s="186"/>
      <c r="K442" s="186"/>
      <c r="L442" s="186"/>
    </row>
    <row r="443" spans="2:17" outlineLevel="1" x14ac:dyDescent="0.3"/>
    <row r="444" spans="2:17" ht="16.2" outlineLevel="1" thickBot="1" x14ac:dyDescent="0.4">
      <c r="B444" s="261" t="s">
        <v>74</v>
      </c>
      <c r="D444" s="12"/>
      <c r="E444" s="4">
        <v>2022</v>
      </c>
      <c r="F444" s="4">
        <v>2023</v>
      </c>
      <c r="G444" s="4">
        <v>2024</v>
      </c>
      <c r="H444" s="5">
        <f>G444+1</f>
        <v>2025</v>
      </c>
      <c r="I444" s="5">
        <f>H444+1</f>
        <v>2026</v>
      </c>
      <c r="J444" s="5">
        <f>I444+1</f>
        <v>2027</v>
      </c>
      <c r="K444" s="5">
        <f>J444+1</f>
        <v>2028</v>
      </c>
      <c r="L444" s="5">
        <f>K444+1</f>
        <v>2029</v>
      </c>
    </row>
    <row r="445" spans="2:17" outlineLevel="1" x14ac:dyDescent="0.35">
      <c r="B445" s="27"/>
      <c r="C445" s="27"/>
      <c r="D445" s="12"/>
      <c r="E445" s="6"/>
      <c r="F445" s="6"/>
      <c r="G445" s="7"/>
      <c r="H445" s="7"/>
      <c r="I445" s="7"/>
      <c r="J445" s="7"/>
      <c r="K445" s="7"/>
      <c r="L445" s="7"/>
    </row>
    <row r="446" spans="2:17" outlineLevel="1" x14ac:dyDescent="0.35">
      <c r="B446" s="35" t="s">
        <v>17</v>
      </c>
      <c r="C446" s="35"/>
      <c r="D446" s="12"/>
      <c r="E446" s="27"/>
    </row>
    <row r="447" spans="2:17" outlineLevel="1" x14ac:dyDescent="0.35">
      <c r="B447" s="35" t="s">
        <v>18</v>
      </c>
      <c r="C447" s="35"/>
      <c r="D447" s="12"/>
      <c r="E447" s="27"/>
    </row>
    <row r="448" spans="2:17" outlineLevel="1" x14ac:dyDescent="0.35">
      <c r="B448" s="11" t="s">
        <v>19</v>
      </c>
      <c r="C448" s="11"/>
      <c r="D448" s="12"/>
      <c r="E448" s="22">
        <v>14681</v>
      </c>
      <c r="F448" s="22">
        <v>41862</v>
      </c>
      <c r="G448" s="22">
        <v>43889</v>
      </c>
      <c r="H448" s="29">
        <f>H440</f>
        <v>61702.100724758282</v>
      </c>
      <c r="I448" s="29">
        <f t="shared" ref="I448:L448" si="167">I440</f>
        <v>85495.286794411018</v>
      </c>
      <c r="J448" s="29">
        <f t="shared" si="167"/>
        <v>113412.96804738868</v>
      </c>
      <c r="K448" s="29">
        <f t="shared" si="167"/>
        <v>150509.07785662022</v>
      </c>
      <c r="L448" s="29">
        <f t="shared" si="167"/>
        <v>195804.05352156694</v>
      </c>
    </row>
    <row r="449" spans="2:12" outlineLevel="1" x14ac:dyDescent="0.35">
      <c r="B449" s="11" t="s">
        <v>49</v>
      </c>
      <c r="C449" s="11"/>
      <c r="D449" s="12"/>
      <c r="E449" s="22">
        <v>26057</v>
      </c>
      <c r="F449" s="22">
        <v>23541</v>
      </c>
      <c r="G449" s="22">
        <v>33926</v>
      </c>
      <c r="H449" s="29">
        <f>H589</f>
        <v>38970.286899999999</v>
      </c>
      <c r="I449" s="29">
        <f>I589</f>
        <v>45686.040224999997</v>
      </c>
      <c r="J449" s="29">
        <f>J589</f>
        <v>53789.873550624987</v>
      </c>
      <c r="K449" s="29">
        <f>K589</f>
        <v>63296.920968874991</v>
      </c>
      <c r="L449" s="29">
        <f>L589</f>
        <v>72791.459114206242</v>
      </c>
    </row>
    <row r="450" spans="2:12" outlineLevel="1" x14ac:dyDescent="0.35">
      <c r="B450" s="11" t="s">
        <v>50</v>
      </c>
      <c r="C450" s="11"/>
      <c r="D450" s="12"/>
      <c r="E450" s="22">
        <v>13466</v>
      </c>
      <c r="F450" s="22">
        <v>16169</v>
      </c>
      <c r="G450" s="22">
        <v>16994</v>
      </c>
      <c r="H450" s="29">
        <f>H500</f>
        <v>19695.051232876714</v>
      </c>
      <c r="I450" s="29">
        <f t="shared" ref="I450:L450" si="168">I500</f>
        <v>25033.446698630138</v>
      </c>
      <c r="J450" s="29">
        <f t="shared" si="168"/>
        <v>28788.463703424652</v>
      </c>
      <c r="K450" s="29">
        <f t="shared" si="168"/>
        <v>33106.733258938351</v>
      </c>
      <c r="L450" s="29">
        <f t="shared" si="168"/>
        <v>38072.743247779101</v>
      </c>
    </row>
    <row r="451" spans="2:12" outlineLevel="1" x14ac:dyDescent="0.35">
      <c r="B451" s="11" t="s">
        <v>253</v>
      </c>
      <c r="C451" s="11"/>
      <c r="D451" s="12"/>
      <c r="E451" s="22">
        <v>5345</v>
      </c>
      <c r="F451" s="22">
        <v>3793</v>
      </c>
      <c r="G451" s="22">
        <v>5236</v>
      </c>
      <c r="H451" s="29">
        <f>H600</f>
        <v>6053.6368000000002</v>
      </c>
      <c r="I451" s="29">
        <f t="shared" ref="I451:L451" si="169">I600</f>
        <v>8266.9977549999985</v>
      </c>
      <c r="J451" s="29">
        <f t="shared" si="169"/>
        <v>9507.0474182499984</v>
      </c>
      <c r="K451" s="29">
        <f t="shared" si="169"/>
        <v>11508.531085249999</v>
      </c>
      <c r="L451" s="29">
        <f t="shared" si="169"/>
        <v>13234.810748037498</v>
      </c>
    </row>
    <row r="452" spans="2:12" outlineLevel="1" x14ac:dyDescent="0.35">
      <c r="B452" s="37" t="s">
        <v>21</v>
      </c>
      <c r="C452" s="8"/>
      <c r="D452" s="12"/>
      <c r="E452" s="38">
        <f t="shared" ref="E452:L452" si="170">SUM(E448:E451)</f>
        <v>59549</v>
      </c>
      <c r="F452" s="38">
        <f t="shared" si="170"/>
        <v>85365</v>
      </c>
      <c r="G452" s="38">
        <f t="shared" si="170"/>
        <v>100045</v>
      </c>
      <c r="H452" s="38">
        <f t="shared" si="170"/>
        <v>126421.075657635</v>
      </c>
      <c r="I452" s="38">
        <f t="shared" si="170"/>
        <v>164481.77147304115</v>
      </c>
      <c r="J452" s="38">
        <f t="shared" si="170"/>
        <v>205498.35271968832</v>
      </c>
      <c r="K452" s="38">
        <f t="shared" si="170"/>
        <v>258421.26316968357</v>
      </c>
      <c r="L452" s="38">
        <f t="shared" si="170"/>
        <v>319903.06663158973</v>
      </c>
    </row>
    <row r="453" spans="2:12" outlineLevel="1" x14ac:dyDescent="0.35">
      <c r="B453" s="8"/>
      <c r="C453" s="8"/>
      <c r="D453" s="12"/>
      <c r="E453" s="39"/>
      <c r="F453" s="39"/>
      <c r="G453" s="39"/>
      <c r="H453" s="39"/>
      <c r="I453" s="39"/>
      <c r="J453" s="39"/>
      <c r="K453" s="39"/>
      <c r="L453" s="39"/>
    </row>
    <row r="454" spans="2:12" outlineLevel="1" x14ac:dyDescent="0.35">
      <c r="B454" s="35" t="s">
        <v>22</v>
      </c>
      <c r="C454" s="35"/>
      <c r="D454" s="12"/>
      <c r="E454" s="40"/>
      <c r="F454" s="22"/>
      <c r="G454" s="22"/>
      <c r="H454" s="29"/>
      <c r="I454" s="29"/>
      <c r="J454" s="29"/>
      <c r="K454" s="29"/>
      <c r="L454" s="29"/>
    </row>
    <row r="455" spans="2:12" outlineLevel="1" x14ac:dyDescent="0.35">
      <c r="B455" s="27" t="s">
        <v>254</v>
      </c>
      <c r="C455" s="35"/>
      <c r="D455" s="12"/>
      <c r="E455" s="40">
        <v>6201</v>
      </c>
      <c r="F455" s="22">
        <v>6141</v>
      </c>
      <c r="G455" s="22">
        <v>6070</v>
      </c>
      <c r="H455" s="29">
        <f>H25</f>
        <v>6070</v>
      </c>
      <c r="I455" s="29">
        <f>I25</f>
        <v>6300</v>
      </c>
      <c r="J455" s="29">
        <f>J25</f>
        <v>6200</v>
      </c>
      <c r="K455" s="29">
        <f>K25</f>
        <v>6200</v>
      </c>
      <c r="L455" s="29">
        <f>L25</f>
        <v>6200</v>
      </c>
    </row>
    <row r="456" spans="2:12" outlineLevel="1" x14ac:dyDescent="0.35">
      <c r="B456" s="27" t="s">
        <v>23</v>
      </c>
      <c r="C456" s="27"/>
      <c r="D456" s="12"/>
      <c r="E456" s="40">
        <v>79518</v>
      </c>
      <c r="F456" s="22">
        <v>96587</v>
      </c>
      <c r="G456" s="22">
        <v>121346</v>
      </c>
      <c r="H456" s="29">
        <f>H580</f>
        <v>134782.9092001254</v>
      </c>
      <c r="I456" s="29">
        <f t="shared" ref="I456:L456" si="171">I580</f>
        <v>139289.11796109655</v>
      </c>
      <c r="J456" s="29">
        <f t="shared" si="171"/>
        <v>142914.75232192772</v>
      </c>
      <c r="K456" s="29">
        <f t="shared" si="171"/>
        <v>145527.72612259781</v>
      </c>
      <c r="L456" s="29">
        <f t="shared" si="171"/>
        <v>146976.14027908273</v>
      </c>
    </row>
    <row r="457" spans="2:12" outlineLevel="1" x14ac:dyDescent="0.35">
      <c r="B457" s="27" t="s">
        <v>255</v>
      </c>
      <c r="C457" s="27"/>
      <c r="D457" s="12"/>
      <c r="E457" s="40">
        <v>12673</v>
      </c>
      <c r="F457" s="22">
        <v>13294</v>
      </c>
      <c r="G457" s="22">
        <v>14922</v>
      </c>
      <c r="H457" s="29">
        <f>H667</f>
        <v>14868.790073745928</v>
      </c>
      <c r="I457" s="29">
        <f t="shared" ref="I457:L457" si="172">I667</f>
        <v>17099.108584807815</v>
      </c>
      <c r="J457" s="29">
        <f t="shared" si="172"/>
        <v>19663.97487252899</v>
      </c>
      <c r="K457" s="29">
        <f t="shared" si="172"/>
        <v>22613.571103408332</v>
      </c>
      <c r="L457" s="29">
        <f t="shared" si="172"/>
        <v>26005.606768919584</v>
      </c>
    </row>
    <row r="458" spans="2:12" outlineLevel="1" x14ac:dyDescent="0.35">
      <c r="B458" s="27" t="s">
        <v>262</v>
      </c>
      <c r="C458" s="27"/>
      <c r="D458" s="12"/>
      <c r="E458" s="40">
        <v>897</v>
      </c>
      <c r="F458" s="22">
        <v>0</v>
      </c>
      <c r="G458" s="22">
        <v>0</v>
      </c>
      <c r="H458" s="29">
        <f t="shared" ref="H458:L459" si="173">H26</f>
        <v>0</v>
      </c>
      <c r="I458" s="29">
        <f t="shared" si="173"/>
        <v>0</v>
      </c>
      <c r="J458" s="29">
        <f t="shared" si="173"/>
        <v>0</v>
      </c>
      <c r="K458" s="29">
        <f t="shared" si="173"/>
        <v>0</v>
      </c>
      <c r="L458" s="29">
        <f t="shared" si="173"/>
        <v>0</v>
      </c>
    </row>
    <row r="459" spans="2:12" outlineLevel="1" x14ac:dyDescent="0.35">
      <c r="B459" s="11" t="s">
        <v>256</v>
      </c>
      <c r="C459" s="27"/>
      <c r="D459" s="12"/>
      <c r="E459" s="40">
        <v>20306</v>
      </c>
      <c r="F459" s="40">
        <v>20654</v>
      </c>
      <c r="G459" s="40">
        <v>20654</v>
      </c>
      <c r="H459" s="29">
        <f t="shared" si="173"/>
        <v>20654</v>
      </c>
      <c r="I459" s="29">
        <f t="shared" si="173"/>
        <v>20654</v>
      </c>
      <c r="J459" s="29">
        <f t="shared" si="173"/>
        <v>21000</v>
      </c>
      <c r="K459" s="29">
        <f t="shared" si="173"/>
        <v>21000</v>
      </c>
      <c r="L459" s="29">
        <f t="shared" si="173"/>
        <v>21000</v>
      </c>
    </row>
    <row r="460" spans="2:12" outlineLevel="1" x14ac:dyDescent="0.35">
      <c r="B460" s="11" t="s">
        <v>240</v>
      </c>
      <c r="D460" s="12"/>
      <c r="E460" s="40">
        <v>6583</v>
      </c>
      <c r="F460" s="40">
        <v>7582</v>
      </c>
      <c r="G460" s="40">
        <v>13017</v>
      </c>
      <c r="H460" s="29">
        <f>H751</f>
        <v>14944.915849999999</v>
      </c>
      <c r="I460" s="29">
        <f t="shared" ref="I460:L460" si="174">I751</f>
        <v>17404.2058</v>
      </c>
      <c r="J460" s="29">
        <f t="shared" si="174"/>
        <v>20515.207586749999</v>
      </c>
      <c r="K460" s="29">
        <f t="shared" si="174"/>
        <v>24455.628556156247</v>
      </c>
      <c r="L460" s="29">
        <f t="shared" si="174"/>
        <v>28123.972839579685</v>
      </c>
    </row>
    <row r="461" spans="2:12" ht="16.2" outlineLevel="1" thickBot="1" x14ac:dyDescent="0.4">
      <c r="B461" s="37" t="s">
        <v>24</v>
      </c>
      <c r="C461" s="27"/>
      <c r="D461" s="12"/>
      <c r="E461" s="41">
        <f t="shared" ref="E461:F461" si="175">SUM(E452:E460)</f>
        <v>185727</v>
      </c>
      <c r="F461" s="41">
        <f t="shared" si="175"/>
        <v>229623</v>
      </c>
      <c r="G461" s="41">
        <f>SUM(G452:G460)</f>
        <v>276054</v>
      </c>
      <c r="H461" s="41">
        <f>SUM(H452:H460)</f>
        <v>317741.6907815063</v>
      </c>
      <c r="I461" s="41">
        <f t="shared" ref="I461:L461" si="176">SUM(I452:I460)</f>
        <v>365228.20381894556</v>
      </c>
      <c r="J461" s="41">
        <f t="shared" si="176"/>
        <v>415792.28750089498</v>
      </c>
      <c r="K461" s="41">
        <f t="shared" si="176"/>
        <v>478218.18895184598</v>
      </c>
      <c r="L461" s="41">
        <f t="shared" si="176"/>
        <v>548208.78651917167</v>
      </c>
    </row>
    <row r="462" spans="2:12" ht="16.2" outlineLevel="1" thickTop="1" x14ac:dyDescent="0.35">
      <c r="B462" s="27"/>
      <c r="C462" s="27"/>
      <c r="D462" s="12"/>
      <c r="E462" s="40"/>
      <c r="F462" s="22"/>
      <c r="G462" s="22"/>
      <c r="H462" s="29"/>
      <c r="I462" s="29"/>
      <c r="J462" s="29"/>
      <c r="K462" s="29"/>
      <c r="L462" s="29"/>
    </row>
    <row r="463" spans="2:12" outlineLevel="1" x14ac:dyDescent="0.35">
      <c r="B463" s="35" t="s">
        <v>25</v>
      </c>
      <c r="C463" s="35"/>
      <c r="D463" s="12"/>
      <c r="E463" s="40"/>
      <c r="F463" s="42"/>
      <c r="G463" s="42"/>
      <c r="H463" s="29"/>
      <c r="I463" s="29"/>
      <c r="J463" s="29"/>
      <c r="K463" s="29"/>
      <c r="L463" s="29"/>
    </row>
    <row r="464" spans="2:12" outlineLevel="1" x14ac:dyDescent="0.35">
      <c r="B464" s="8" t="s">
        <v>26</v>
      </c>
      <c r="C464" s="8"/>
      <c r="D464" s="12"/>
      <c r="E464" s="22"/>
      <c r="F464" s="22"/>
      <c r="G464" s="22"/>
      <c r="H464" s="22"/>
      <c r="I464" s="22"/>
      <c r="J464" s="22"/>
      <c r="K464" s="22"/>
      <c r="L464" s="22"/>
    </row>
    <row r="465" spans="2:12" outlineLevel="1" x14ac:dyDescent="0.35">
      <c r="B465" s="11" t="s">
        <v>27</v>
      </c>
      <c r="C465" s="11"/>
      <c r="D465" s="12"/>
      <c r="E465" s="40">
        <v>4990</v>
      </c>
      <c r="F465" s="22">
        <v>4849</v>
      </c>
      <c r="G465" s="22">
        <v>7687</v>
      </c>
      <c r="H465" s="29">
        <f>H501</f>
        <v>8478.3174449649432</v>
      </c>
      <c r="I465" s="29">
        <f t="shared" ref="I465:L465" si="177">I501</f>
        <v>9506.3134351669414</v>
      </c>
      <c r="J465" s="29">
        <f t="shared" si="177"/>
        <v>10932.260450441981</v>
      </c>
      <c r="K465" s="29">
        <f t="shared" si="177"/>
        <v>12572.099518008281</v>
      </c>
      <c r="L465" s="29">
        <f t="shared" si="177"/>
        <v>14457.914445709521</v>
      </c>
    </row>
    <row r="466" spans="2:12" outlineLevel="1" x14ac:dyDescent="0.35">
      <c r="B466" s="11" t="s">
        <v>263</v>
      </c>
      <c r="C466" s="11"/>
      <c r="D466" s="12"/>
      <c r="E466" s="40">
        <v>1117</v>
      </c>
      <c r="F466" s="22">
        <v>0</v>
      </c>
      <c r="G466" s="22">
        <v>0</v>
      </c>
      <c r="H466" s="29">
        <f>H29</f>
        <v>0</v>
      </c>
      <c r="I466" s="29">
        <f>I29</f>
        <v>0</v>
      </c>
      <c r="J466" s="29">
        <f>J29</f>
        <v>0</v>
      </c>
      <c r="K466" s="29">
        <f>K29</f>
        <v>0</v>
      </c>
      <c r="L466" s="29">
        <f>L29</f>
        <v>0</v>
      </c>
    </row>
    <row r="467" spans="2:12" outlineLevel="1" x14ac:dyDescent="0.35">
      <c r="B467" s="11" t="s">
        <v>257</v>
      </c>
      <c r="C467" s="11"/>
      <c r="D467" s="12"/>
      <c r="E467" s="40">
        <v>1367</v>
      </c>
      <c r="F467" s="22">
        <v>1623</v>
      </c>
      <c r="G467" s="22">
        <v>1942</v>
      </c>
      <c r="H467" s="29">
        <f>H677</f>
        <v>1896.222215882578</v>
      </c>
      <c r="I467" s="29">
        <f t="shared" ref="I467:L467" si="178">I677</f>
        <v>2180.6555482649646</v>
      </c>
      <c r="J467" s="29">
        <f t="shared" si="178"/>
        <v>2507.7538805047093</v>
      </c>
      <c r="K467" s="29">
        <f t="shared" si="178"/>
        <v>2883.9169625804152</v>
      </c>
      <c r="L467" s="29">
        <f t="shared" si="178"/>
        <v>3316.5045069674775</v>
      </c>
    </row>
    <row r="468" spans="2:12" outlineLevel="1" x14ac:dyDescent="0.35">
      <c r="B468" s="11" t="s">
        <v>241</v>
      </c>
      <c r="C468" s="11"/>
      <c r="D468" s="12"/>
      <c r="E468" s="40">
        <v>19552</v>
      </c>
      <c r="F468" s="40">
        <v>25488</v>
      </c>
      <c r="G468" s="22">
        <v>23967</v>
      </c>
      <c r="H468" s="29">
        <f>H642</f>
        <v>24126.514234096619</v>
      </c>
      <c r="I468" s="29">
        <f t="shared" ref="I468:L468" si="179">I642</f>
        <v>27745.491369211115</v>
      </c>
      <c r="J468" s="29">
        <f t="shared" si="179"/>
        <v>29214.630539481295</v>
      </c>
      <c r="K468" s="29">
        <f t="shared" si="179"/>
        <v>33596.825120403482</v>
      </c>
      <c r="L468" s="29">
        <f t="shared" si="179"/>
        <v>38636.34888846401</v>
      </c>
    </row>
    <row r="469" spans="2:12" outlineLevel="1" x14ac:dyDescent="0.35">
      <c r="B469" s="8" t="s">
        <v>29</v>
      </c>
      <c r="C469" s="8"/>
      <c r="D469" s="12"/>
      <c r="E469" s="38">
        <f t="shared" ref="E469:L469" si="180">SUM(E465:E468)</f>
        <v>27026</v>
      </c>
      <c r="F469" s="38">
        <f t="shared" si="180"/>
        <v>31960</v>
      </c>
      <c r="G469" s="38">
        <f t="shared" si="180"/>
        <v>33596</v>
      </c>
      <c r="H469" s="38">
        <f t="shared" si="180"/>
        <v>34501.05389494414</v>
      </c>
      <c r="I469" s="38">
        <f t="shared" si="180"/>
        <v>39432.460352643022</v>
      </c>
      <c r="J469" s="38">
        <f t="shared" si="180"/>
        <v>42654.64487042799</v>
      </c>
      <c r="K469" s="38">
        <f t="shared" si="180"/>
        <v>49052.841600992178</v>
      </c>
      <c r="L469" s="38">
        <f t="shared" si="180"/>
        <v>56410.767841141009</v>
      </c>
    </row>
    <row r="470" spans="2:12" outlineLevel="1" x14ac:dyDescent="0.35">
      <c r="B470" s="11"/>
      <c r="C470" s="11"/>
      <c r="D470" s="12"/>
      <c r="E470" s="40"/>
      <c r="F470" s="40"/>
      <c r="G470" s="40"/>
      <c r="H470" s="29"/>
      <c r="I470" s="29"/>
      <c r="J470" s="29"/>
      <c r="K470" s="29"/>
      <c r="L470" s="29"/>
    </row>
    <row r="471" spans="2:12" outlineLevel="1" x14ac:dyDescent="0.35">
      <c r="B471" s="8" t="s">
        <v>30</v>
      </c>
      <c r="C471" s="8"/>
      <c r="D471" s="12"/>
      <c r="E471" s="40"/>
      <c r="F471" s="40"/>
      <c r="G471" s="40"/>
      <c r="H471" s="29"/>
      <c r="I471" s="29"/>
      <c r="J471" s="29"/>
      <c r="K471" s="29"/>
      <c r="L471" s="29"/>
    </row>
    <row r="472" spans="2:12" outlineLevel="1" x14ac:dyDescent="0.35">
      <c r="B472" s="11" t="s">
        <v>258</v>
      </c>
      <c r="C472" s="11"/>
      <c r="D472" s="12"/>
      <c r="E472" s="22">
        <v>15301</v>
      </c>
      <c r="F472" s="22">
        <v>17226</v>
      </c>
      <c r="G472" s="22">
        <v>18292</v>
      </c>
      <c r="H472" s="32">
        <f>H678</f>
        <v>19172.913516146065</v>
      </c>
      <c r="I472" s="32">
        <f t="shared" ref="I472:L472" si="181">I678</f>
        <v>22048.850543567976</v>
      </c>
      <c r="J472" s="32">
        <f t="shared" si="181"/>
        <v>25356.178125103172</v>
      </c>
      <c r="K472" s="32">
        <f t="shared" si="181"/>
        <v>29159.604843868645</v>
      </c>
      <c r="L472" s="32">
        <f t="shared" si="181"/>
        <v>33533.545570448943</v>
      </c>
    </row>
    <row r="473" spans="2:12" outlineLevel="1" x14ac:dyDescent="0.35">
      <c r="B473" s="11" t="s">
        <v>259</v>
      </c>
      <c r="C473" s="11"/>
      <c r="D473" s="12"/>
      <c r="E473" s="22">
        <v>9923</v>
      </c>
      <c r="F473" s="22">
        <v>18385</v>
      </c>
      <c r="G473" s="22">
        <v>28826</v>
      </c>
      <c r="H473" s="32">
        <f>H622</f>
        <v>40899.179835000003</v>
      </c>
      <c r="I473" s="32">
        <f t="shared" ref="I473:L473" si="182">I622</f>
        <v>54791.330410249997</v>
      </c>
      <c r="J473" s="32">
        <f t="shared" si="182"/>
        <v>70767.303571787503</v>
      </c>
      <c r="K473" s="32">
        <f t="shared" si="182"/>
        <v>89139.672707555626</v>
      </c>
      <c r="L473" s="32">
        <f t="shared" si="182"/>
        <v>110267.89721368896</v>
      </c>
    </row>
    <row r="474" spans="2:12" outlineLevel="1" x14ac:dyDescent="0.35">
      <c r="B474" s="11" t="s">
        <v>260</v>
      </c>
      <c r="C474" s="11"/>
      <c r="D474" s="12"/>
      <c r="E474" s="22">
        <v>0</v>
      </c>
      <c r="F474" s="22">
        <v>7514</v>
      </c>
      <c r="G474" s="22">
        <v>9987</v>
      </c>
      <c r="H474" s="32">
        <f>H30*(H456+H458)</f>
        <v>10782.632736010033</v>
      </c>
      <c r="I474" s="32">
        <f>I30*(I456+I458)</f>
        <v>10446.68384708224</v>
      </c>
      <c r="J474" s="32">
        <f>J30*(J456+J458)</f>
        <v>10004.032662534941</v>
      </c>
      <c r="K474" s="32">
        <f>K30*(K456+K458)</f>
        <v>10186.940828581848</v>
      </c>
      <c r="L474" s="32">
        <f>L30*(L456+L458)</f>
        <v>10288.329819535791</v>
      </c>
    </row>
    <row r="475" spans="2:12" outlineLevel="1" x14ac:dyDescent="0.35">
      <c r="B475" s="11" t="s">
        <v>242</v>
      </c>
      <c r="D475" s="12"/>
      <c r="E475" s="22">
        <v>7764</v>
      </c>
      <c r="F475" s="22">
        <v>1370</v>
      </c>
      <c r="G475" s="22">
        <v>2716</v>
      </c>
      <c r="H475" s="32">
        <f>H759</f>
        <v>3215.9945500000003</v>
      </c>
      <c r="I475" s="32">
        <f>I759</f>
        <v>3263.2885874999997</v>
      </c>
      <c r="J475" s="32">
        <f>J759</f>
        <v>3752.7818756249994</v>
      </c>
      <c r="K475" s="32">
        <f>K759</f>
        <v>4315.6991569687489</v>
      </c>
      <c r="L475" s="32">
        <f>L759</f>
        <v>4963.0540305140612</v>
      </c>
    </row>
    <row r="476" spans="2:12" ht="16.2" outlineLevel="1" thickBot="1" x14ac:dyDescent="0.4">
      <c r="B476" s="8" t="s">
        <v>31</v>
      </c>
      <c r="C476" s="8"/>
      <c r="D476" s="12"/>
      <c r="E476" s="41">
        <f>SUM(E469:E475)</f>
        <v>60014</v>
      </c>
      <c r="F476" s="41">
        <f>SUM(F469:F475)</f>
        <v>76455</v>
      </c>
      <c r="G476" s="41">
        <f>SUM(G469:G475)</f>
        <v>93417</v>
      </c>
      <c r="H476" s="41">
        <f>SUM(H469:H475)</f>
        <v>108571.77453210024</v>
      </c>
      <c r="I476" s="41">
        <f t="shared" ref="I476:L476" si="183">SUM(I469:I475)</f>
        <v>129982.61374104324</v>
      </c>
      <c r="J476" s="41">
        <f t="shared" si="183"/>
        <v>152534.94110547862</v>
      </c>
      <c r="K476" s="41">
        <f t="shared" si="183"/>
        <v>181854.75913796702</v>
      </c>
      <c r="L476" s="41">
        <f t="shared" si="183"/>
        <v>215463.59447532875</v>
      </c>
    </row>
    <row r="477" spans="2:12" ht="16.2" outlineLevel="1" thickTop="1" x14ac:dyDescent="0.35">
      <c r="B477" s="11"/>
      <c r="C477" s="11"/>
      <c r="D477" s="12"/>
      <c r="E477" s="40"/>
      <c r="F477" s="40"/>
      <c r="G477" s="40"/>
      <c r="H477" s="29"/>
      <c r="I477" s="29"/>
      <c r="J477" s="29"/>
      <c r="K477" s="29"/>
      <c r="L477" s="29"/>
    </row>
    <row r="478" spans="2:12" outlineLevel="1" x14ac:dyDescent="0.35">
      <c r="B478" s="8" t="s">
        <v>32</v>
      </c>
      <c r="C478" s="8"/>
      <c r="D478" s="12"/>
      <c r="E478" s="40"/>
      <c r="F478" s="40"/>
      <c r="G478" s="40"/>
    </row>
    <row r="479" spans="2:12" outlineLevel="1" x14ac:dyDescent="0.35">
      <c r="B479" s="27" t="s">
        <v>33</v>
      </c>
      <c r="C479" s="27"/>
      <c r="D479" s="12"/>
      <c r="E479" s="40">
        <v>2614</v>
      </c>
      <c r="F479" s="40">
        <v>2561</v>
      </c>
      <c r="G479" s="22">
        <v>2534</v>
      </c>
      <c r="H479" s="32">
        <f>H703</f>
        <v>2463.8931627380157</v>
      </c>
      <c r="I479" s="32">
        <f t="shared" ref="I479:L479" si="184">I703</f>
        <v>2383.2702998867335</v>
      </c>
      <c r="J479" s="32">
        <f t="shared" si="184"/>
        <v>2285.5502984402588</v>
      </c>
      <c r="K479" s="32">
        <f t="shared" si="184"/>
        <v>1652.4112651692506</v>
      </c>
      <c r="L479" s="32">
        <f t="shared" si="184"/>
        <v>924.30137690759113</v>
      </c>
    </row>
    <row r="480" spans="2:12" outlineLevel="1" x14ac:dyDescent="0.35">
      <c r="B480" s="27" t="s">
        <v>261</v>
      </c>
      <c r="C480" s="27"/>
      <c r="D480" s="12"/>
      <c r="E480" s="40">
        <v>64444</v>
      </c>
      <c r="F480" s="40">
        <v>73253</v>
      </c>
      <c r="G480" s="22">
        <v>83228</v>
      </c>
      <c r="H480" s="32">
        <f>H714</f>
        <v>94773.745150000002</v>
      </c>
      <c r="I480" s="32">
        <f>I714</f>
        <v>107397.79435499999</v>
      </c>
      <c r="J480" s="32">
        <f>J714</f>
        <v>122164.73639912499</v>
      </c>
      <c r="K480" s="32">
        <f>K714</f>
        <v>139145.81974986874</v>
      </c>
      <c r="L480" s="32">
        <f>L714</f>
        <v>158673.16560322404</v>
      </c>
    </row>
    <row r="481" spans="2:12" outlineLevel="1" x14ac:dyDescent="0.35">
      <c r="B481" s="27" t="s">
        <v>51</v>
      </c>
      <c r="C481" s="27"/>
      <c r="D481" s="12"/>
      <c r="E481" s="40">
        <v>-3530</v>
      </c>
      <c r="F481" s="40">
        <v>-2155</v>
      </c>
      <c r="G481" s="22">
        <v>-3097</v>
      </c>
      <c r="H481" s="32">
        <f>H722</f>
        <v>-3191.5880750000001</v>
      </c>
      <c r="I481" s="32">
        <f>I722</f>
        <v>-3343.8748757500002</v>
      </c>
      <c r="J481" s="32">
        <f>J722</f>
        <v>-3468.9676049375003</v>
      </c>
      <c r="K481" s="32">
        <f>K722</f>
        <v>-3612.8242435031252</v>
      </c>
      <c r="L481" s="32">
        <f>L722</f>
        <v>-3844.4334315937813</v>
      </c>
    </row>
    <row r="482" spans="2:12" outlineLevel="1" x14ac:dyDescent="0.35">
      <c r="B482" s="27" t="s">
        <v>52</v>
      </c>
      <c r="C482" s="27"/>
      <c r="D482" s="12"/>
      <c r="E482" s="40">
        <v>64799</v>
      </c>
      <c r="F482" s="40">
        <v>82070</v>
      </c>
      <c r="G482" s="22">
        <v>102506</v>
      </c>
      <c r="H482" s="32">
        <f>H735</f>
        <v>115151.27372678232</v>
      </c>
      <c r="I482" s="32">
        <f>I735</f>
        <v>128841.69421883198</v>
      </c>
      <c r="J482" s="32">
        <f>J735</f>
        <v>142263.45228418906</v>
      </c>
      <c r="K482" s="32">
        <f>K735</f>
        <v>159212.75725217783</v>
      </c>
      <c r="L482" s="32">
        <f>L735</f>
        <v>177017.93095010793</v>
      </c>
    </row>
    <row r="483" spans="2:12" ht="16.2" outlineLevel="1" thickBot="1" x14ac:dyDescent="0.4">
      <c r="B483" s="8" t="s">
        <v>34</v>
      </c>
      <c r="C483" s="8"/>
      <c r="D483" s="12"/>
      <c r="E483" s="43">
        <f t="shared" ref="E483:F483" si="185">SUM(E480:E482)</f>
        <v>125713</v>
      </c>
      <c r="F483" s="43">
        <f t="shared" si="185"/>
        <v>153168</v>
      </c>
      <c r="G483" s="43">
        <f>SUM(G480:G482)</f>
        <v>182637</v>
      </c>
      <c r="H483" s="43">
        <f t="shared" ref="H483:L483" si="186">SUM(H479:H482)</f>
        <v>209197.32396452036</v>
      </c>
      <c r="I483" s="43">
        <f t="shared" si="186"/>
        <v>235278.88399796869</v>
      </c>
      <c r="J483" s="43">
        <f t="shared" si="186"/>
        <v>263244.77137681679</v>
      </c>
      <c r="K483" s="43">
        <f t="shared" si="186"/>
        <v>296398.16402371268</v>
      </c>
      <c r="L483" s="43">
        <f t="shared" si="186"/>
        <v>332770.96449864574</v>
      </c>
    </row>
    <row r="484" spans="2:12" ht="16.2" outlineLevel="1" thickBot="1" x14ac:dyDescent="0.4">
      <c r="B484" s="8" t="s">
        <v>35</v>
      </c>
      <c r="C484" s="8"/>
      <c r="D484" s="12"/>
      <c r="E484" s="34">
        <f t="shared" ref="E484:L484" si="187">E476+E483</f>
        <v>185727</v>
      </c>
      <c r="F484" s="34">
        <f t="shared" si="187"/>
        <v>229623</v>
      </c>
      <c r="G484" s="34">
        <f t="shared" si="187"/>
        <v>276054</v>
      </c>
      <c r="H484" s="34">
        <f t="shared" si="187"/>
        <v>317769.0984966206</v>
      </c>
      <c r="I484" s="34">
        <f t="shared" si="187"/>
        <v>365261.49773901195</v>
      </c>
      <c r="J484" s="34">
        <f t="shared" si="187"/>
        <v>415779.71248229541</v>
      </c>
      <c r="K484" s="34">
        <f t="shared" si="187"/>
        <v>478252.9231616797</v>
      </c>
      <c r="L484" s="34">
        <f t="shared" si="187"/>
        <v>548234.55897397455</v>
      </c>
    </row>
    <row r="485" spans="2:12" outlineLevel="1" x14ac:dyDescent="0.35">
      <c r="B485" s="27"/>
      <c r="C485" s="27"/>
      <c r="D485" s="12"/>
      <c r="E485" s="44"/>
    </row>
    <row r="486" spans="2:12" outlineLevel="1" x14ac:dyDescent="0.35">
      <c r="B486" s="35" t="s">
        <v>36</v>
      </c>
      <c r="C486" s="35"/>
      <c r="D486" s="12"/>
      <c r="E486" s="45">
        <f>E461-E484</f>
        <v>0</v>
      </c>
      <c r="F486" s="46">
        <f>F461-F484</f>
        <v>0</v>
      </c>
      <c r="G486" s="46">
        <f>G461-G484</f>
        <v>0</v>
      </c>
      <c r="H486" s="46">
        <f>IF(ABS(H487)&lt;0.02%*H484,0,H461-H484)</f>
        <v>0</v>
      </c>
      <c r="I486" s="46">
        <f>IF(ABS(I487)&lt;0.02%*I484,0,I461-I484)</f>
        <v>0</v>
      </c>
      <c r="J486" s="46">
        <f>IF(ABS(J487)&lt;0.02%*J484,0,J461-J484)</f>
        <v>0</v>
      </c>
      <c r="K486" s="46">
        <f>IF(ABS(K487)&lt;0.02%*K484,0,K461-K484)</f>
        <v>0</v>
      </c>
      <c r="L486" s="47">
        <f>IF(ABS(L487)&lt;0.02%*L484,0,L461-L484)</f>
        <v>0</v>
      </c>
    </row>
    <row r="487" spans="2:12" x14ac:dyDescent="0.3">
      <c r="H487" s="48">
        <f>H461-H484</f>
        <v>-27.407715114299208</v>
      </c>
      <c r="I487" s="48">
        <f>I461-I484</f>
        <v>-33.29392006638227</v>
      </c>
      <c r="J487" s="48">
        <f>J461-J484</f>
        <v>12.575018599571194</v>
      </c>
      <c r="K487" s="48">
        <f>K461-K484</f>
        <v>-34.73420983372489</v>
      </c>
      <c r="L487" s="48">
        <f>L461-L484</f>
        <v>-25.772454802878201</v>
      </c>
    </row>
    <row r="488" spans="2:12" ht="18.600000000000001" customHeight="1" x14ac:dyDescent="0.3">
      <c r="B488" s="186" t="s">
        <v>123</v>
      </c>
      <c r="C488" s="186"/>
      <c r="D488" s="186"/>
      <c r="E488" s="186"/>
      <c r="F488" s="186"/>
      <c r="G488" s="186"/>
      <c r="H488" s="186"/>
      <c r="I488" s="186"/>
      <c r="J488" s="186"/>
      <c r="K488" s="186"/>
      <c r="L488" s="186"/>
    </row>
    <row r="489" spans="2:12" hidden="1" outlineLevel="1" x14ac:dyDescent="0.3"/>
    <row r="490" spans="2:12" ht="16.2" hidden="1" outlineLevel="1" thickBot="1" x14ac:dyDescent="0.35">
      <c r="B490" s="261" t="s">
        <v>74</v>
      </c>
      <c r="D490" s="4">
        <v>2021</v>
      </c>
      <c r="E490" s="4">
        <v>2022</v>
      </c>
      <c r="F490" s="4">
        <v>2023</v>
      </c>
      <c r="G490" s="4">
        <v>2024</v>
      </c>
      <c r="H490" s="5">
        <f>G490+1</f>
        <v>2025</v>
      </c>
      <c r="I490" s="5">
        <f>H490+1</f>
        <v>2026</v>
      </c>
      <c r="J490" s="5">
        <f>I490+1</f>
        <v>2027</v>
      </c>
      <c r="K490" s="5">
        <f>J490+1</f>
        <v>2028</v>
      </c>
      <c r="L490" s="5">
        <f>K490+1</f>
        <v>2029</v>
      </c>
    </row>
    <row r="491" spans="2:12" hidden="1" outlineLevel="1" x14ac:dyDescent="0.3"/>
    <row r="492" spans="2:12" hidden="1" outlineLevel="1" x14ac:dyDescent="0.35">
      <c r="B492" s="11" t="s">
        <v>7</v>
      </c>
      <c r="D492" s="12"/>
      <c r="E492" s="49">
        <f t="shared" ref="E492:L492" si="188">E103</f>
        <v>365</v>
      </c>
      <c r="F492" s="50">
        <f t="shared" si="188"/>
        <v>365</v>
      </c>
      <c r="G492" s="50">
        <f t="shared" si="188"/>
        <v>365</v>
      </c>
      <c r="H492" s="50">
        <f t="shared" si="188"/>
        <v>365</v>
      </c>
      <c r="I492" s="50">
        <f t="shared" si="188"/>
        <v>365</v>
      </c>
      <c r="J492" s="50">
        <f t="shared" si="188"/>
        <v>365</v>
      </c>
      <c r="K492" s="50">
        <f t="shared" si="188"/>
        <v>365</v>
      </c>
      <c r="L492" s="51">
        <f t="shared" si="188"/>
        <v>365</v>
      </c>
    </row>
    <row r="493" spans="2:12" hidden="1" outlineLevel="1" x14ac:dyDescent="0.35">
      <c r="B493" s="11" t="s">
        <v>57</v>
      </c>
      <c r="D493" s="12"/>
      <c r="E493" s="52">
        <f>E379</f>
        <v>116609</v>
      </c>
      <c r="F493" s="53">
        <f t="shared" ref="F493:L493" si="189">F379</f>
        <v>134902</v>
      </c>
      <c r="G493" s="53">
        <f t="shared" si="189"/>
        <v>164501</v>
      </c>
      <c r="H493" s="53">
        <f t="shared" si="189"/>
        <v>189176.15</v>
      </c>
      <c r="I493" s="53">
        <f t="shared" si="189"/>
        <v>217552.57249999998</v>
      </c>
      <c r="J493" s="53">
        <f t="shared" si="189"/>
        <v>250185.45837499996</v>
      </c>
      <c r="K493" s="53">
        <f t="shared" si="189"/>
        <v>287713.27713124995</v>
      </c>
      <c r="L493" s="54">
        <f t="shared" si="189"/>
        <v>330870.26870093745</v>
      </c>
    </row>
    <row r="494" spans="2:12" hidden="1" outlineLevel="1" x14ac:dyDescent="0.35">
      <c r="B494" s="11" t="s">
        <v>58</v>
      </c>
      <c r="D494" s="12"/>
      <c r="E494" s="55">
        <f t="shared" ref="E494:L494" si="190">E380</f>
        <v>25249</v>
      </c>
      <c r="F494" s="56">
        <f t="shared" si="190"/>
        <v>25959</v>
      </c>
      <c r="G494" s="56">
        <f t="shared" si="190"/>
        <v>30161</v>
      </c>
      <c r="H494" s="56">
        <f t="shared" si="190"/>
        <v>38682.323342652555</v>
      </c>
      <c r="I494" s="56">
        <f t="shared" si="190"/>
        <v>44484.671844050434</v>
      </c>
      <c r="J494" s="56">
        <f t="shared" si="190"/>
        <v>51157.372620657996</v>
      </c>
      <c r="K494" s="56">
        <f t="shared" si="190"/>
        <v>58830.978513756694</v>
      </c>
      <c r="L494" s="57">
        <f t="shared" si="190"/>
        <v>67655.6252908202</v>
      </c>
    </row>
    <row r="495" spans="2:12" hidden="1" outlineLevel="1" x14ac:dyDescent="0.3">
      <c r="B495" s="11"/>
    </row>
    <row r="496" spans="2:12" hidden="1" outlineLevel="1" x14ac:dyDescent="0.35">
      <c r="B496" s="11" t="s">
        <v>59</v>
      </c>
      <c r="D496" s="12"/>
      <c r="E496" s="18">
        <f t="shared" ref="E496:L497" si="191">E21</f>
        <v>42.150177087531837</v>
      </c>
      <c r="F496" s="18">
        <f t="shared" si="191"/>
        <v>43.747942951179375</v>
      </c>
      <c r="G496" s="18">
        <f t="shared" si="191"/>
        <v>37.706822450927348</v>
      </c>
      <c r="H496" s="19">
        <f t="shared" si="191"/>
        <v>38</v>
      </c>
      <c r="I496" s="19">
        <f t="shared" si="191"/>
        <v>42</v>
      </c>
      <c r="J496" s="19">
        <f t="shared" si="191"/>
        <v>42</v>
      </c>
      <c r="K496" s="19">
        <f t="shared" si="191"/>
        <v>42</v>
      </c>
      <c r="L496" s="19">
        <f t="shared" si="191"/>
        <v>42</v>
      </c>
    </row>
    <row r="497" spans="2:12" hidden="1" outlineLevel="1" x14ac:dyDescent="0.35">
      <c r="B497" s="11" t="s">
        <v>60</v>
      </c>
      <c r="D497" s="12"/>
      <c r="E497" s="18">
        <f t="shared" si="191"/>
        <v>72.135530120004759</v>
      </c>
      <c r="F497" s="18">
        <f t="shared" si="191"/>
        <v>68.18001463846835</v>
      </c>
      <c r="G497" s="18">
        <f t="shared" si="191"/>
        <v>93.02592752229701</v>
      </c>
      <c r="H497" s="19">
        <f t="shared" si="191"/>
        <v>80</v>
      </c>
      <c r="I497" s="19">
        <f t="shared" si="191"/>
        <v>78</v>
      </c>
      <c r="J497" s="19">
        <f t="shared" si="191"/>
        <v>78</v>
      </c>
      <c r="K497" s="19">
        <f t="shared" si="191"/>
        <v>78</v>
      </c>
      <c r="L497" s="19">
        <f t="shared" si="191"/>
        <v>78</v>
      </c>
    </row>
    <row r="498" spans="2:12" hidden="1" outlineLevel="1" x14ac:dyDescent="0.35">
      <c r="D498" s="12"/>
    </row>
    <row r="499" spans="2:12" hidden="1" outlineLevel="1" x14ac:dyDescent="0.35">
      <c r="B499" s="8" t="s">
        <v>61</v>
      </c>
      <c r="D499" s="12"/>
    </row>
    <row r="500" spans="2:12" hidden="1" outlineLevel="1" x14ac:dyDescent="0.35">
      <c r="B500" s="11" t="s">
        <v>62</v>
      </c>
      <c r="D500" s="12"/>
      <c r="E500" s="58">
        <f>E450</f>
        <v>13466</v>
      </c>
      <c r="F500" s="58">
        <f>F450</f>
        <v>16169</v>
      </c>
      <c r="G500" s="58">
        <f>G450</f>
        <v>16994</v>
      </c>
      <c r="H500" s="59">
        <f>(H496*H493)/H492</f>
        <v>19695.051232876714</v>
      </c>
      <c r="I500" s="59">
        <f>(I496*I493)/I492</f>
        <v>25033.446698630138</v>
      </c>
      <c r="J500" s="59">
        <f>(J496*J493)/J492</f>
        <v>28788.463703424652</v>
      </c>
      <c r="K500" s="59">
        <f>(K496*K493)/K492</f>
        <v>33106.733258938351</v>
      </c>
      <c r="L500" s="59">
        <f>(L496*L493)/L492</f>
        <v>38072.743247779101</v>
      </c>
    </row>
    <row r="501" spans="2:12" hidden="1" outlineLevel="1" x14ac:dyDescent="0.35">
      <c r="B501" s="11" t="s">
        <v>63</v>
      </c>
      <c r="D501" s="12"/>
      <c r="E501" s="58">
        <f>E465</f>
        <v>4990</v>
      </c>
      <c r="F501" s="58">
        <f>F465</f>
        <v>4849</v>
      </c>
      <c r="G501" s="58">
        <f>G465</f>
        <v>7687</v>
      </c>
      <c r="H501" s="59">
        <f>(H497*H494)/H492</f>
        <v>8478.3174449649432</v>
      </c>
      <c r="I501" s="59">
        <f>(I497*I494)/I492</f>
        <v>9506.3134351669414</v>
      </c>
      <c r="J501" s="59">
        <f>(J497*J494)/J492</f>
        <v>10932.260450441981</v>
      </c>
      <c r="K501" s="59">
        <f>(K497*K494)/K492</f>
        <v>12572.099518008281</v>
      </c>
      <c r="L501" s="59">
        <f>(L497*L494)/L492</f>
        <v>14457.914445709521</v>
      </c>
    </row>
    <row r="502" spans="2:12" hidden="1" outlineLevel="1" x14ac:dyDescent="0.35">
      <c r="D502" s="12"/>
    </row>
    <row r="503" spans="2:12" hidden="1" outlineLevel="1" x14ac:dyDescent="0.35">
      <c r="B503" s="8" t="s">
        <v>268</v>
      </c>
      <c r="D503" s="12"/>
    </row>
    <row r="504" spans="2:12" hidden="1" outlineLevel="1" x14ac:dyDescent="0.35">
      <c r="B504" s="11" t="s">
        <v>270</v>
      </c>
      <c r="D504" s="12"/>
      <c r="E504" s="58">
        <f>E411</f>
        <v>231</v>
      </c>
      <c r="F504" s="58">
        <f>F411</f>
        <v>-2399</v>
      </c>
      <c r="G504" s="58">
        <f>G411</f>
        <v>-1485</v>
      </c>
      <c r="H504" s="60">
        <f>G501-H501</f>
        <v>-791.31744496494321</v>
      </c>
      <c r="I504" s="60">
        <f t="shared" ref="I504:L504" si="192">H501-I501</f>
        <v>-1027.9959902019982</v>
      </c>
      <c r="J504" s="60">
        <f t="shared" si="192"/>
        <v>-1425.94701527504</v>
      </c>
      <c r="K504" s="60">
        <f t="shared" si="192"/>
        <v>-1639.8390675662995</v>
      </c>
      <c r="L504" s="60">
        <f t="shared" si="192"/>
        <v>-1885.8149277012399</v>
      </c>
    </row>
    <row r="505" spans="2:12" hidden="1" outlineLevel="1" x14ac:dyDescent="0.35">
      <c r="B505" s="11"/>
      <c r="D505" s="12"/>
      <c r="E505" s="12"/>
      <c r="F505" s="12"/>
      <c r="G505" s="12"/>
      <c r="H505" s="60"/>
      <c r="I505" s="60"/>
      <c r="J505" s="60"/>
      <c r="K505" s="60"/>
      <c r="L505" s="60"/>
    </row>
    <row r="506" spans="2:12" hidden="1" outlineLevel="1" x14ac:dyDescent="0.35">
      <c r="B506" s="8" t="s">
        <v>269</v>
      </c>
      <c r="D506" s="12"/>
      <c r="E506" s="12"/>
      <c r="F506" s="12"/>
      <c r="G506" s="12"/>
      <c r="H506" s="60"/>
      <c r="I506" s="60"/>
      <c r="J506" s="60"/>
      <c r="K506" s="60"/>
      <c r="L506" s="60"/>
    </row>
    <row r="507" spans="2:12" hidden="1" outlineLevel="1" x14ac:dyDescent="0.35">
      <c r="B507" s="11" t="s">
        <v>267</v>
      </c>
      <c r="C507" s="11"/>
      <c r="D507" s="12"/>
      <c r="E507" s="61">
        <f>E508/E493</f>
        <v>1.8008901542762566E-3</v>
      </c>
      <c r="F507" s="61">
        <f>F508/F493</f>
        <v>3.7805221568249544E-4</v>
      </c>
      <c r="G507" s="61">
        <f>G508/G493</f>
        <v>2.2674634196752602E-3</v>
      </c>
      <c r="H507" s="61">
        <f>AVERAGE(E507:G507)</f>
        <v>1.4821352632113374E-3</v>
      </c>
      <c r="I507" s="61">
        <f t="shared" ref="I507:L507" si="193">AVERAGE(F507:H507)</f>
        <v>1.3758836328563644E-3</v>
      </c>
      <c r="J507" s="61">
        <f t="shared" si="193"/>
        <v>1.708494105247654E-3</v>
      </c>
      <c r="K507" s="61">
        <f t="shared" si="193"/>
        <v>1.5221710004384517E-3</v>
      </c>
      <c r="L507" s="61">
        <f t="shared" si="193"/>
        <v>1.5355162461808231E-3</v>
      </c>
    </row>
    <row r="508" spans="2:12" hidden="1" outlineLevel="1" x14ac:dyDescent="0.35">
      <c r="B508" s="11" t="s">
        <v>63</v>
      </c>
      <c r="D508" s="12"/>
      <c r="E508" s="58">
        <f>E414</f>
        <v>210</v>
      </c>
      <c r="F508" s="58">
        <f>F414</f>
        <v>51</v>
      </c>
      <c r="G508" s="58">
        <f>G414</f>
        <v>373</v>
      </c>
      <c r="H508" s="60">
        <f>H507*H493</f>
        <v>280.38464287355742</v>
      </c>
      <c r="I508" s="60">
        <f>I507*I493</f>
        <v>299.32702378854759</v>
      </c>
      <c r="J508" s="60">
        <f>J507*J493</f>
        <v>427.44038085236974</v>
      </c>
      <c r="K508" s="60">
        <f>K507*K493</f>
        <v>437.94880689030026</v>
      </c>
      <c r="L508" s="60">
        <f>L507*L493</f>
        <v>508.05667296850379</v>
      </c>
    </row>
    <row r="509" spans="2:12" collapsed="1" x14ac:dyDescent="0.3"/>
    <row r="510" spans="2:12" ht="18.600000000000001" customHeight="1" x14ac:dyDescent="0.3">
      <c r="B510" s="186" t="s">
        <v>73</v>
      </c>
      <c r="C510" s="186"/>
      <c r="D510" s="186"/>
      <c r="E510" s="186"/>
      <c r="F510" s="186"/>
      <c r="G510" s="186"/>
      <c r="H510" s="186"/>
      <c r="I510" s="186"/>
      <c r="J510" s="186"/>
      <c r="K510" s="186"/>
      <c r="L510" s="186"/>
    </row>
    <row r="511" spans="2:12" hidden="1" outlineLevel="1" x14ac:dyDescent="0.3"/>
    <row r="512" spans="2:12" ht="16.2" hidden="1" outlineLevel="1" thickBot="1" x14ac:dyDescent="0.35">
      <c r="B512" s="261" t="s">
        <v>74</v>
      </c>
      <c r="D512" s="4">
        <v>2021</v>
      </c>
      <c r="E512" s="4">
        <v>2022</v>
      </c>
      <c r="F512" s="4">
        <v>2023</v>
      </c>
      <c r="G512" s="4">
        <v>2024</v>
      </c>
      <c r="H512" s="5">
        <f>G512+1</f>
        <v>2025</v>
      </c>
      <c r="I512" s="5">
        <f>H512+1</f>
        <v>2026</v>
      </c>
      <c r="J512" s="5">
        <f>I512+1</f>
        <v>2027</v>
      </c>
      <c r="K512" s="5">
        <f>J512+1</f>
        <v>2028</v>
      </c>
      <c r="L512" s="5">
        <f>K512+1</f>
        <v>2029</v>
      </c>
    </row>
    <row r="513" spans="2:12" hidden="1" outlineLevel="1" x14ac:dyDescent="0.3"/>
    <row r="514" spans="2:12" hidden="1" outlineLevel="1" x14ac:dyDescent="0.35">
      <c r="B514" s="27" t="s">
        <v>57</v>
      </c>
      <c r="D514" s="12"/>
      <c r="E514" s="60">
        <f t="shared" ref="E514:L514" si="194">E381</f>
        <v>91360</v>
      </c>
      <c r="F514" s="60">
        <f t="shared" si="194"/>
        <v>108943</v>
      </c>
      <c r="G514" s="60">
        <f t="shared" si="194"/>
        <v>134340</v>
      </c>
      <c r="H514" s="60">
        <f t="shared" si="194"/>
        <v>150493.82665734744</v>
      </c>
      <c r="I514" s="60">
        <f t="shared" si="194"/>
        <v>173067.90065594955</v>
      </c>
      <c r="J514" s="60">
        <f t="shared" si="194"/>
        <v>199028.08575434197</v>
      </c>
      <c r="K514" s="60">
        <f t="shared" si="194"/>
        <v>228882.29861749324</v>
      </c>
      <c r="L514" s="60">
        <f t="shared" si="194"/>
        <v>263214.64341011725</v>
      </c>
    </row>
    <row r="515" spans="2:12" hidden="1" outlineLevel="1" x14ac:dyDescent="0.35">
      <c r="B515" s="27" t="s">
        <v>90</v>
      </c>
      <c r="D515" s="12"/>
      <c r="E515" s="13">
        <f>E518</f>
        <v>0</v>
      </c>
      <c r="F515" s="13">
        <f>F518/F514</f>
        <v>2.7711739166353049E-2</v>
      </c>
      <c r="G515" s="13">
        <f>G518/G514</f>
        <v>3.9563793360131008E-2</v>
      </c>
      <c r="H515" s="62">
        <v>3.5000000000000003E-2</v>
      </c>
      <c r="I515" s="62">
        <v>3.5000000000000003E-2</v>
      </c>
      <c r="J515" s="62">
        <v>3.5000000000000003E-2</v>
      </c>
      <c r="K515" s="62">
        <v>3.5000000000000003E-2</v>
      </c>
      <c r="L515" s="62">
        <v>3.5000000000000003E-2</v>
      </c>
    </row>
    <row r="516" spans="2:12" hidden="1" outlineLevel="1" x14ac:dyDescent="0.3"/>
    <row r="517" spans="2:12" hidden="1" outlineLevel="1" x14ac:dyDescent="0.35">
      <c r="B517" s="27" t="s">
        <v>288</v>
      </c>
      <c r="D517" s="12"/>
      <c r="E517" s="63"/>
      <c r="F517" s="64">
        <f>-(F579-E579)</f>
        <v>8159</v>
      </c>
      <c r="G517" s="64">
        <f>-(G579-F579)</f>
        <v>10183</v>
      </c>
      <c r="H517" s="60">
        <f>H554</f>
        <v>13201.771904761905</v>
      </c>
      <c r="I517" s="60">
        <f>I554</f>
        <v>16738.543404761906</v>
      </c>
      <c r="J517" s="60">
        <f>J554</f>
        <v>20805.830629761906</v>
      </c>
      <c r="K517" s="60">
        <f>K554</f>
        <v>25483.210938511904</v>
      </c>
      <c r="L517" s="60">
        <f>L554</f>
        <v>30862.198293574405</v>
      </c>
    </row>
    <row r="518" spans="2:12" hidden="1" outlineLevel="1" x14ac:dyDescent="0.3">
      <c r="B518" s="27" t="s">
        <v>89</v>
      </c>
      <c r="E518" s="64"/>
      <c r="F518" s="64">
        <f>F519-F517</f>
        <v>3019</v>
      </c>
      <c r="G518" s="64">
        <f>G519-G517</f>
        <v>5315</v>
      </c>
      <c r="H518" s="60">
        <f>H515*H514</f>
        <v>5267.2839330071611</v>
      </c>
      <c r="I518" s="60">
        <f>I515*I514</f>
        <v>6057.376522958235</v>
      </c>
      <c r="J518" s="60">
        <f>J515*J514</f>
        <v>6965.9830014019699</v>
      </c>
      <c r="K518" s="60">
        <f>K515*K514</f>
        <v>8010.8804516122646</v>
      </c>
      <c r="L518" s="60">
        <f>L515*L514</f>
        <v>9212.5125193541044</v>
      </c>
    </row>
    <row r="519" spans="2:12" hidden="1" outlineLevel="1" x14ac:dyDescent="0.3">
      <c r="B519" s="27" t="s">
        <v>289</v>
      </c>
      <c r="E519" s="65">
        <f>E404</f>
        <v>8686</v>
      </c>
      <c r="F519" s="65">
        <f>F404</f>
        <v>11178</v>
      </c>
      <c r="G519" s="65">
        <f>G404</f>
        <v>15498</v>
      </c>
      <c r="H519" s="66">
        <f>SUM(H517:H518)</f>
        <v>18469.055837769065</v>
      </c>
      <c r="I519" s="66">
        <f t="shared" ref="I519:L519" si="195">SUM(I517:I518)</f>
        <v>22795.919927720141</v>
      </c>
      <c r="J519" s="66">
        <f t="shared" si="195"/>
        <v>27771.813631163874</v>
      </c>
      <c r="K519" s="66">
        <f t="shared" si="195"/>
        <v>33494.091390124166</v>
      </c>
      <c r="L519" s="66">
        <f t="shared" si="195"/>
        <v>40074.710812928512</v>
      </c>
    </row>
    <row r="520" spans="2:12" hidden="1" outlineLevel="1" x14ac:dyDescent="0.3">
      <c r="B520" s="27"/>
    </row>
    <row r="521" spans="2:12" hidden="1" outlineLevel="1" x14ac:dyDescent="0.3">
      <c r="B521" s="27" t="s">
        <v>287</v>
      </c>
      <c r="E521" s="60">
        <v>24975</v>
      </c>
      <c r="F521" s="60">
        <v>33134</v>
      </c>
      <c r="G521" s="60">
        <v>43317</v>
      </c>
      <c r="H521" s="60">
        <f>G521+H517</f>
        <v>56518.771904761903</v>
      </c>
      <c r="I521" s="60">
        <f>H521+I517</f>
        <v>73257.315309523809</v>
      </c>
      <c r="J521" s="60">
        <f>I521+J517</f>
        <v>94063.145939285721</v>
      </c>
      <c r="K521" s="60">
        <f>J521+K517</f>
        <v>119546.35687779763</v>
      </c>
      <c r="L521" s="60">
        <f>K521+L517</f>
        <v>150408.55517137205</v>
      </c>
    </row>
    <row r="522" spans="2:12" hidden="1" outlineLevel="1" x14ac:dyDescent="0.3"/>
    <row r="523" spans="2:12" hidden="1" outlineLevel="1" x14ac:dyDescent="0.35">
      <c r="B523" s="27" t="s">
        <v>75</v>
      </c>
      <c r="D523" s="12"/>
      <c r="E523" s="58">
        <f>-E420</f>
        <v>31186</v>
      </c>
      <c r="F523" s="58">
        <f t="shared" ref="F523:L523" si="196">-F420</f>
        <v>27045</v>
      </c>
      <c r="G523" s="58">
        <f t="shared" si="196"/>
        <v>37256</v>
      </c>
      <c r="H523" s="58">
        <f t="shared" si="196"/>
        <v>37835.230000000003</v>
      </c>
      <c r="I523" s="58">
        <f t="shared" si="196"/>
        <v>43510.514499999997</v>
      </c>
      <c r="J523" s="58">
        <f t="shared" si="196"/>
        <v>50037.091674999996</v>
      </c>
      <c r="K523" s="58">
        <f t="shared" si="196"/>
        <v>57542.655426249992</v>
      </c>
      <c r="L523" s="58">
        <f t="shared" si="196"/>
        <v>66174.05374018749</v>
      </c>
    </row>
    <row r="524" spans="2:12" hidden="1" outlineLevel="1" x14ac:dyDescent="0.3"/>
    <row r="525" spans="2:12" hidden="1" outlineLevel="1" x14ac:dyDescent="0.3">
      <c r="B525" s="35" t="s">
        <v>76</v>
      </c>
      <c r="C525" s="67" t="s">
        <v>77</v>
      </c>
      <c r="H525" s="68" t="s">
        <v>80</v>
      </c>
      <c r="I525" s="69"/>
      <c r="J525" s="69"/>
      <c r="K525" s="69"/>
      <c r="L525" s="69"/>
    </row>
    <row r="526" spans="2:12" hidden="1" outlineLevel="1" x14ac:dyDescent="0.3">
      <c r="B526" s="70" t="s">
        <v>78</v>
      </c>
      <c r="C526" s="71">
        <v>10.5</v>
      </c>
      <c r="H526" s="72">
        <v>1</v>
      </c>
      <c r="I526" s="72">
        <f>H526+1</f>
        <v>2</v>
      </c>
      <c r="J526" s="72">
        <f t="shared" ref="J526:L526" si="197">I526+1</f>
        <v>3</v>
      </c>
      <c r="K526" s="72">
        <f t="shared" si="197"/>
        <v>4</v>
      </c>
      <c r="L526" s="72">
        <f t="shared" si="197"/>
        <v>5</v>
      </c>
    </row>
    <row r="527" spans="2:12" hidden="1" outlineLevel="1" x14ac:dyDescent="0.3">
      <c r="B527" s="73" t="s">
        <v>79</v>
      </c>
      <c r="C527" s="74">
        <f>G456</f>
        <v>121346</v>
      </c>
      <c r="H527" s="75">
        <f>MIN($C$526-SUM($G527:G527),1)</f>
        <v>1</v>
      </c>
      <c r="I527" s="76">
        <f>MIN($C$526-SUM($G527:H527),1)</f>
        <v>1</v>
      </c>
      <c r="J527" s="76">
        <f>MIN($C$526-SUM($G527:I527),1)</f>
        <v>1</v>
      </c>
      <c r="K527" s="76">
        <f>MIN($C$526-SUM($G527:J527),1)</f>
        <v>1</v>
      </c>
      <c r="L527" s="77">
        <f>MIN($C$526-SUM($G527:K527),1)</f>
        <v>1</v>
      </c>
    </row>
    <row r="528" spans="2:12" hidden="1" outlineLevel="1" x14ac:dyDescent="0.3"/>
    <row r="529" spans="2:12" hidden="1" outlineLevel="1" x14ac:dyDescent="0.3">
      <c r="B529" s="78"/>
      <c r="C529" s="78"/>
      <c r="D529" s="78"/>
      <c r="E529" s="78"/>
      <c r="F529" s="78"/>
      <c r="G529" s="78"/>
      <c r="H529" s="78"/>
      <c r="I529" s="78"/>
      <c r="J529" s="78"/>
      <c r="K529" s="78"/>
      <c r="L529" s="78"/>
    </row>
    <row r="530" spans="2:12" hidden="1" outlineLevel="1" x14ac:dyDescent="0.3">
      <c r="B530" s="35" t="s">
        <v>76</v>
      </c>
      <c r="C530" s="67" t="s">
        <v>77</v>
      </c>
      <c r="H530" s="68" t="s">
        <v>80</v>
      </c>
      <c r="I530" s="69"/>
      <c r="J530" s="69"/>
      <c r="K530" s="69"/>
      <c r="L530" s="69"/>
    </row>
    <row r="531" spans="2:12" hidden="1" outlineLevel="1" x14ac:dyDescent="0.3">
      <c r="B531" s="70" t="s">
        <v>92</v>
      </c>
      <c r="C531" s="71">
        <v>11.5</v>
      </c>
      <c r="H531" s="72">
        <v>1</v>
      </c>
      <c r="I531" s="72">
        <f>H531+1</f>
        <v>2</v>
      </c>
      <c r="J531" s="72">
        <f t="shared" ref="J531:L531" si="198">I531+1</f>
        <v>3</v>
      </c>
      <c r="K531" s="72">
        <f t="shared" si="198"/>
        <v>4</v>
      </c>
      <c r="L531" s="72">
        <f t="shared" si="198"/>
        <v>5</v>
      </c>
    </row>
    <row r="532" spans="2:12" hidden="1" outlineLevel="1" x14ac:dyDescent="0.3">
      <c r="B532" s="73" t="s">
        <v>81</v>
      </c>
      <c r="C532" s="79">
        <v>0.5</v>
      </c>
      <c r="H532" s="75">
        <f>IF(G532="",$C$532,MIN($C$531-SUM($G532:G532),1))</f>
        <v>0.5</v>
      </c>
      <c r="I532" s="76">
        <f>IF(H532="",$C$532,MIN($C$531-SUM($G532:H532),1))</f>
        <v>1</v>
      </c>
      <c r="J532" s="76">
        <f>IF(I532="",$C$532,MIN($C$531-SUM($G532:I532),1))</f>
        <v>1</v>
      </c>
      <c r="K532" s="76">
        <f>IF(J532="",$C$532,MIN($C$531-SUM($G532:J532),1))</f>
        <v>1</v>
      </c>
      <c r="L532" s="77">
        <f>IF(K532="",$C$532,MIN($C$531-SUM($G532:K532),1))</f>
        <v>1</v>
      </c>
    </row>
    <row r="533" spans="2:12" hidden="1" outlineLevel="1" x14ac:dyDescent="0.3"/>
    <row r="534" spans="2:12" hidden="1" outlineLevel="1" x14ac:dyDescent="0.35">
      <c r="B534" s="12"/>
      <c r="C534" s="12"/>
      <c r="E534" s="80"/>
      <c r="F534" s="80"/>
      <c r="G534" s="80"/>
      <c r="H534" s="81" t="s">
        <v>80</v>
      </c>
      <c r="I534" s="82"/>
      <c r="J534" s="82"/>
      <c r="K534" s="82"/>
      <c r="L534" s="83"/>
    </row>
    <row r="535" spans="2:12" hidden="1" outlineLevel="1" x14ac:dyDescent="0.35">
      <c r="B535" s="12"/>
      <c r="C535" s="12"/>
      <c r="E535" s="84" t="s">
        <v>82</v>
      </c>
      <c r="F535" s="84" t="s">
        <v>83</v>
      </c>
      <c r="G535" s="80"/>
      <c r="H535" s="85">
        <f>H$512</f>
        <v>2025</v>
      </c>
      <c r="I535" s="85">
        <f>I$512</f>
        <v>2026</v>
      </c>
      <c r="J535" s="85">
        <f>J$512</f>
        <v>2027</v>
      </c>
      <c r="K535" s="85">
        <f>K$512</f>
        <v>2028</v>
      </c>
      <c r="L535" s="85">
        <f>L$512</f>
        <v>2029</v>
      </c>
    </row>
    <row r="536" spans="2:12" hidden="1" outlineLevel="1" x14ac:dyDescent="0.35">
      <c r="B536" s="12"/>
      <c r="C536" s="12"/>
      <c r="E536" s="86">
        <f>H512</f>
        <v>2025</v>
      </c>
      <c r="F536" s="87">
        <f>C531</f>
        <v>11.5</v>
      </c>
      <c r="G536" s="88"/>
      <c r="H536" s="89">
        <f>H532</f>
        <v>0.5</v>
      </c>
      <c r="I536" s="89">
        <f>I532</f>
        <v>1</v>
      </c>
      <c r="J536" s="89">
        <f t="shared" ref="J536:L536" si="199">J532</f>
        <v>1</v>
      </c>
      <c r="K536" s="89">
        <f t="shared" si="199"/>
        <v>1</v>
      </c>
      <c r="L536" s="90">
        <f t="shared" si="199"/>
        <v>1</v>
      </c>
    </row>
    <row r="537" spans="2:12" hidden="1" outlineLevel="1" x14ac:dyDescent="0.35">
      <c r="B537" s="12"/>
      <c r="C537" s="12"/>
      <c r="E537" s="91">
        <f>E536+1</f>
        <v>2026</v>
      </c>
      <c r="F537" s="92">
        <f>F536</f>
        <v>11.5</v>
      </c>
      <c r="G537" s="93"/>
      <c r="H537" s="94">
        <f>G536</f>
        <v>0</v>
      </c>
      <c r="I537" s="94">
        <f t="shared" ref="I537:L540" si="200">H536</f>
        <v>0.5</v>
      </c>
      <c r="J537" s="94">
        <f t="shared" si="200"/>
        <v>1</v>
      </c>
      <c r="K537" s="94">
        <f t="shared" si="200"/>
        <v>1</v>
      </c>
      <c r="L537" s="95">
        <f t="shared" si="200"/>
        <v>1</v>
      </c>
    </row>
    <row r="538" spans="2:12" hidden="1" outlineLevel="1" x14ac:dyDescent="0.3">
      <c r="E538" s="91">
        <f>E537+1</f>
        <v>2027</v>
      </c>
      <c r="F538" s="92">
        <f>F537</f>
        <v>11.5</v>
      </c>
      <c r="G538" s="93"/>
      <c r="H538" s="94">
        <f t="shared" ref="H538:H540" si="201">G537</f>
        <v>0</v>
      </c>
      <c r="I538" s="94">
        <f t="shared" si="200"/>
        <v>0</v>
      </c>
      <c r="J538" s="94">
        <f t="shared" si="200"/>
        <v>0.5</v>
      </c>
      <c r="K538" s="94">
        <f t="shared" si="200"/>
        <v>1</v>
      </c>
      <c r="L538" s="95">
        <f t="shared" si="200"/>
        <v>1</v>
      </c>
    </row>
    <row r="539" spans="2:12" hidden="1" outlineLevel="1" x14ac:dyDescent="0.3">
      <c r="E539" s="91">
        <f>E538+1</f>
        <v>2028</v>
      </c>
      <c r="F539" s="92">
        <f>F538</f>
        <v>11.5</v>
      </c>
      <c r="G539" s="93"/>
      <c r="H539" s="94">
        <f t="shared" si="201"/>
        <v>0</v>
      </c>
      <c r="I539" s="94">
        <f t="shared" si="200"/>
        <v>0</v>
      </c>
      <c r="J539" s="94">
        <f t="shared" si="200"/>
        <v>0</v>
      </c>
      <c r="K539" s="94">
        <f t="shared" si="200"/>
        <v>0.5</v>
      </c>
      <c r="L539" s="95">
        <f t="shared" si="200"/>
        <v>1</v>
      </c>
    </row>
    <row r="540" spans="2:12" hidden="1" outlineLevel="1" x14ac:dyDescent="0.3">
      <c r="E540" s="96">
        <f>E539+1</f>
        <v>2029</v>
      </c>
      <c r="F540" s="97">
        <f>F539</f>
        <v>11.5</v>
      </c>
      <c r="G540" s="98"/>
      <c r="H540" s="99">
        <f t="shared" si="201"/>
        <v>0</v>
      </c>
      <c r="I540" s="99">
        <f t="shared" si="200"/>
        <v>0</v>
      </c>
      <c r="J540" s="99">
        <f t="shared" si="200"/>
        <v>0</v>
      </c>
      <c r="K540" s="99">
        <f t="shared" si="200"/>
        <v>0</v>
      </c>
      <c r="L540" s="100">
        <f t="shared" si="200"/>
        <v>0.5</v>
      </c>
    </row>
    <row r="541" spans="2:12" hidden="1" outlineLevel="1" x14ac:dyDescent="0.3">
      <c r="E541" s="80"/>
      <c r="F541" s="80"/>
      <c r="G541" s="80"/>
      <c r="H541" s="101"/>
      <c r="I541" s="101"/>
      <c r="J541" s="101"/>
      <c r="K541" s="101"/>
      <c r="L541" s="101"/>
    </row>
    <row r="542" spans="2:12" hidden="1" outlineLevel="1" x14ac:dyDescent="0.3">
      <c r="E542" s="80"/>
      <c r="F542" s="80"/>
      <c r="G542" s="80"/>
      <c r="H542" s="81" t="s">
        <v>84</v>
      </c>
      <c r="I542" s="82"/>
      <c r="J542" s="82"/>
      <c r="K542" s="82"/>
      <c r="L542" s="83"/>
    </row>
    <row r="543" spans="2:12" hidden="1" outlineLevel="1" x14ac:dyDescent="0.3">
      <c r="E543" s="84" t="s">
        <v>82</v>
      </c>
      <c r="F543" s="84" t="s">
        <v>75</v>
      </c>
      <c r="G543" s="84" t="s">
        <v>85</v>
      </c>
      <c r="H543" s="85">
        <f>H$512</f>
        <v>2025</v>
      </c>
      <c r="I543" s="85">
        <f>I$512</f>
        <v>2026</v>
      </c>
      <c r="J543" s="85">
        <f>J$512</f>
        <v>2027</v>
      </c>
      <c r="K543" s="85">
        <f>K$512</f>
        <v>2028</v>
      </c>
      <c r="L543" s="85">
        <f>L$512</f>
        <v>2029</v>
      </c>
    </row>
    <row r="544" spans="2:12" hidden="1" outlineLevel="1" x14ac:dyDescent="0.3">
      <c r="E544" s="86">
        <f>E536</f>
        <v>2025</v>
      </c>
      <c r="F544" s="102">
        <f>SUMIF($H$512:$L$512,E544,$H$523:$L$523)</f>
        <v>37835.230000000003</v>
      </c>
      <c r="G544" s="102">
        <f>F544/F536</f>
        <v>3290.0200000000004</v>
      </c>
      <c r="H544" s="103">
        <f t="shared" ref="H544:L548" si="202">$G544*H536</f>
        <v>1645.0100000000002</v>
      </c>
      <c r="I544" s="104">
        <f t="shared" si="202"/>
        <v>3290.0200000000004</v>
      </c>
      <c r="J544" s="104">
        <f t="shared" si="202"/>
        <v>3290.0200000000004</v>
      </c>
      <c r="K544" s="104">
        <f t="shared" si="202"/>
        <v>3290.0200000000004</v>
      </c>
      <c r="L544" s="105">
        <f t="shared" si="202"/>
        <v>3290.0200000000004</v>
      </c>
    </row>
    <row r="545" spans="2:12" hidden="1" outlineLevel="1" x14ac:dyDescent="0.3">
      <c r="E545" s="91">
        <f>E537</f>
        <v>2026</v>
      </c>
      <c r="F545" s="106">
        <f>SUMIF($H$512:$L$512,E545,$H$523:$L$523)</f>
        <v>43510.514499999997</v>
      </c>
      <c r="G545" s="106">
        <f t="shared" ref="G545:G548" si="203">F545/F537</f>
        <v>3783.5229999999997</v>
      </c>
      <c r="H545" s="107">
        <f t="shared" si="202"/>
        <v>0</v>
      </c>
      <c r="I545" s="108">
        <f t="shared" si="202"/>
        <v>1891.7614999999998</v>
      </c>
      <c r="J545" s="108">
        <f t="shared" si="202"/>
        <v>3783.5229999999997</v>
      </c>
      <c r="K545" s="108">
        <f t="shared" si="202"/>
        <v>3783.5229999999997</v>
      </c>
      <c r="L545" s="109">
        <f t="shared" si="202"/>
        <v>3783.5229999999997</v>
      </c>
    </row>
    <row r="546" spans="2:12" hidden="1" outlineLevel="1" x14ac:dyDescent="0.3">
      <c r="E546" s="91">
        <f>E538</f>
        <v>2027</v>
      </c>
      <c r="F546" s="106">
        <f>SUMIF($H$512:$L$512,E546,$H$523:$L$523)</f>
        <v>50037.091674999996</v>
      </c>
      <c r="G546" s="106">
        <f t="shared" si="203"/>
        <v>4351.0514499999999</v>
      </c>
      <c r="H546" s="107">
        <f t="shared" si="202"/>
        <v>0</v>
      </c>
      <c r="I546" s="108">
        <f t="shared" si="202"/>
        <v>0</v>
      </c>
      <c r="J546" s="108">
        <f t="shared" si="202"/>
        <v>2175.525725</v>
      </c>
      <c r="K546" s="108">
        <f t="shared" si="202"/>
        <v>4351.0514499999999</v>
      </c>
      <c r="L546" s="109">
        <f t="shared" si="202"/>
        <v>4351.0514499999999</v>
      </c>
    </row>
    <row r="547" spans="2:12" hidden="1" outlineLevel="1" x14ac:dyDescent="0.3">
      <c r="E547" s="91">
        <f>E539</f>
        <v>2028</v>
      </c>
      <c r="F547" s="106">
        <f>SUMIF($H$512:$L$512,E547,$H$523:$L$523)</f>
        <v>57542.655426249992</v>
      </c>
      <c r="G547" s="106">
        <f t="shared" si="203"/>
        <v>5003.7091674999992</v>
      </c>
      <c r="H547" s="107">
        <f t="shared" si="202"/>
        <v>0</v>
      </c>
      <c r="I547" s="108">
        <f t="shared" si="202"/>
        <v>0</v>
      </c>
      <c r="J547" s="108">
        <f t="shared" si="202"/>
        <v>0</v>
      </c>
      <c r="K547" s="108">
        <f t="shared" si="202"/>
        <v>2501.8545837499996</v>
      </c>
      <c r="L547" s="109">
        <f t="shared" si="202"/>
        <v>5003.7091674999992</v>
      </c>
    </row>
    <row r="548" spans="2:12" hidden="1" outlineLevel="1" x14ac:dyDescent="0.3">
      <c r="E548" s="96">
        <f>E540</f>
        <v>2029</v>
      </c>
      <c r="F548" s="110">
        <f>SUMIF($H$512:$L$512,E548,$H$523:$L$523)</f>
        <v>66174.05374018749</v>
      </c>
      <c r="G548" s="110">
        <f t="shared" si="203"/>
        <v>5754.2655426249994</v>
      </c>
      <c r="H548" s="111">
        <f t="shared" si="202"/>
        <v>0</v>
      </c>
      <c r="I548" s="112">
        <f t="shared" si="202"/>
        <v>0</v>
      </c>
      <c r="J548" s="112">
        <f t="shared" si="202"/>
        <v>0</v>
      </c>
      <c r="K548" s="112">
        <f t="shared" si="202"/>
        <v>0</v>
      </c>
      <c r="L548" s="113">
        <f t="shared" si="202"/>
        <v>2877.1327713124997</v>
      </c>
    </row>
    <row r="549" spans="2:12" hidden="1" outlineLevel="1" x14ac:dyDescent="0.3"/>
    <row r="550" spans="2:12" hidden="1" outlineLevel="1" x14ac:dyDescent="0.3">
      <c r="B550" s="78"/>
      <c r="C550" s="78"/>
      <c r="D550" s="78"/>
      <c r="E550" s="78"/>
      <c r="F550" s="78"/>
      <c r="G550" s="78"/>
      <c r="H550" s="78"/>
      <c r="I550" s="78"/>
      <c r="J550" s="78"/>
      <c r="K550" s="78"/>
      <c r="L550" s="78"/>
    </row>
    <row r="551" spans="2:12" hidden="1" outlineLevel="1" x14ac:dyDescent="0.3">
      <c r="B551" s="35" t="s">
        <v>86</v>
      </c>
    </row>
    <row r="552" spans="2:12" hidden="1" outlineLevel="1" x14ac:dyDescent="0.3">
      <c r="B552" s="11" t="s">
        <v>87</v>
      </c>
      <c r="H552" s="60">
        <f>($C$527/$C$526)*H$527</f>
        <v>11556.761904761905</v>
      </c>
      <c r="I552" s="60">
        <f>($C$527/$C$526)*I$527</f>
        <v>11556.761904761905</v>
      </c>
      <c r="J552" s="60">
        <f>($C$527/$C$526)*J$527</f>
        <v>11556.761904761905</v>
      </c>
      <c r="K552" s="60">
        <f>($C$527/$C$526)*K$527</f>
        <v>11556.761904761905</v>
      </c>
      <c r="L552" s="60">
        <f>($C$527/$C$526)*L$527</f>
        <v>11556.761904761905</v>
      </c>
    </row>
    <row r="553" spans="2:12" hidden="1" outlineLevel="1" x14ac:dyDescent="0.3">
      <c r="B553" s="11" t="s">
        <v>88</v>
      </c>
      <c r="H553" s="60">
        <f>SUM(H544:H548)</f>
        <v>1645.0100000000002</v>
      </c>
      <c r="I553" s="60">
        <f t="shared" ref="I553:L553" si="204">SUM(I544:I548)</f>
        <v>5181.7815000000001</v>
      </c>
      <c r="J553" s="60">
        <f t="shared" si="204"/>
        <v>9249.0687249999992</v>
      </c>
      <c r="K553" s="60">
        <f t="shared" si="204"/>
        <v>13926.449033749999</v>
      </c>
      <c r="L553" s="60">
        <f t="shared" si="204"/>
        <v>19305.436388812501</v>
      </c>
    </row>
    <row r="554" spans="2:12" hidden="1" outlineLevel="1" x14ac:dyDescent="0.3">
      <c r="B554" s="8" t="s">
        <v>91</v>
      </c>
      <c r="D554" s="50"/>
      <c r="E554" s="50"/>
      <c r="F554" s="50"/>
      <c r="G554" s="50"/>
      <c r="H554" s="66">
        <f>SUM(H552:H553)</f>
        <v>13201.771904761905</v>
      </c>
      <c r="I554" s="66">
        <f t="shared" ref="I554:L554" si="205">SUM(I552:I553)</f>
        <v>16738.543404761906</v>
      </c>
      <c r="J554" s="66">
        <f t="shared" si="205"/>
        <v>20805.830629761906</v>
      </c>
      <c r="K554" s="66">
        <f t="shared" si="205"/>
        <v>25483.210938511904</v>
      </c>
      <c r="L554" s="66">
        <f t="shared" si="205"/>
        <v>30862.198293574405</v>
      </c>
    </row>
    <row r="555" spans="2:12" collapsed="1" x14ac:dyDescent="0.3">
      <c r="B555" s="8"/>
      <c r="D555" s="9"/>
      <c r="E555" s="9"/>
      <c r="F555" s="9"/>
      <c r="G555" s="9"/>
      <c r="H555" s="60"/>
      <c r="I555" s="60"/>
      <c r="J555" s="60"/>
      <c r="K555" s="60"/>
      <c r="L555" s="60"/>
    </row>
    <row r="556" spans="2:12" ht="18.600000000000001" customHeight="1" x14ac:dyDescent="0.3">
      <c r="B556" s="186" t="s">
        <v>114</v>
      </c>
      <c r="C556" s="186"/>
      <c r="D556" s="186"/>
      <c r="E556" s="186"/>
      <c r="F556" s="186"/>
      <c r="G556" s="186"/>
      <c r="H556" s="186"/>
      <c r="I556" s="186"/>
      <c r="J556" s="186"/>
      <c r="K556" s="186"/>
      <c r="L556" s="186"/>
    </row>
    <row r="557" spans="2:12" hidden="1" outlineLevel="1" x14ac:dyDescent="0.3"/>
    <row r="558" spans="2:12" ht="16.2" hidden="1" outlineLevel="1" thickBot="1" x14ac:dyDescent="0.35">
      <c r="B558" s="261" t="s">
        <v>74</v>
      </c>
      <c r="D558" s="4">
        <v>2021</v>
      </c>
      <c r="E558" s="4">
        <v>2022</v>
      </c>
      <c r="F558" s="4">
        <v>2023</v>
      </c>
      <c r="G558" s="4">
        <v>2024</v>
      </c>
      <c r="H558" s="5">
        <f>G558+1</f>
        <v>2025</v>
      </c>
      <c r="I558" s="5">
        <f>H558+1</f>
        <v>2026</v>
      </c>
      <c r="J558" s="5">
        <f>I558+1</f>
        <v>2027</v>
      </c>
      <c r="K558" s="5">
        <f>J558+1</f>
        <v>2028</v>
      </c>
      <c r="L558" s="5">
        <f>K558+1</f>
        <v>2029</v>
      </c>
    </row>
    <row r="559" spans="2:12" hidden="1" outlineLevel="1" x14ac:dyDescent="0.3"/>
    <row r="560" spans="2:12" hidden="1" outlineLevel="1" x14ac:dyDescent="0.3">
      <c r="B560" s="28" t="s">
        <v>57</v>
      </c>
      <c r="D560" s="60">
        <f>D379</f>
        <v>117929</v>
      </c>
      <c r="E560" s="60">
        <f t="shared" ref="E560:L560" si="206">E379</f>
        <v>116609</v>
      </c>
      <c r="F560" s="60">
        <f t="shared" si="206"/>
        <v>134902</v>
      </c>
      <c r="G560" s="60">
        <f t="shared" si="206"/>
        <v>164501</v>
      </c>
      <c r="H560" s="60">
        <f t="shared" si="206"/>
        <v>189176.15</v>
      </c>
      <c r="I560" s="60">
        <f t="shared" si="206"/>
        <v>217552.57249999998</v>
      </c>
      <c r="J560" s="60">
        <f t="shared" si="206"/>
        <v>250185.45837499996</v>
      </c>
      <c r="K560" s="60">
        <f t="shared" si="206"/>
        <v>287713.27713124995</v>
      </c>
      <c r="L560" s="60">
        <f t="shared" si="206"/>
        <v>330870.26870093745</v>
      </c>
    </row>
    <row r="561" spans="2:12" hidden="1" outlineLevel="1" x14ac:dyDescent="0.35">
      <c r="B561" s="28" t="s">
        <v>118</v>
      </c>
      <c r="D561" s="12"/>
      <c r="E561" s="60">
        <f>E380</f>
        <v>25249</v>
      </c>
      <c r="F561" s="60">
        <f t="shared" ref="F561:L561" si="207">F380</f>
        <v>25959</v>
      </c>
      <c r="G561" s="60">
        <f t="shared" si="207"/>
        <v>30161</v>
      </c>
      <c r="H561" s="60">
        <f t="shared" si="207"/>
        <v>38682.323342652555</v>
      </c>
      <c r="I561" s="60">
        <f t="shared" si="207"/>
        <v>44484.671844050434</v>
      </c>
      <c r="J561" s="60">
        <f t="shared" si="207"/>
        <v>51157.372620657996</v>
      </c>
      <c r="K561" s="60">
        <f t="shared" si="207"/>
        <v>58830.978513756694</v>
      </c>
      <c r="L561" s="60">
        <f t="shared" si="207"/>
        <v>67655.6252908202</v>
      </c>
    </row>
    <row r="562" spans="2:12" hidden="1" outlineLevel="1" x14ac:dyDescent="0.35">
      <c r="B562" s="28" t="s">
        <v>75</v>
      </c>
      <c r="D562" s="12"/>
      <c r="E562" s="60">
        <f>-E420</f>
        <v>31186</v>
      </c>
      <c r="F562" s="60">
        <f t="shared" ref="F562:L562" si="208">-F420</f>
        <v>27045</v>
      </c>
      <c r="G562" s="60">
        <f t="shared" si="208"/>
        <v>37256</v>
      </c>
      <c r="H562" s="60">
        <f t="shared" si="208"/>
        <v>37835.230000000003</v>
      </c>
      <c r="I562" s="60">
        <f t="shared" si="208"/>
        <v>43510.514499999997</v>
      </c>
      <c r="J562" s="60">
        <f t="shared" si="208"/>
        <v>50037.091674999996</v>
      </c>
      <c r="K562" s="60">
        <f t="shared" si="208"/>
        <v>57542.655426249992</v>
      </c>
      <c r="L562" s="60">
        <f t="shared" si="208"/>
        <v>66174.05374018749</v>
      </c>
    </row>
    <row r="563" spans="2:12" hidden="1" outlineLevel="1" x14ac:dyDescent="0.3"/>
    <row r="564" spans="2:12" hidden="1" outlineLevel="1" x14ac:dyDescent="0.3">
      <c r="B564" s="28" t="s">
        <v>281</v>
      </c>
      <c r="E564" s="114">
        <f>E572/E560</f>
        <v>0.29440266188716135</v>
      </c>
      <c r="F564" s="114">
        <f t="shared" ref="F564:G564" si="209">F572/F560</f>
        <v>0.3472001897673867</v>
      </c>
      <c r="G564" s="114">
        <f t="shared" si="209"/>
        <v>0.41578470647594845</v>
      </c>
      <c r="H564" s="114">
        <f t="shared" ref="H564:L568" si="210">H34</f>
        <v>0.43827699662015879</v>
      </c>
      <c r="I564" s="114">
        <f t="shared" si="210"/>
        <v>0.43827699662015879</v>
      </c>
      <c r="J564" s="114">
        <f t="shared" si="210"/>
        <v>0.43827699662015879</v>
      </c>
      <c r="K564" s="114">
        <f t="shared" si="210"/>
        <v>0.43827699662015879</v>
      </c>
      <c r="L564" s="114">
        <f t="shared" si="210"/>
        <v>0.43827699662015879</v>
      </c>
    </row>
    <row r="565" spans="2:12" hidden="1" outlineLevel="1" x14ac:dyDescent="0.3">
      <c r="B565" s="28" t="s">
        <v>283</v>
      </c>
      <c r="E565" s="114">
        <f>E574/E560</f>
        <v>5.593050279137974E-2</v>
      </c>
      <c r="F565" s="114">
        <f t="shared" ref="F565:G565" si="211">F574/F560</f>
        <v>5.1681961720359965E-2</v>
      </c>
      <c r="G565" s="114">
        <f t="shared" si="211"/>
        <v>4.4334076996492423E-2</v>
      </c>
      <c r="H565" s="114">
        <f t="shared" si="210"/>
        <v>6.3224104431687481E-2</v>
      </c>
      <c r="I565" s="114">
        <f t="shared" si="210"/>
        <v>6.3224104431687481E-2</v>
      </c>
      <c r="J565" s="114">
        <f t="shared" si="210"/>
        <v>6.3224104431687481E-2</v>
      </c>
      <c r="K565" s="114">
        <f t="shared" si="210"/>
        <v>6.3224104431687481E-2</v>
      </c>
      <c r="L565" s="114">
        <f t="shared" si="210"/>
        <v>6.3224104431687481E-2</v>
      </c>
    </row>
    <row r="566" spans="2:12" hidden="1" outlineLevel="1" x14ac:dyDescent="0.3">
      <c r="B566" s="28" t="s">
        <v>284</v>
      </c>
      <c r="E566" s="114">
        <f>E575/E560</f>
        <v>4.8383915478222093E-2</v>
      </c>
      <c r="F566" s="114">
        <f t="shared" ref="F566:G566" si="212">F575/F560</f>
        <v>5.4973239833360513E-2</v>
      </c>
      <c r="G566" s="114">
        <f t="shared" si="212"/>
        <v>4.3464781369110216E-2</v>
      </c>
      <c r="H566" s="114">
        <f t="shared" si="210"/>
        <v>6.1017050519502493E-2</v>
      </c>
      <c r="I566" s="114">
        <f t="shared" si="210"/>
        <v>6.1017050519502493E-2</v>
      </c>
      <c r="J566" s="114">
        <f t="shared" si="210"/>
        <v>6.1017050519502493E-2</v>
      </c>
      <c r="K566" s="114">
        <f t="shared" si="210"/>
        <v>6.1017050519502493E-2</v>
      </c>
      <c r="L566" s="114">
        <f t="shared" si="210"/>
        <v>6.1017050519502493E-2</v>
      </c>
    </row>
    <row r="567" spans="2:12" hidden="1" outlineLevel="1" x14ac:dyDescent="0.3">
      <c r="B567" s="28" t="s">
        <v>381</v>
      </c>
      <c r="E567" s="114">
        <f>E577/E562</f>
        <v>0.80330917719489514</v>
      </c>
      <c r="F567" s="114">
        <f t="shared" ref="F567:G567" si="213">F577/F562</f>
        <v>0.89735625808837127</v>
      </c>
      <c r="G567" s="114">
        <f t="shared" si="213"/>
        <v>0.71940090186815542</v>
      </c>
      <c r="H567" s="114">
        <f t="shared" si="210"/>
        <v>0.80668877905047387</v>
      </c>
      <c r="I567" s="114">
        <f t="shared" si="210"/>
        <v>0.80668877905047387</v>
      </c>
      <c r="J567" s="114">
        <f t="shared" si="210"/>
        <v>0.80668877905047387</v>
      </c>
      <c r="K567" s="114">
        <f t="shared" si="210"/>
        <v>0.80668877905047387</v>
      </c>
      <c r="L567" s="114">
        <f t="shared" si="210"/>
        <v>0.80668877905047387</v>
      </c>
    </row>
    <row r="568" spans="2:12" hidden="1" outlineLevel="1" x14ac:dyDescent="0.3">
      <c r="B568" s="28" t="s">
        <v>286</v>
      </c>
      <c r="E568" s="114"/>
      <c r="F568" s="114">
        <f>F576/E576-1</f>
        <v>0.2481359976140769</v>
      </c>
      <c r="G568" s="114">
        <f>G576/F576-1</f>
        <v>0.28649940262843487</v>
      </c>
      <c r="H568" s="114">
        <f t="shared" si="210"/>
        <v>0.24</v>
      </c>
      <c r="I568" s="114">
        <f t="shared" si="210"/>
        <v>0.24</v>
      </c>
      <c r="J568" s="114">
        <f t="shared" si="210"/>
        <v>0.24</v>
      </c>
      <c r="K568" s="114">
        <f t="shared" si="210"/>
        <v>0.15</v>
      </c>
      <c r="L568" s="114">
        <f t="shared" si="210"/>
        <v>0.15</v>
      </c>
    </row>
    <row r="569" spans="2:12" hidden="1" outlineLevel="1" x14ac:dyDescent="0.3"/>
    <row r="570" spans="2:12" hidden="1" outlineLevel="1" x14ac:dyDescent="0.3">
      <c r="B570" s="8" t="s">
        <v>280</v>
      </c>
      <c r="D570" s="33"/>
      <c r="E570" s="33"/>
      <c r="F570" s="33"/>
    </row>
    <row r="571" spans="2:12" hidden="1" outlineLevel="1" x14ac:dyDescent="0.3">
      <c r="B571" s="28" t="s">
        <v>271</v>
      </c>
      <c r="E571" s="60">
        <v>1874</v>
      </c>
      <c r="F571" s="60">
        <v>2080</v>
      </c>
      <c r="G571" s="60">
        <v>2561</v>
      </c>
      <c r="H571" s="60">
        <v>2570</v>
      </c>
      <c r="I571" s="60">
        <v>2570</v>
      </c>
      <c r="J571" s="60">
        <v>2570</v>
      </c>
      <c r="K571" s="60">
        <v>2570</v>
      </c>
      <c r="L571" s="60">
        <v>2570</v>
      </c>
    </row>
    <row r="572" spans="2:12" hidden="1" outlineLevel="1" x14ac:dyDescent="0.3">
      <c r="B572" s="28" t="s">
        <v>272</v>
      </c>
      <c r="E572" s="60">
        <v>34330</v>
      </c>
      <c r="F572" s="60">
        <v>46838</v>
      </c>
      <c r="G572" s="60">
        <v>68397</v>
      </c>
      <c r="H572" s="60">
        <f>H564*H560</f>
        <v>82911.554854164642</v>
      </c>
      <c r="I572" s="60">
        <f t="shared" ref="I572:L572" si="214">I564*I560</f>
        <v>95348.288082289335</v>
      </c>
      <c r="J572" s="60">
        <f t="shared" si="214"/>
        <v>109650.53129463273</v>
      </c>
      <c r="K572" s="60">
        <f t="shared" si="214"/>
        <v>126098.11098882764</v>
      </c>
      <c r="L572" s="60">
        <f t="shared" si="214"/>
        <v>145012.82763715179</v>
      </c>
    </row>
    <row r="573" spans="2:12" hidden="1" outlineLevel="1" x14ac:dyDescent="0.3">
      <c r="B573" s="28" t="s">
        <v>273</v>
      </c>
      <c r="E573" s="60">
        <v>27720</v>
      </c>
      <c r="F573" s="60">
        <v>37961</v>
      </c>
      <c r="G573" s="60">
        <v>47076</v>
      </c>
      <c r="H573" s="60">
        <v>47100</v>
      </c>
      <c r="I573" s="60">
        <v>47100</v>
      </c>
      <c r="J573" s="60">
        <v>47100</v>
      </c>
      <c r="K573" s="60">
        <v>47100</v>
      </c>
      <c r="L573" s="60">
        <v>47100</v>
      </c>
    </row>
    <row r="574" spans="2:12" hidden="1" outlineLevel="1" x14ac:dyDescent="0.3">
      <c r="B574" s="28" t="s">
        <v>274</v>
      </c>
      <c r="E574" s="60">
        <v>6522</v>
      </c>
      <c r="F574" s="60">
        <v>6972</v>
      </c>
      <c r="G574" s="60">
        <v>7293</v>
      </c>
      <c r="H574" s="60">
        <f>H565*H560</f>
        <v>11960.492663584575</v>
      </c>
      <c r="I574" s="60">
        <f t="shared" ref="I574:L574" si="215">I565*I560</f>
        <v>13754.56656312226</v>
      </c>
      <c r="J574" s="60">
        <f t="shared" si="215"/>
        <v>15817.751547590598</v>
      </c>
      <c r="K574" s="60">
        <f t="shared" si="215"/>
        <v>18190.41427972919</v>
      </c>
      <c r="L574" s="60">
        <f t="shared" si="215"/>
        <v>20918.976421688567</v>
      </c>
    </row>
    <row r="575" spans="2:12" hidden="1" outlineLevel="1" x14ac:dyDescent="0.3">
      <c r="B575" s="28" t="s">
        <v>275</v>
      </c>
      <c r="E575" s="60">
        <v>5642</v>
      </c>
      <c r="F575" s="60">
        <v>7416</v>
      </c>
      <c r="G575" s="60">
        <v>7150</v>
      </c>
      <c r="H575" s="60">
        <f>H566*H560</f>
        <v>11542.97070163498</v>
      </c>
      <c r="I575" s="60">
        <f>I132*I560</f>
        <v>13274.416306880228</v>
      </c>
      <c r="J575" s="60">
        <f>J132*J560</f>
        <v>15265.578752912261</v>
      </c>
      <c r="K575" s="60">
        <f>K132*K560</f>
        <v>17555.4155658491</v>
      </c>
      <c r="L575" s="60">
        <f>L132*L560</f>
        <v>20188.727900726466</v>
      </c>
    </row>
    <row r="576" spans="2:12" hidden="1" outlineLevel="1" x14ac:dyDescent="0.35">
      <c r="B576" s="28" t="s">
        <v>276</v>
      </c>
      <c r="C576" s="12"/>
      <c r="D576" s="12"/>
      <c r="E576" s="60">
        <v>3353</v>
      </c>
      <c r="F576" s="60">
        <v>4185</v>
      </c>
      <c r="G576" s="60">
        <v>5384</v>
      </c>
      <c r="H576" s="60">
        <f>H668</f>
        <v>4695.4073917092401</v>
      </c>
      <c r="I576" s="60">
        <f t="shared" ref="I576:L576" si="216">I668</f>
        <v>5399.7185004656258</v>
      </c>
      <c r="J576" s="60">
        <f t="shared" si="216"/>
        <v>6209.6762755354703</v>
      </c>
      <c r="K576" s="60">
        <f t="shared" si="216"/>
        <v>7141.1277168657889</v>
      </c>
      <c r="L576" s="60">
        <f t="shared" si="216"/>
        <v>8212.296874395659</v>
      </c>
    </row>
    <row r="577" spans="2:12" hidden="1" outlineLevel="1" x14ac:dyDescent="0.3">
      <c r="B577" s="28" t="s">
        <v>277</v>
      </c>
      <c r="E577" s="60">
        <v>25052</v>
      </c>
      <c r="F577" s="60">
        <v>24269</v>
      </c>
      <c r="G577" s="60">
        <v>26802</v>
      </c>
      <c r="H577" s="60">
        <f>H567*H562</f>
        <v>30521.255493793862</v>
      </c>
      <c r="I577" s="60">
        <f>I133*I562</f>
        <v>35099.443817862935</v>
      </c>
      <c r="J577" s="60">
        <f>J133*J562</f>
        <v>40364.360390542381</v>
      </c>
      <c r="K577" s="60">
        <f>K133*K562</f>
        <v>46419.01444912373</v>
      </c>
      <c r="L577" s="60">
        <f>L133*L562</f>
        <v>53381.866616492291</v>
      </c>
    </row>
    <row r="578" spans="2:12" hidden="1" outlineLevel="1" x14ac:dyDescent="0.3">
      <c r="B578" s="8" t="s">
        <v>278</v>
      </c>
      <c r="E578" s="115">
        <f>SUM(E571:E577)</f>
        <v>104493</v>
      </c>
      <c r="F578" s="115">
        <f>SUM(F571:F577)</f>
        <v>129721</v>
      </c>
      <c r="G578" s="115">
        <f>SUM(G571:G577)</f>
        <v>164663</v>
      </c>
      <c r="H578" s="115">
        <f t="shared" ref="H578:L578" si="217">SUM(H571:H577)</f>
        <v>191301.68110488731</v>
      </c>
      <c r="I578" s="115">
        <f t="shared" si="217"/>
        <v>212546.43327062036</v>
      </c>
      <c r="J578" s="115">
        <f t="shared" si="217"/>
        <v>236977.89826121344</v>
      </c>
      <c r="K578" s="115">
        <f t="shared" si="217"/>
        <v>265074.08300039545</v>
      </c>
      <c r="L578" s="115">
        <f t="shared" si="217"/>
        <v>297384.69545045478</v>
      </c>
    </row>
    <row r="579" spans="2:12" hidden="1" outlineLevel="1" x14ac:dyDescent="0.3">
      <c r="B579" s="11" t="s">
        <v>279</v>
      </c>
      <c r="E579" s="60">
        <v>-24975</v>
      </c>
      <c r="F579" s="60">
        <v>-33134</v>
      </c>
      <c r="G579" s="60">
        <v>-43317</v>
      </c>
      <c r="H579" s="60">
        <f>-H521</f>
        <v>-56518.771904761903</v>
      </c>
      <c r="I579" s="60">
        <f t="shared" ref="I579:L579" si="218">-I521</f>
        <v>-73257.315309523809</v>
      </c>
      <c r="J579" s="60">
        <f t="shared" si="218"/>
        <v>-94063.145939285721</v>
      </c>
      <c r="K579" s="60">
        <f t="shared" si="218"/>
        <v>-119546.35687779763</v>
      </c>
      <c r="L579" s="60">
        <f t="shared" si="218"/>
        <v>-150408.55517137205</v>
      </c>
    </row>
    <row r="580" spans="2:12" ht="16.2" hidden="1" outlineLevel="1" thickBot="1" x14ac:dyDescent="0.35">
      <c r="B580" s="8" t="s">
        <v>23</v>
      </c>
      <c r="E580" s="116">
        <f>E578+E579</f>
        <v>79518</v>
      </c>
      <c r="F580" s="116">
        <f>F578+F579</f>
        <v>96587</v>
      </c>
      <c r="G580" s="116">
        <f>G578+G579</f>
        <v>121346</v>
      </c>
      <c r="H580" s="116">
        <f t="shared" ref="H580:L580" si="219">H578+H579</f>
        <v>134782.9092001254</v>
      </c>
      <c r="I580" s="116">
        <f t="shared" si="219"/>
        <v>139289.11796109655</v>
      </c>
      <c r="J580" s="116">
        <f t="shared" si="219"/>
        <v>142914.75232192772</v>
      </c>
      <c r="K580" s="116">
        <f t="shared" si="219"/>
        <v>145527.72612259781</v>
      </c>
      <c r="L580" s="116">
        <f t="shared" si="219"/>
        <v>146976.14027908273</v>
      </c>
    </row>
    <row r="581" spans="2:12" ht="16.2" hidden="1" outlineLevel="1" thickTop="1" x14ac:dyDescent="0.3"/>
    <row r="582" spans="2:12" hidden="1" outlineLevel="1" x14ac:dyDescent="0.35">
      <c r="B582" s="117"/>
      <c r="C582" s="117"/>
      <c r="D582" s="117"/>
      <c r="E582" s="117"/>
      <c r="F582" s="117"/>
      <c r="G582" s="117"/>
      <c r="H582" s="117"/>
      <c r="I582" s="117"/>
      <c r="J582" s="117"/>
      <c r="K582" s="117"/>
      <c r="L582" s="117"/>
    </row>
    <row r="583" spans="2:12" hidden="1" outlineLevel="1" x14ac:dyDescent="0.3">
      <c r="B583" s="8" t="s">
        <v>115</v>
      </c>
    </row>
    <row r="584" spans="2:12" hidden="1" outlineLevel="1" x14ac:dyDescent="0.3">
      <c r="B584" s="11" t="s">
        <v>117</v>
      </c>
      <c r="D584" s="13">
        <f t="shared" ref="D584:L584" si="220">D23</f>
        <v>0</v>
      </c>
      <c r="E584" s="13">
        <f t="shared" si="220"/>
        <v>0.22345616547607819</v>
      </c>
      <c r="F584" s="13">
        <f t="shared" si="220"/>
        <v>0.17450445508591422</v>
      </c>
      <c r="G584" s="13">
        <f t="shared" si="220"/>
        <v>0.20623582835362703</v>
      </c>
      <c r="H584" s="13">
        <f t="shared" si="220"/>
        <v>0.20599999999999999</v>
      </c>
      <c r="I584" s="13">
        <f t="shared" si="220"/>
        <v>0.21</v>
      </c>
      <c r="J584" s="13">
        <f t="shared" si="220"/>
        <v>0.215</v>
      </c>
      <c r="K584" s="13">
        <f t="shared" si="220"/>
        <v>0.22</v>
      </c>
      <c r="L584" s="13">
        <f t="shared" si="220"/>
        <v>0.22</v>
      </c>
    </row>
    <row r="585" spans="2:12" hidden="1" outlineLevel="1" x14ac:dyDescent="0.3">
      <c r="B585" s="11" t="s">
        <v>291</v>
      </c>
      <c r="E585" s="13">
        <f t="shared" ref="E585:L587" si="221">E69</f>
        <v>8.2549374405063075E-2</v>
      </c>
      <c r="F585" s="13">
        <f t="shared" si="221"/>
        <v>2.2104935434611794E-2</v>
      </c>
      <c r="G585" s="13">
        <f t="shared" si="221"/>
        <v>0.1552695728293445</v>
      </c>
      <c r="H585" s="13">
        <f t="shared" si="221"/>
        <v>8.6641294223006468E-2</v>
      </c>
      <c r="I585" s="13">
        <f t="shared" si="221"/>
        <v>8.6641294223006468E-2</v>
      </c>
      <c r="J585" s="13">
        <f t="shared" si="221"/>
        <v>8.6641294223006468E-2</v>
      </c>
      <c r="K585" s="13">
        <f t="shared" si="221"/>
        <v>8.6641294223006468E-2</v>
      </c>
      <c r="L585" s="13">
        <f t="shared" si="221"/>
        <v>8.6641294223006468E-2</v>
      </c>
    </row>
    <row r="586" spans="2:12" hidden="1" outlineLevel="1" x14ac:dyDescent="0.3">
      <c r="B586" s="11" t="s">
        <v>292</v>
      </c>
      <c r="E586" s="13">
        <f t="shared" si="221"/>
        <v>0.11283863166650944</v>
      </c>
      <c r="F586" s="13">
        <f t="shared" si="221"/>
        <v>4.5840684348638271E-2</v>
      </c>
      <c r="G586" s="13">
        <f t="shared" si="221"/>
        <v>9.5981179445717657E-2</v>
      </c>
      <c r="H586" s="13">
        <f t="shared" si="221"/>
        <v>8.4886831820288444E-2</v>
      </c>
      <c r="I586" s="13">
        <f t="shared" si="221"/>
        <v>8.4886831820288444E-2</v>
      </c>
      <c r="J586" s="13">
        <f t="shared" si="221"/>
        <v>8.4886831820288444E-2</v>
      </c>
      <c r="K586" s="13">
        <f t="shared" si="221"/>
        <v>8.4886831820288444E-2</v>
      </c>
      <c r="L586" s="13">
        <f t="shared" si="221"/>
        <v>8.4886831820288444E-2</v>
      </c>
    </row>
    <row r="587" spans="2:12" hidden="1" outlineLevel="1" x14ac:dyDescent="0.3">
      <c r="B587" s="11" t="s">
        <v>294</v>
      </c>
      <c r="E587" s="13">
        <f t="shared" si="221"/>
        <v>1.1251275630525946E-2</v>
      </c>
      <c r="F587" s="13">
        <f t="shared" si="221"/>
        <v>4.662643993417444E-3</v>
      </c>
      <c r="G587" s="13">
        <f t="shared" si="221"/>
        <v>1.6413274083440222E-3</v>
      </c>
      <c r="H587" s="13">
        <f t="shared" si="221"/>
        <v>5.8517490107624706E-3</v>
      </c>
      <c r="I587" s="13">
        <f t="shared" si="221"/>
        <v>5.8517490107624706E-3</v>
      </c>
      <c r="J587" s="13">
        <f t="shared" si="221"/>
        <v>5.8517490107624706E-3</v>
      </c>
      <c r="K587" s="13">
        <f t="shared" si="221"/>
        <v>5.8517490107624706E-3</v>
      </c>
      <c r="L587" s="13">
        <f t="shared" si="221"/>
        <v>5.8517490107624706E-3</v>
      </c>
    </row>
    <row r="588" spans="2:12" hidden="1" outlineLevel="1" x14ac:dyDescent="0.3"/>
    <row r="589" spans="2:12" hidden="1" outlineLevel="1" x14ac:dyDescent="0.3">
      <c r="B589" s="11" t="s">
        <v>116</v>
      </c>
      <c r="D589" s="60">
        <f>D449</f>
        <v>0</v>
      </c>
      <c r="E589" s="60">
        <f>E449</f>
        <v>26057</v>
      </c>
      <c r="F589" s="60">
        <f>F449</f>
        <v>23541</v>
      </c>
      <c r="G589" s="60">
        <f>G449</f>
        <v>33926</v>
      </c>
      <c r="H589" s="60">
        <f>H584*H560</f>
        <v>38970.286899999999</v>
      </c>
      <c r="I589" s="60">
        <f>I584*I560</f>
        <v>45686.040224999997</v>
      </c>
      <c r="J589" s="60">
        <f>J584*J560</f>
        <v>53789.873550624987</v>
      </c>
      <c r="K589" s="60">
        <f>K584*K560</f>
        <v>63296.920968874991</v>
      </c>
      <c r="L589" s="60">
        <f>L584*L560</f>
        <v>72791.459114206242</v>
      </c>
    </row>
    <row r="590" spans="2:12" hidden="1" outlineLevel="1" x14ac:dyDescent="0.35">
      <c r="B590" s="11" t="s">
        <v>290</v>
      </c>
      <c r="C590" s="12"/>
      <c r="D590" s="60"/>
      <c r="E590" s="60">
        <f t="shared" ref="E590:G592" si="222">E421</f>
        <v>-9626</v>
      </c>
      <c r="F590" s="60">
        <f t="shared" si="222"/>
        <v>-2982</v>
      </c>
      <c r="G590" s="60">
        <f t="shared" si="222"/>
        <v>-25542</v>
      </c>
      <c r="H590" s="60">
        <f>-H585*H560</f>
        <v>-16390.466472125605</v>
      </c>
      <c r="I590" s="60">
        <f>-I585*I560</f>
        <v>-18849.036442944445</v>
      </c>
      <c r="J590" s="60">
        <f>-J585*J560</f>
        <v>-21676.391909386108</v>
      </c>
      <c r="K590" s="60">
        <f>-K585*K560</f>
        <v>-24927.850695794026</v>
      </c>
      <c r="L590" s="60">
        <f>-L585*L560</f>
        <v>-28667.028300163129</v>
      </c>
    </row>
    <row r="591" spans="2:12" hidden="1" outlineLevel="1" x14ac:dyDescent="0.35">
      <c r="B591" s="11" t="s">
        <v>244</v>
      </c>
      <c r="C591" s="12"/>
      <c r="D591" s="60"/>
      <c r="E591" s="60">
        <f t="shared" si="222"/>
        <v>13158</v>
      </c>
      <c r="F591" s="60">
        <f t="shared" si="222"/>
        <v>6184</v>
      </c>
      <c r="G591" s="60">
        <f t="shared" si="222"/>
        <v>15789</v>
      </c>
      <c r="H591" s="60">
        <f>H586*H560</f>
        <v>16058.56402945966</v>
      </c>
      <c r="I591" s="60">
        <f>I586*I560</f>
        <v>18467.348633878606</v>
      </c>
      <c r="J591" s="60">
        <f>J586*J560</f>
        <v>21237.450928960396</v>
      </c>
      <c r="K591" s="60">
        <f>K586*K560</f>
        <v>24423.068568304458</v>
      </c>
      <c r="L591" s="60">
        <f>L586*L560</f>
        <v>28086.528853550124</v>
      </c>
    </row>
    <row r="592" spans="2:12" hidden="1" outlineLevel="1" x14ac:dyDescent="0.3">
      <c r="B592" s="11" t="s">
        <v>293</v>
      </c>
      <c r="E592" s="60">
        <f t="shared" si="222"/>
        <v>-1312</v>
      </c>
      <c r="F592" s="60">
        <f t="shared" si="222"/>
        <v>-629</v>
      </c>
      <c r="G592" s="60">
        <f t="shared" si="222"/>
        <v>-270</v>
      </c>
      <c r="H592" s="60">
        <f>-H587*H560</f>
        <v>-1107.0113486223527</v>
      </c>
      <c r="I592" s="60">
        <f>-I587*I560</f>
        <v>-1273.0630509157056</v>
      </c>
      <c r="J592" s="60">
        <f>-J587*J560</f>
        <v>-1464.0225085530612</v>
      </c>
      <c r="K592" s="60">
        <f>-K587*K560</f>
        <v>-1683.6258848360205</v>
      </c>
      <c r="L592" s="60">
        <f>-L587*L560</f>
        <v>-1936.1697675614237</v>
      </c>
    </row>
    <row r="593" spans="2:12" hidden="1" outlineLevel="1" x14ac:dyDescent="0.3"/>
    <row r="594" spans="2:12" hidden="1" outlineLevel="1" x14ac:dyDescent="0.35">
      <c r="B594" s="117"/>
      <c r="C594" s="117"/>
      <c r="D594" s="117"/>
      <c r="E594" s="117"/>
      <c r="F594" s="117"/>
      <c r="G594" s="117"/>
      <c r="H594" s="117"/>
      <c r="I594" s="117"/>
      <c r="J594" s="117"/>
      <c r="K594" s="117"/>
      <c r="L594" s="117"/>
    </row>
    <row r="595" spans="2:12" hidden="1" outlineLevel="1" x14ac:dyDescent="0.3">
      <c r="B595" s="8" t="s">
        <v>323</v>
      </c>
      <c r="E595" s="60"/>
      <c r="F595" s="60"/>
      <c r="G595" s="60"/>
      <c r="H595" s="60"/>
      <c r="I595" s="60"/>
      <c r="J595" s="60"/>
      <c r="K595" s="60"/>
      <c r="L595" s="60"/>
    </row>
    <row r="596" spans="2:12" hidden="1" outlineLevel="1" x14ac:dyDescent="0.3">
      <c r="E596" s="60"/>
      <c r="F596" s="60"/>
      <c r="G596" s="60"/>
      <c r="H596" s="60"/>
      <c r="I596" s="60"/>
      <c r="J596" s="60"/>
      <c r="K596" s="60"/>
      <c r="L596" s="60"/>
    </row>
    <row r="597" spans="2:12" hidden="1" outlineLevel="1" x14ac:dyDescent="0.3">
      <c r="B597" s="11" t="s">
        <v>325</v>
      </c>
      <c r="E597" s="118">
        <f t="shared" ref="E597:L597" si="223">E24</f>
        <v>4.5836942260031384E-2</v>
      </c>
      <c r="F597" s="118">
        <f t="shared" si="223"/>
        <v>2.8116706942817749E-2</v>
      </c>
      <c r="G597" s="118">
        <f t="shared" si="223"/>
        <v>3.1829593741071485E-2</v>
      </c>
      <c r="H597" s="118">
        <f t="shared" si="223"/>
        <v>3.2000000000000001E-2</v>
      </c>
      <c r="I597" s="118">
        <f t="shared" si="223"/>
        <v>3.7999999999999999E-2</v>
      </c>
      <c r="J597" s="118">
        <f t="shared" si="223"/>
        <v>3.7999999999999999E-2</v>
      </c>
      <c r="K597" s="118">
        <f t="shared" si="223"/>
        <v>0.04</v>
      </c>
      <c r="L597" s="118">
        <f t="shared" si="223"/>
        <v>0.04</v>
      </c>
    </row>
    <row r="598" spans="2:12" hidden="1" outlineLevel="1" x14ac:dyDescent="0.3">
      <c r="B598" s="11" t="s">
        <v>327</v>
      </c>
      <c r="E598" s="118">
        <f t="shared" ref="E598:L598" si="224">E63</f>
        <v>1.3892581190131123E-3</v>
      </c>
      <c r="F598" s="118">
        <f t="shared" si="224"/>
        <v>4.1437487954218621E-3</v>
      </c>
      <c r="G598" s="118">
        <f t="shared" si="224"/>
        <v>-4.2431353000893608E-3</v>
      </c>
      <c r="H598" s="118">
        <f t="shared" si="224"/>
        <v>2E-3</v>
      </c>
      <c r="I598" s="118">
        <f t="shared" si="224"/>
        <v>2E-3</v>
      </c>
      <c r="J598" s="118">
        <f t="shared" si="224"/>
        <v>2E-3</v>
      </c>
      <c r="K598" s="118">
        <f t="shared" si="224"/>
        <v>2E-3</v>
      </c>
      <c r="L598" s="118">
        <f t="shared" si="224"/>
        <v>2E-3</v>
      </c>
    </row>
    <row r="599" spans="2:12" hidden="1" outlineLevel="1" x14ac:dyDescent="0.3">
      <c r="H599" s="60"/>
      <c r="I599" s="60"/>
      <c r="J599" s="60"/>
      <c r="K599" s="60"/>
      <c r="L599" s="60"/>
    </row>
    <row r="600" spans="2:12" hidden="1" outlineLevel="1" x14ac:dyDescent="0.3">
      <c r="B600" s="11" t="s">
        <v>253</v>
      </c>
      <c r="E600" s="60">
        <f>E451</f>
        <v>5345</v>
      </c>
      <c r="F600" s="60">
        <f>F451</f>
        <v>3793</v>
      </c>
      <c r="G600" s="60">
        <f>G451</f>
        <v>5236</v>
      </c>
      <c r="H600" s="60">
        <f>H597*H560</f>
        <v>6053.6368000000002</v>
      </c>
      <c r="I600" s="60">
        <f t="shared" ref="I600:L600" si="225">I597*I560</f>
        <v>8266.9977549999985</v>
      </c>
      <c r="J600" s="60">
        <f t="shared" si="225"/>
        <v>9507.0474182499984</v>
      </c>
      <c r="K600" s="60">
        <f t="shared" si="225"/>
        <v>11508.531085249999</v>
      </c>
      <c r="L600" s="60">
        <f t="shared" si="225"/>
        <v>13234.810748037498</v>
      </c>
    </row>
    <row r="601" spans="2:12" hidden="1" outlineLevel="1" x14ac:dyDescent="0.3">
      <c r="B601" s="11" t="s">
        <v>324</v>
      </c>
      <c r="E601" s="60">
        <f>E412</f>
        <v>162</v>
      </c>
      <c r="F601" s="60">
        <f>F412</f>
        <v>559</v>
      </c>
      <c r="G601" s="60">
        <f>G412</f>
        <v>-698</v>
      </c>
      <c r="H601" s="60">
        <f>H598*H560</f>
        <v>378.35230000000001</v>
      </c>
      <c r="I601" s="60">
        <f t="shared" ref="I601:L601" si="226">I598*I560</f>
        <v>435.10514499999999</v>
      </c>
      <c r="J601" s="60">
        <f t="shared" si="226"/>
        <v>500.37091674999994</v>
      </c>
      <c r="K601" s="60">
        <f t="shared" si="226"/>
        <v>575.42655426249996</v>
      </c>
      <c r="L601" s="60">
        <f t="shared" si="226"/>
        <v>661.74053740187492</v>
      </c>
    </row>
    <row r="602" spans="2:12" collapsed="1" x14ac:dyDescent="0.3"/>
    <row r="603" spans="2:12" ht="18.600000000000001" customHeight="1" x14ac:dyDescent="0.3">
      <c r="B603" s="186" t="s">
        <v>119</v>
      </c>
      <c r="C603" s="186"/>
      <c r="D603" s="186"/>
      <c r="E603" s="186"/>
      <c r="F603" s="186"/>
      <c r="G603" s="186"/>
      <c r="H603" s="186"/>
      <c r="I603" s="186"/>
      <c r="J603" s="186"/>
      <c r="K603" s="186"/>
      <c r="L603" s="186"/>
    </row>
    <row r="604" spans="2:12" hidden="1" outlineLevel="1" x14ac:dyDescent="0.3"/>
    <row r="605" spans="2:12" ht="16.2" hidden="1" outlineLevel="1" thickBot="1" x14ac:dyDescent="0.35">
      <c r="B605" s="261" t="s">
        <v>74</v>
      </c>
      <c r="D605" s="4">
        <v>2021</v>
      </c>
      <c r="E605" s="4">
        <v>2022</v>
      </c>
      <c r="F605" s="4">
        <v>2023</v>
      </c>
      <c r="G605" s="4">
        <v>2024</v>
      </c>
      <c r="H605" s="5">
        <f>G605+1</f>
        <v>2025</v>
      </c>
      <c r="I605" s="5">
        <f>H605+1</f>
        <v>2026</v>
      </c>
      <c r="J605" s="5">
        <f>I605+1</f>
        <v>2027</v>
      </c>
      <c r="K605" s="5">
        <f>J605+1</f>
        <v>2028</v>
      </c>
      <c r="L605" s="5">
        <f>K605+1</f>
        <v>2029</v>
      </c>
    </row>
    <row r="606" spans="2:12" hidden="1" outlineLevel="1" x14ac:dyDescent="0.3"/>
    <row r="607" spans="2:12" hidden="1" outlineLevel="1" x14ac:dyDescent="0.3">
      <c r="B607" s="11" t="s">
        <v>57</v>
      </c>
      <c r="D607" s="49">
        <f t="shared" ref="D607:L607" si="227">D379</f>
        <v>117929</v>
      </c>
      <c r="E607" s="50">
        <f t="shared" si="227"/>
        <v>116609</v>
      </c>
      <c r="F607" s="50">
        <f t="shared" si="227"/>
        <v>134902</v>
      </c>
      <c r="G607" s="50">
        <f t="shared" si="227"/>
        <v>164501</v>
      </c>
      <c r="H607" s="50">
        <f t="shared" si="227"/>
        <v>189176.15</v>
      </c>
      <c r="I607" s="50">
        <f t="shared" si="227"/>
        <v>217552.57249999998</v>
      </c>
      <c r="J607" s="50">
        <f t="shared" si="227"/>
        <v>250185.45837499996</v>
      </c>
      <c r="K607" s="50">
        <f t="shared" si="227"/>
        <v>287713.27713124995</v>
      </c>
      <c r="L607" s="51">
        <f t="shared" si="227"/>
        <v>330870.26870093745</v>
      </c>
    </row>
    <row r="608" spans="2:12" hidden="1" outlineLevel="1" x14ac:dyDescent="0.3">
      <c r="B608" s="11" t="s">
        <v>315</v>
      </c>
      <c r="D608" s="52"/>
      <c r="E608" s="53">
        <f t="shared" ref="E608:L608" si="228">E387</f>
        <v>62416</v>
      </c>
      <c r="F608" s="53">
        <f t="shared" si="228"/>
        <v>62192</v>
      </c>
      <c r="G608" s="53">
        <f t="shared" si="228"/>
        <v>64960</v>
      </c>
      <c r="H608" s="53">
        <f t="shared" si="228"/>
        <v>78508.102249999996</v>
      </c>
      <c r="I608" s="53">
        <f t="shared" si="228"/>
        <v>90284.317587499987</v>
      </c>
      <c r="J608" s="53">
        <f t="shared" si="228"/>
        <v>103826.965225625</v>
      </c>
      <c r="K608" s="53">
        <f t="shared" si="228"/>
        <v>119401.01000946874</v>
      </c>
      <c r="L608" s="54">
        <f t="shared" si="228"/>
        <v>137311.16151088907</v>
      </c>
    </row>
    <row r="609" spans="2:12" hidden="1" outlineLevel="1" x14ac:dyDescent="0.3">
      <c r="B609" s="11" t="s">
        <v>75</v>
      </c>
      <c r="D609" s="52"/>
      <c r="E609" s="53">
        <f t="shared" ref="E609:L609" si="229">-E420</f>
        <v>31186</v>
      </c>
      <c r="F609" s="53">
        <f t="shared" si="229"/>
        <v>27045</v>
      </c>
      <c r="G609" s="53">
        <f t="shared" si="229"/>
        <v>37256</v>
      </c>
      <c r="H609" s="53">
        <f t="shared" si="229"/>
        <v>37835.230000000003</v>
      </c>
      <c r="I609" s="53">
        <f t="shared" si="229"/>
        <v>43510.514499999997</v>
      </c>
      <c r="J609" s="53">
        <f t="shared" si="229"/>
        <v>50037.091674999996</v>
      </c>
      <c r="K609" s="53">
        <f t="shared" si="229"/>
        <v>57542.655426249992</v>
      </c>
      <c r="L609" s="54">
        <f t="shared" si="229"/>
        <v>66174.05374018749</v>
      </c>
    </row>
    <row r="610" spans="2:12" hidden="1" outlineLevel="1" x14ac:dyDescent="0.3">
      <c r="B610" s="11" t="s">
        <v>316</v>
      </c>
      <c r="D610" s="55"/>
      <c r="E610" s="56">
        <f t="shared" ref="E610:L610" si="230">E394</f>
        <v>5619</v>
      </c>
      <c r="F610" s="56">
        <f t="shared" si="230"/>
        <v>8330</v>
      </c>
      <c r="G610" s="56">
        <f t="shared" si="230"/>
        <v>8303</v>
      </c>
      <c r="H610" s="56">
        <f t="shared" si="230"/>
        <v>11591.843675254268</v>
      </c>
      <c r="I610" s="56">
        <f t="shared" si="230"/>
        <v>13330.620226542407</v>
      </c>
      <c r="J610" s="56">
        <f t="shared" si="230"/>
        <v>15330.213260523766</v>
      </c>
      <c r="K610" s="56">
        <f t="shared" si="230"/>
        <v>17629.745249602329</v>
      </c>
      <c r="L610" s="57">
        <f t="shared" si="230"/>
        <v>20274.207037042677</v>
      </c>
    </row>
    <row r="611" spans="2:12" hidden="1" outlineLevel="1" x14ac:dyDescent="0.3"/>
    <row r="612" spans="2:12" hidden="1" outlineLevel="1" x14ac:dyDescent="0.3">
      <c r="B612" s="8" t="s">
        <v>120</v>
      </c>
    </row>
    <row r="613" spans="2:12" hidden="1" outlineLevel="1" x14ac:dyDescent="0.3"/>
    <row r="614" spans="2:12" hidden="1" outlineLevel="1" x14ac:dyDescent="0.3">
      <c r="B614" s="11" t="s">
        <v>306</v>
      </c>
      <c r="E614" s="119">
        <f t="shared" ref="E614:G615" si="231">E41</f>
        <v>0</v>
      </c>
      <c r="F614" s="120">
        <f t="shared" si="231"/>
        <v>6.3008702613749246E-2</v>
      </c>
      <c r="G614" s="120">
        <f t="shared" si="231"/>
        <v>6.3829399213378643E-2</v>
      </c>
      <c r="H614" s="120">
        <f t="shared" ref="H614:L614" si="232">H41</f>
        <v>6.4000000000000001E-2</v>
      </c>
      <c r="I614" s="120">
        <f t="shared" si="232"/>
        <v>6.4000000000000001E-2</v>
      </c>
      <c r="J614" s="120">
        <f t="shared" si="232"/>
        <v>6.4000000000000001E-2</v>
      </c>
      <c r="K614" s="120">
        <f t="shared" si="232"/>
        <v>6.4000000000000001E-2</v>
      </c>
      <c r="L614" s="121">
        <f t="shared" si="232"/>
        <v>6.4000000000000001E-2</v>
      </c>
    </row>
    <row r="615" spans="2:12" hidden="1" outlineLevel="1" x14ac:dyDescent="0.3">
      <c r="B615" s="11" t="s">
        <v>307</v>
      </c>
      <c r="E615" s="122">
        <f t="shared" si="231"/>
        <v>-6.6032638990129412E-4</v>
      </c>
      <c r="F615" s="13">
        <f t="shared" si="231"/>
        <v>-8.5247068242131328E-4</v>
      </c>
      <c r="G615" s="13">
        <f t="shared" si="231"/>
        <v>-1.0577443298217032E-3</v>
      </c>
      <c r="H615" s="13">
        <f t="shared" ref="H615:L615" si="233">H42</f>
        <v>-1.1000000000000001E-3</v>
      </c>
      <c r="I615" s="13">
        <f t="shared" si="233"/>
        <v>-1.1000000000000001E-3</v>
      </c>
      <c r="J615" s="13">
        <f t="shared" si="233"/>
        <v>-1.1000000000000001E-3</v>
      </c>
      <c r="K615" s="13">
        <f t="shared" si="233"/>
        <v>-1.1000000000000001E-3</v>
      </c>
      <c r="L615" s="123">
        <f t="shared" si="233"/>
        <v>-1.1000000000000001E-3</v>
      </c>
    </row>
    <row r="616" spans="2:12" hidden="1" outlineLevel="1" x14ac:dyDescent="0.3">
      <c r="B616" s="11" t="s">
        <v>308</v>
      </c>
      <c r="E616" s="124"/>
      <c r="F616" s="125">
        <f>F626/F607</f>
        <v>3.3357548442573126E-4</v>
      </c>
      <c r="G616" s="125">
        <f>G626/G607</f>
        <v>4.1337134728664264E-4</v>
      </c>
      <c r="H616" s="126">
        <v>4.0000000000000002E-4</v>
      </c>
      <c r="I616" s="126">
        <v>4.0000000000000002E-4</v>
      </c>
      <c r="J616" s="126">
        <v>4.0000000000000002E-4</v>
      </c>
      <c r="K616" s="126">
        <v>4.0000000000000002E-4</v>
      </c>
      <c r="L616" s="127">
        <v>4.0000000000000002E-4</v>
      </c>
    </row>
    <row r="617" spans="2:12" hidden="1" outlineLevel="1" x14ac:dyDescent="0.3"/>
    <row r="618" spans="2:12" hidden="1" outlineLevel="1" x14ac:dyDescent="0.35">
      <c r="B618" s="11" t="s">
        <v>298</v>
      </c>
      <c r="D618" s="12"/>
      <c r="E618" s="23">
        <v>10000</v>
      </c>
      <c r="F618" s="23">
        <f>E620</f>
        <v>10000</v>
      </c>
      <c r="G618" s="23">
        <f>F620</f>
        <v>18500</v>
      </c>
      <c r="H618" s="128">
        <f t="shared" ref="H618:L618" si="234">G618+G619</f>
        <v>29000</v>
      </c>
      <c r="I618" s="128">
        <f t="shared" si="234"/>
        <v>41107.2736</v>
      </c>
      <c r="J618" s="128">
        <f t="shared" si="234"/>
        <v>55030.63824</v>
      </c>
      <c r="K618" s="128">
        <f t="shared" si="234"/>
        <v>71042.507576000004</v>
      </c>
      <c r="L618" s="128">
        <f t="shared" si="234"/>
        <v>89456.157312399999</v>
      </c>
    </row>
    <row r="619" spans="2:12" hidden="1" outlineLevel="1" x14ac:dyDescent="0.35">
      <c r="B619" s="11" t="s">
        <v>305</v>
      </c>
      <c r="D619" s="12"/>
      <c r="E619" s="23">
        <v>0</v>
      </c>
      <c r="F619" s="23">
        <v>8500</v>
      </c>
      <c r="G619" s="23">
        <v>10500</v>
      </c>
      <c r="H619" s="128">
        <f>H614*H607</f>
        <v>12107.2736</v>
      </c>
      <c r="I619" s="128">
        <f>I614*I607</f>
        <v>13923.36464</v>
      </c>
      <c r="J619" s="128">
        <f>J614*J607</f>
        <v>16011.869335999998</v>
      </c>
      <c r="K619" s="128">
        <f>K614*K607</f>
        <v>18413.649736399999</v>
      </c>
      <c r="L619" s="128">
        <f>L614*L607</f>
        <v>21175.697196859997</v>
      </c>
    </row>
    <row r="620" spans="2:12" hidden="1" outlineLevel="1" x14ac:dyDescent="0.35">
      <c r="B620" s="8" t="s">
        <v>301</v>
      </c>
      <c r="D620" s="12"/>
      <c r="E620" s="129">
        <f>SUM(E618:E619)</f>
        <v>10000</v>
      </c>
      <c r="F620" s="129">
        <f t="shared" ref="F620:G620" si="235">SUM(F618:F619)</f>
        <v>18500</v>
      </c>
      <c r="G620" s="129">
        <f t="shared" si="235"/>
        <v>29000</v>
      </c>
      <c r="H620" s="30">
        <f>SUM(H618:H619)</f>
        <v>41107.2736</v>
      </c>
      <c r="I620" s="30">
        <f t="shared" ref="I620:L620" si="236">SUM(I618:I619)</f>
        <v>55030.63824</v>
      </c>
      <c r="J620" s="30">
        <f t="shared" si="236"/>
        <v>71042.507576000004</v>
      </c>
      <c r="K620" s="30">
        <f t="shared" si="236"/>
        <v>89456.157312399999</v>
      </c>
      <c r="L620" s="30">
        <f t="shared" si="236"/>
        <v>110631.85450926</v>
      </c>
    </row>
    <row r="621" spans="2:12" hidden="1" outlineLevel="1" x14ac:dyDescent="0.35">
      <c r="B621" s="11" t="s">
        <v>299</v>
      </c>
      <c r="D621" s="12"/>
      <c r="E621" s="58">
        <v>-77</v>
      </c>
      <c r="F621" s="58">
        <v>-115</v>
      </c>
      <c r="G621" s="58">
        <v>-174</v>
      </c>
      <c r="H621" s="29">
        <f>H615*H607</f>
        <v>-208.09376500000002</v>
      </c>
      <c r="I621" s="29">
        <f>I615*I607</f>
        <v>-239.30782975</v>
      </c>
      <c r="J621" s="29">
        <f>J615*J607</f>
        <v>-275.20400421249997</v>
      </c>
      <c r="K621" s="29">
        <f>K615*K607</f>
        <v>-316.48460484437499</v>
      </c>
      <c r="L621" s="29">
        <f>L615*L607</f>
        <v>-363.95729557103124</v>
      </c>
    </row>
    <row r="622" spans="2:12" hidden="1" outlineLevel="1" x14ac:dyDescent="0.35">
      <c r="B622" s="11" t="s">
        <v>300</v>
      </c>
      <c r="D622" s="12"/>
      <c r="E622" s="129">
        <f>E620+E621</f>
        <v>9923</v>
      </c>
      <c r="F622" s="129">
        <f>F620+F621</f>
        <v>18385</v>
      </c>
      <c r="G622" s="129">
        <f>G620+G621</f>
        <v>28826</v>
      </c>
      <c r="H622" s="30">
        <f>H620+H621</f>
        <v>40899.179835000003</v>
      </c>
      <c r="I622" s="30">
        <f t="shared" ref="I622:L622" si="237">I620+I621</f>
        <v>54791.330410249997</v>
      </c>
      <c r="J622" s="30">
        <f t="shared" si="237"/>
        <v>70767.303571787503</v>
      </c>
      <c r="K622" s="30">
        <f t="shared" si="237"/>
        <v>89139.672707555626</v>
      </c>
      <c r="L622" s="30">
        <f t="shared" si="237"/>
        <v>110267.89721368896</v>
      </c>
    </row>
    <row r="623" spans="2:12" hidden="1" outlineLevel="1" x14ac:dyDescent="0.3">
      <c r="B623" s="11"/>
      <c r="H623" s="14"/>
      <c r="I623" s="14"/>
      <c r="J623" s="14"/>
      <c r="K623" s="14"/>
      <c r="L623" s="14"/>
    </row>
    <row r="624" spans="2:12" hidden="1" outlineLevel="1" x14ac:dyDescent="0.35">
      <c r="B624" s="11" t="s">
        <v>305</v>
      </c>
      <c r="E624" s="12"/>
      <c r="F624" s="23">
        <v>8500</v>
      </c>
      <c r="G624" s="23">
        <v>10500</v>
      </c>
      <c r="H624" s="128">
        <f>H619</f>
        <v>12107.2736</v>
      </c>
      <c r="I624" s="128">
        <f t="shared" ref="I624:L624" si="238">I619</f>
        <v>13923.36464</v>
      </c>
      <c r="J624" s="128">
        <f t="shared" si="238"/>
        <v>16011.869335999998</v>
      </c>
      <c r="K624" s="128">
        <f t="shared" si="238"/>
        <v>18413.649736399999</v>
      </c>
      <c r="L624" s="128">
        <f t="shared" si="238"/>
        <v>21175.697196859997</v>
      </c>
    </row>
    <row r="625" spans="2:12" hidden="1" outlineLevel="1" x14ac:dyDescent="0.35">
      <c r="B625" s="11" t="s">
        <v>303</v>
      </c>
      <c r="D625" s="12"/>
      <c r="E625" s="12"/>
      <c r="F625" s="23">
        <f>F431</f>
        <v>8455</v>
      </c>
      <c r="G625" s="23">
        <f>G431</f>
        <v>10432</v>
      </c>
      <c r="H625" s="128">
        <f>H624-H626</f>
        <v>12031.603140000001</v>
      </c>
      <c r="I625" s="128">
        <f t="shared" ref="I625:L625" si="239">I624-I626</f>
        <v>13836.343611</v>
      </c>
      <c r="J625" s="128">
        <f t="shared" si="239"/>
        <v>15911.795152649998</v>
      </c>
      <c r="K625" s="128">
        <f t="shared" si="239"/>
        <v>18298.564425547498</v>
      </c>
      <c r="L625" s="128">
        <f t="shared" si="239"/>
        <v>21043.349089379622</v>
      </c>
    </row>
    <row r="626" spans="2:12" hidden="1" outlineLevel="1" x14ac:dyDescent="0.35">
      <c r="B626" s="11" t="s">
        <v>304</v>
      </c>
      <c r="C626" s="12"/>
      <c r="D626" s="12"/>
      <c r="E626" s="130"/>
      <c r="F626" s="23">
        <f>F624-F625</f>
        <v>45</v>
      </c>
      <c r="G626" s="23">
        <f>G624-G625</f>
        <v>68</v>
      </c>
      <c r="H626" s="29">
        <f>H616*H607</f>
        <v>75.670460000000006</v>
      </c>
      <c r="I626" s="29">
        <f>I616*I607</f>
        <v>87.021028999999999</v>
      </c>
      <c r="J626" s="29">
        <f>J616*J607</f>
        <v>100.07418334999998</v>
      </c>
      <c r="K626" s="29">
        <f>K616*K607</f>
        <v>115.08531085249999</v>
      </c>
      <c r="L626" s="29">
        <f>L616*L607</f>
        <v>132.34810748037498</v>
      </c>
    </row>
    <row r="627" spans="2:12" hidden="1" outlineLevel="1" x14ac:dyDescent="0.35">
      <c r="B627" s="12"/>
      <c r="C627" s="12"/>
      <c r="D627" s="12"/>
      <c r="E627" s="12"/>
      <c r="F627" s="12"/>
      <c r="G627" s="12"/>
      <c r="H627" s="12"/>
      <c r="I627" s="12"/>
      <c r="J627" s="12"/>
      <c r="K627" s="12"/>
      <c r="L627" s="12"/>
    </row>
    <row r="628" spans="2:12" hidden="1" outlineLevel="1" x14ac:dyDescent="0.3">
      <c r="B628" s="131"/>
      <c r="C628" s="132"/>
      <c r="D628" s="30"/>
      <c r="E628" s="30"/>
      <c r="F628" s="30"/>
      <c r="G628" s="30"/>
      <c r="H628" s="132"/>
      <c r="I628" s="132"/>
      <c r="J628" s="132"/>
      <c r="K628" s="132"/>
      <c r="L628" s="132"/>
    </row>
    <row r="629" spans="2:12" hidden="1" outlineLevel="1" x14ac:dyDescent="0.3">
      <c r="B629" s="8" t="s">
        <v>309</v>
      </c>
    </row>
    <row r="630" spans="2:12" hidden="1" outlineLevel="1" x14ac:dyDescent="0.35">
      <c r="B630" s="12"/>
      <c r="C630" s="12"/>
      <c r="D630" s="12"/>
      <c r="E630" s="12"/>
      <c r="F630" s="12"/>
      <c r="G630" s="12"/>
      <c r="H630" s="12"/>
      <c r="I630" s="12"/>
      <c r="J630" s="12"/>
      <c r="K630" s="12"/>
      <c r="L630" s="12"/>
    </row>
    <row r="631" spans="2:12" hidden="1" outlineLevel="1" x14ac:dyDescent="0.3">
      <c r="B631" s="11" t="s">
        <v>317</v>
      </c>
      <c r="E631" s="13">
        <f>E637/E608</f>
        <v>7.6823250448602928E-2</v>
      </c>
      <c r="F631" s="13">
        <f>F637/F608</f>
        <v>0.10599434010805248</v>
      </c>
      <c r="G631" s="13">
        <f>G637/G608</f>
        <v>8.5021551724137931E-2</v>
      </c>
      <c r="H631" s="14">
        <f>H50</f>
        <v>7.0000000000000007E-2</v>
      </c>
      <c r="I631" s="14">
        <f t="shared" ref="I631:L631" si="240">I50</f>
        <v>7.0000000000000007E-2</v>
      </c>
      <c r="J631" s="14">
        <f t="shared" si="240"/>
        <v>6.5000000000000002E-2</v>
      </c>
      <c r="K631" s="14">
        <f t="shared" si="240"/>
        <v>6.5000000000000002E-2</v>
      </c>
      <c r="L631" s="14">
        <f t="shared" si="240"/>
        <v>6.5000000000000002E-2</v>
      </c>
    </row>
    <row r="632" spans="2:12" hidden="1" outlineLevel="1" x14ac:dyDescent="0.3">
      <c r="B632" s="11" t="s">
        <v>318</v>
      </c>
      <c r="E632" s="13">
        <f t="shared" ref="E632:G634" si="241">E638/E608</f>
        <v>7.355485772878749E-2</v>
      </c>
      <c r="F632" s="13">
        <f t="shared" si="241"/>
        <v>0.10707164908669925</v>
      </c>
      <c r="G632" s="13">
        <f t="shared" si="241"/>
        <v>9.7752463054187194E-2</v>
      </c>
      <c r="H632" s="14">
        <f t="shared" ref="H632:L632" si="242">H51</f>
        <v>0.08</v>
      </c>
      <c r="I632" s="14">
        <f t="shared" si="242"/>
        <v>0.08</v>
      </c>
      <c r="J632" s="14">
        <f t="shared" si="242"/>
        <v>7.4999999999999997E-2</v>
      </c>
      <c r="K632" s="14">
        <f t="shared" si="242"/>
        <v>7.4999999999999997E-2</v>
      </c>
      <c r="L632" s="14">
        <f t="shared" si="242"/>
        <v>7.4999999999999997E-2</v>
      </c>
    </row>
    <row r="633" spans="2:12" hidden="1" outlineLevel="1" x14ac:dyDescent="0.3">
      <c r="B633" s="11" t="s">
        <v>319</v>
      </c>
      <c r="E633" s="13">
        <f t="shared" si="241"/>
        <v>9.366382351054961E-2</v>
      </c>
      <c r="F633" s="13">
        <f t="shared" si="241"/>
        <v>8.1826585320761688E-2</v>
      </c>
      <c r="G633" s="13">
        <f t="shared" si="241"/>
        <v>6.9304273137212796E-2</v>
      </c>
      <c r="H633" s="14">
        <f t="shared" ref="H633:L633" si="243">H52</f>
        <v>0.06</v>
      </c>
      <c r="I633" s="14">
        <f t="shared" si="243"/>
        <v>0.06</v>
      </c>
      <c r="J633" s="14">
        <f t="shared" si="243"/>
        <v>5.5E-2</v>
      </c>
      <c r="K633" s="14">
        <f t="shared" si="243"/>
        <v>5.5E-2</v>
      </c>
      <c r="L633" s="14">
        <f t="shared" si="243"/>
        <v>5.5E-2</v>
      </c>
    </row>
    <row r="634" spans="2:12" hidden="1" outlineLevel="1" x14ac:dyDescent="0.3">
      <c r="B634" s="11" t="s">
        <v>320</v>
      </c>
      <c r="E634" s="13">
        <f t="shared" si="241"/>
        <v>0.41626623954440289</v>
      </c>
      <c r="F634" s="13">
        <f t="shared" si="241"/>
        <v>0.43877551020408162</v>
      </c>
      <c r="G634" s="13">
        <f t="shared" si="241"/>
        <v>0.41406720462483437</v>
      </c>
      <c r="H634" s="14">
        <f t="shared" ref="H634:L634" si="244">H53</f>
        <v>0.38</v>
      </c>
      <c r="I634" s="14">
        <f t="shared" si="244"/>
        <v>0.38</v>
      </c>
      <c r="J634" s="14">
        <f t="shared" si="244"/>
        <v>0.37</v>
      </c>
      <c r="K634" s="14">
        <f t="shared" si="244"/>
        <v>0.37</v>
      </c>
      <c r="L634" s="14">
        <f t="shared" si="244"/>
        <v>0.37</v>
      </c>
    </row>
    <row r="635" spans="2:12" hidden="1" outlineLevel="1" x14ac:dyDescent="0.3">
      <c r="B635" s="11" t="s">
        <v>121</v>
      </c>
      <c r="E635" s="13">
        <f>E641/E607</f>
        <v>4.2072224270853879E-2</v>
      </c>
      <c r="F635" s="13">
        <f>F641/F607</f>
        <v>4.7212050229055169E-2</v>
      </c>
      <c r="G635" s="13">
        <f>G641/G607</f>
        <v>3.6923787697339228E-2</v>
      </c>
      <c r="H635" s="14">
        <f t="shared" ref="H635:L635" si="245">H54</f>
        <v>0.03</v>
      </c>
      <c r="I635" s="14">
        <f t="shared" si="245"/>
        <v>0.03</v>
      </c>
      <c r="J635" s="14">
        <f t="shared" si="245"/>
        <v>2.5000000000000001E-2</v>
      </c>
      <c r="K635" s="14">
        <f t="shared" si="245"/>
        <v>2.5000000000000001E-2</v>
      </c>
      <c r="L635" s="14">
        <f t="shared" si="245"/>
        <v>2.5000000000000001E-2</v>
      </c>
    </row>
    <row r="636" spans="2:12" hidden="1" outlineLevel="1" x14ac:dyDescent="0.3"/>
    <row r="637" spans="2:12" hidden="1" outlineLevel="1" x14ac:dyDescent="0.35">
      <c r="B637" s="11" t="s">
        <v>311</v>
      </c>
      <c r="D637" s="12"/>
      <c r="E637" s="133">
        <v>4795</v>
      </c>
      <c r="F637" s="133">
        <v>6592</v>
      </c>
      <c r="G637" s="133">
        <v>5523</v>
      </c>
      <c r="H637" s="128">
        <f>H631*H608</f>
        <v>5495.5671575000006</v>
      </c>
      <c r="I637" s="128">
        <f>I631*I608</f>
        <v>6319.9022311250001</v>
      </c>
      <c r="J637" s="128">
        <f>J631*J608</f>
        <v>6748.7527396656251</v>
      </c>
      <c r="K637" s="128">
        <f>K631*K608</f>
        <v>7761.0656506154683</v>
      </c>
      <c r="L637" s="128">
        <f>L631*L608</f>
        <v>8925.2254982077902</v>
      </c>
    </row>
    <row r="638" spans="2:12" hidden="1" outlineLevel="1" x14ac:dyDescent="0.35">
      <c r="B638" s="11" t="s">
        <v>312</v>
      </c>
      <c r="D638" s="12"/>
      <c r="E638" s="133">
        <v>4591</v>
      </c>
      <c r="F638" s="133">
        <v>6659</v>
      </c>
      <c r="G638" s="133">
        <v>6350</v>
      </c>
      <c r="H638" s="128">
        <f t="shared" ref="H638:L640" si="246">H632*H608</f>
        <v>6280.6481800000001</v>
      </c>
      <c r="I638" s="128">
        <f t="shared" si="246"/>
        <v>7222.7454069999994</v>
      </c>
      <c r="J638" s="128">
        <f t="shared" si="246"/>
        <v>7787.0223919218743</v>
      </c>
      <c r="K638" s="128">
        <f t="shared" si="246"/>
        <v>8955.0757507101553</v>
      </c>
      <c r="L638" s="128">
        <f t="shared" si="246"/>
        <v>10298.33711331668</v>
      </c>
    </row>
    <row r="639" spans="2:12" hidden="1" outlineLevel="1" x14ac:dyDescent="0.35">
      <c r="B639" s="11" t="s">
        <v>313</v>
      </c>
      <c r="C639" s="12"/>
      <c r="D639" s="12"/>
      <c r="E639" s="133">
        <v>2921</v>
      </c>
      <c r="F639" s="133">
        <v>2213</v>
      </c>
      <c r="G639" s="133">
        <v>2582</v>
      </c>
      <c r="H639" s="128">
        <f t="shared" si="246"/>
        <v>2270.1138000000001</v>
      </c>
      <c r="I639" s="128">
        <f t="shared" si="246"/>
        <v>2610.63087</v>
      </c>
      <c r="J639" s="128">
        <f t="shared" si="246"/>
        <v>2752.0400421249997</v>
      </c>
      <c r="K639" s="128">
        <f t="shared" si="246"/>
        <v>3164.8460484437496</v>
      </c>
      <c r="L639" s="128">
        <f t="shared" si="246"/>
        <v>3639.5729557103118</v>
      </c>
    </row>
    <row r="640" spans="2:12" hidden="1" outlineLevel="1" x14ac:dyDescent="0.35">
      <c r="B640" s="11" t="s">
        <v>314</v>
      </c>
      <c r="C640" s="12"/>
      <c r="D640" s="12"/>
      <c r="E640" s="133">
        <v>2339</v>
      </c>
      <c r="F640" s="133">
        <v>3655</v>
      </c>
      <c r="G640" s="133">
        <v>3438</v>
      </c>
      <c r="H640" s="128">
        <f t="shared" si="246"/>
        <v>4404.9005965966217</v>
      </c>
      <c r="I640" s="128">
        <f t="shared" si="246"/>
        <v>5065.6356860861151</v>
      </c>
      <c r="J640" s="128">
        <f t="shared" si="246"/>
        <v>5672.1789063937931</v>
      </c>
      <c r="K640" s="128">
        <f t="shared" si="246"/>
        <v>6523.0057423528615</v>
      </c>
      <c r="L640" s="128">
        <f t="shared" si="246"/>
        <v>7501.4566037057903</v>
      </c>
    </row>
    <row r="641" spans="2:12" hidden="1" outlineLevel="1" x14ac:dyDescent="0.35">
      <c r="B641" s="11" t="s">
        <v>28</v>
      </c>
      <c r="C641" s="12"/>
      <c r="D641" s="12"/>
      <c r="E641" s="133">
        <v>4906</v>
      </c>
      <c r="F641" s="133">
        <v>6369</v>
      </c>
      <c r="G641" s="133">
        <v>6074</v>
      </c>
      <c r="H641" s="128">
        <f>H635*H607</f>
        <v>5675.2844999999998</v>
      </c>
      <c r="I641" s="128">
        <f>I635*I607</f>
        <v>6526.5771749999994</v>
      </c>
      <c r="J641" s="128">
        <f>J635*J607</f>
        <v>6254.6364593749995</v>
      </c>
      <c r="K641" s="128">
        <f>K635*K607</f>
        <v>7192.831928281249</v>
      </c>
      <c r="L641" s="128">
        <f>L635*L607</f>
        <v>8271.7567175234362</v>
      </c>
    </row>
    <row r="642" spans="2:12" hidden="1" outlineLevel="1" x14ac:dyDescent="0.35">
      <c r="B642" s="8" t="s">
        <v>241</v>
      </c>
      <c r="C642" s="134"/>
      <c r="D642" s="12"/>
      <c r="E642" s="135">
        <f>SUM(E637:E641)</f>
        <v>19552</v>
      </c>
      <c r="F642" s="135">
        <f>SUM(F637:F641)</f>
        <v>25488</v>
      </c>
      <c r="G642" s="135">
        <f>SUM(G637:G641)</f>
        <v>23967</v>
      </c>
      <c r="H642" s="135">
        <f t="shared" ref="H642:L642" si="247">SUM(H637:H641)</f>
        <v>24126.514234096619</v>
      </c>
      <c r="I642" s="135">
        <f t="shared" si="247"/>
        <v>27745.491369211115</v>
      </c>
      <c r="J642" s="135">
        <f t="shared" si="247"/>
        <v>29214.630539481295</v>
      </c>
      <c r="K642" s="135">
        <f t="shared" si="247"/>
        <v>33596.825120403482</v>
      </c>
      <c r="L642" s="135">
        <f t="shared" si="247"/>
        <v>38636.34888846401</v>
      </c>
    </row>
    <row r="643" spans="2:12" hidden="1" outlineLevel="1" x14ac:dyDescent="0.3"/>
    <row r="644" spans="2:12" hidden="1" outlineLevel="1" x14ac:dyDescent="0.3">
      <c r="B644" s="11" t="s">
        <v>321</v>
      </c>
      <c r="E644" s="13">
        <f t="shared" ref="E644:L644" si="248">E65</f>
        <v>6.8892591643168424E-2</v>
      </c>
      <c r="F644" s="13">
        <f t="shared" si="248"/>
        <v>8.1698610753794698E-2</v>
      </c>
      <c r="G644" s="13">
        <f t="shared" si="248"/>
        <v>4.9722906403940883E-3</v>
      </c>
      <c r="H644" s="62">
        <f t="shared" si="248"/>
        <v>5.1999999999999998E-2</v>
      </c>
      <c r="I644" s="62">
        <f t="shared" si="248"/>
        <v>5.1999999999999998E-2</v>
      </c>
      <c r="J644" s="62">
        <f t="shared" si="248"/>
        <v>5.1999999999999998E-2</v>
      </c>
      <c r="K644" s="62">
        <f t="shared" si="248"/>
        <v>5.1999999999999998E-2</v>
      </c>
      <c r="L644" s="62">
        <f t="shared" si="248"/>
        <v>5.1999999999999998E-2</v>
      </c>
    </row>
    <row r="645" spans="2:12" hidden="1" outlineLevel="1" x14ac:dyDescent="0.35">
      <c r="B645" s="11" t="s">
        <v>310</v>
      </c>
      <c r="C645" s="12"/>
      <c r="D645" s="128"/>
      <c r="E645" s="128">
        <f>E415</f>
        <v>4300</v>
      </c>
      <c r="F645" s="128">
        <f>F415</f>
        <v>5081</v>
      </c>
      <c r="G645" s="128">
        <f>G415</f>
        <v>323</v>
      </c>
      <c r="H645" s="128">
        <f>H642-G642+H646</f>
        <v>-334.98576590338052</v>
      </c>
      <c r="I645" s="128">
        <f>I642-H642+I646</f>
        <v>2449.7271351144955</v>
      </c>
      <c r="J645" s="128">
        <f>J642-I642+J646</f>
        <v>637.26417027018033</v>
      </c>
      <c r="K645" s="128">
        <f>K642-J642+K646</f>
        <v>3381.632080922187</v>
      </c>
      <c r="L645" s="128">
        <f>L642-K642+L646</f>
        <v>4123.3050180605278</v>
      </c>
    </row>
    <row r="646" spans="2:12" hidden="1" outlineLevel="1" x14ac:dyDescent="0.35">
      <c r="B646" s="11" t="s">
        <v>322</v>
      </c>
      <c r="C646" s="12"/>
      <c r="D646" s="128"/>
      <c r="E646" s="128"/>
      <c r="F646" s="128">
        <v>855</v>
      </c>
      <c r="G646" s="128">
        <v>-1844</v>
      </c>
      <c r="H646" s="128">
        <v>-494.5</v>
      </c>
      <c r="I646" s="128">
        <v>-1169.25</v>
      </c>
      <c r="J646" s="128">
        <v>-831.875</v>
      </c>
      <c r="K646" s="128">
        <v>-1000.5625</v>
      </c>
      <c r="L646" s="128">
        <v>-916.21875</v>
      </c>
    </row>
    <row r="647" spans="2:12" collapsed="1" x14ac:dyDescent="0.3"/>
    <row r="648" spans="2:12" ht="18.600000000000001" customHeight="1" x14ac:dyDescent="0.3">
      <c r="B648" s="186" t="s">
        <v>382</v>
      </c>
      <c r="C648" s="186"/>
      <c r="D648" s="186"/>
      <c r="E648" s="186"/>
      <c r="F648" s="186"/>
      <c r="G648" s="186"/>
      <c r="H648" s="186"/>
      <c r="I648" s="186"/>
      <c r="J648" s="186"/>
      <c r="K648" s="186"/>
      <c r="L648" s="186"/>
    </row>
    <row r="649" spans="2:12" hidden="1" outlineLevel="1" x14ac:dyDescent="0.3"/>
    <row r="650" spans="2:12" ht="16.2" hidden="1" outlineLevel="1" thickBot="1" x14ac:dyDescent="0.35">
      <c r="B650" s="261" t="s">
        <v>74</v>
      </c>
      <c r="D650" s="4">
        <v>2021</v>
      </c>
      <c r="E650" s="4">
        <v>2022</v>
      </c>
      <c r="F650" s="4">
        <v>2023</v>
      </c>
      <c r="G650" s="4">
        <v>2024</v>
      </c>
      <c r="H650" s="5">
        <f>G650+1</f>
        <v>2025</v>
      </c>
      <c r="I650" s="5">
        <f>H650+1</f>
        <v>2026</v>
      </c>
      <c r="J650" s="5">
        <f>I650+1</f>
        <v>2027</v>
      </c>
      <c r="K650" s="5">
        <f>J650+1</f>
        <v>2028</v>
      </c>
      <c r="L650" s="5">
        <f>K650+1</f>
        <v>2029</v>
      </c>
    </row>
    <row r="651" spans="2:12" hidden="1" outlineLevel="1" x14ac:dyDescent="0.3"/>
    <row r="652" spans="2:12" hidden="1" outlineLevel="1" x14ac:dyDescent="0.3">
      <c r="B652" s="136" t="s">
        <v>57</v>
      </c>
      <c r="C652" s="78"/>
      <c r="D652" s="50"/>
      <c r="E652" s="50">
        <f>E379</f>
        <v>116609</v>
      </c>
      <c r="F652" s="50">
        <f>F379</f>
        <v>134902</v>
      </c>
      <c r="G652" s="50">
        <f>G379</f>
        <v>164501</v>
      </c>
      <c r="H652" s="50">
        <f>H381</f>
        <v>150493.82665734744</v>
      </c>
      <c r="I652" s="50">
        <f>I381</f>
        <v>173067.90065594955</v>
      </c>
      <c r="J652" s="50">
        <f>J381</f>
        <v>199028.08575434197</v>
      </c>
      <c r="K652" s="50">
        <f>K381</f>
        <v>228882.29861749324</v>
      </c>
      <c r="L652" s="51">
        <f>L381</f>
        <v>263214.64341011725</v>
      </c>
    </row>
    <row r="653" spans="2:12" hidden="1" outlineLevel="1" x14ac:dyDescent="0.3">
      <c r="B653" s="137" t="s">
        <v>109</v>
      </c>
      <c r="D653" s="138"/>
      <c r="E653" s="138">
        <f>E669/E652</f>
        <v>0.13743364577348233</v>
      </c>
      <c r="F653" s="138">
        <f>F669/F652</f>
        <v>0.12956813093949682</v>
      </c>
      <c r="G653" s="138">
        <f>G669/G652</f>
        <v>0.12343997908827302</v>
      </c>
      <c r="H653" s="139">
        <f>H45</f>
        <v>0.13</v>
      </c>
      <c r="I653" s="139">
        <f t="shared" ref="I653:L653" si="249">I45</f>
        <v>0.13</v>
      </c>
      <c r="J653" s="139">
        <f t="shared" si="249"/>
        <v>0.13</v>
      </c>
      <c r="K653" s="139">
        <f t="shared" si="249"/>
        <v>0.13</v>
      </c>
      <c r="L653" s="140">
        <f t="shared" si="249"/>
        <v>0.13</v>
      </c>
    </row>
    <row r="654" spans="2:12" hidden="1" outlineLevel="1" x14ac:dyDescent="0.3">
      <c r="B654" s="137" t="s">
        <v>297</v>
      </c>
      <c r="D654" s="138"/>
      <c r="E654" s="138">
        <f>E679/E652</f>
        <v>0.14293922424512687</v>
      </c>
      <c r="F654" s="138">
        <f>F679/F652</f>
        <v>0.13972365124312464</v>
      </c>
      <c r="G654" s="138">
        <f>G679/G652</f>
        <v>0.12300229177938128</v>
      </c>
      <c r="H654" s="139">
        <f t="shared" ref="H654:L654" si="250">H46</f>
        <v>0.14000000000000001</v>
      </c>
      <c r="I654" s="139">
        <f t="shared" si="250"/>
        <v>0.14000000000000001</v>
      </c>
      <c r="J654" s="139">
        <f t="shared" si="250"/>
        <v>0.14000000000000001</v>
      </c>
      <c r="K654" s="139">
        <f t="shared" si="250"/>
        <v>0.14000000000000001</v>
      </c>
      <c r="L654" s="140">
        <f t="shared" si="250"/>
        <v>0.14000000000000001</v>
      </c>
    </row>
    <row r="655" spans="2:12" hidden="1" outlineLevel="1" x14ac:dyDescent="0.3">
      <c r="B655" s="141" t="s">
        <v>296</v>
      </c>
      <c r="C655" s="142"/>
      <c r="D655" s="143"/>
      <c r="E655" s="143">
        <f>E674/E652</f>
        <v>5.8914835047037539E-3</v>
      </c>
      <c r="F655" s="143">
        <f>F674/F652</f>
        <v>5.1148240945278799E-3</v>
      </c>
      <c r="G655" s="143">
        <f>G674/G652</f>
        <v>4.310004194503377E-3</v>
      </c>
      <c r="H655" s="144">
        <f t="shared" ref="H655:L655" si="251">H47</f>
        <v>5.0000000000000001E-3</v>
      </c>
      <c r="I655" s="144">
        <f t="shared" si="251"/>
        <v>5.0000000000000001E-3</v>
      </c>
      <c r="J655" s="144">
        <f t="shared" si="251"/>
        <v>5.0000000000000001E-3</v>
      </c>
      <c r="K655" s="144">
        <f t="shared" si="251"/>
        <v>5.0000000000000001E-3</v>
      </c>
      <c r="L655" s="145">
        <f t="shared" si="251"/>
        <v>5.0000000000000001E-3</v>
      </c>
    </row>
    <row r="656" spans="2:12" hidden="1" outlineLevel="1" x14ac:dyDescent="0.3"/>
    <row r="657" spans="2:12" hidden="1" outlineLevel="1" x14ac:dyDescent="0.3">
      <c r="B657" s="136" t="s">
        <v>103</v>
      </c>
      <c r="C657" s="78"/>
      <c r="D657" s="146"/>
      <c r="E657" s="146">
        <f>E667/E669</f>
        <v>0.79077748658430047</v>
      </c>
      <c r="F657" s="146">
        <f>F667/F669</f>
        <v>0.76056982664912176</v>
      </c>
      <c r="G657" s="146">
        <f>G667/G669</f>
        <v>0.73485669260317144</v>
      </c>
      <c r="H657" s="147">
        <v>0.76</v>
      </c>
      <c r="I657" s="147">
        <v>0.76</v>
      </c>
      <c r="J657" s="147">
        <v>0.76</v>
      </c>
      <c r="K657" s="147">
        <v>0.76</v>
      </c>
      <c r="L657" s="148">
        <v>0.76</v>
      </c>
    </row>
    <row r="658" spans="2:12" hidden="1" outlineLevel="1" x14ac:dyDescent="0.3">
      <c r="B658" s="137" t="s">
        <v>104</v>
      </c>
      <c r="D658" s="138"/>
      <c r="E658" s="138">
        <f>E668/E669</f>
        <v>0.2092225134156995</v>
      </c>
      <c r="F658" s="138">
        <f>F668/F669</f>
        <v>0.23943017335087818</v>
      </c>
      <c r="G658" s="138">
        <f>G668/G669</f>
        <v>0.26514330739682851</v>
      </c>
      <c r="H658" s="149">
        <v>0.24</v>
      </c>
      <c r="I658" s="149">
        <v>0.24</v>
      </c>
      <c r="J658" s="149">
        <v>0.24</v>
      </c>
      <c r="K658" s="149">
        <v>0.24</v>
      </c>
      <c r="L658" s="150">
        <v>0.24</v>
      </c>
    </row>
    <row r="659" spans="2:12" hidden="1" outlineLevel="1" x14ac:dyDescent="0.3">
      <c r="B659" s="151"/>
      <c r="D659" s="63"/>
      <c r="E659" s="63"/>
      <c r="F659" s="63"/>
      <c r="G659" s="63"/>
      <c r="H659" s="63"/>
      <c r="I659" s="63"/>
      <c r="J659" s="63"/>
      <c r="K659" s="63"/>
      <c r="L659" s="152"/>
    </row>
    <row r="660" spans="2:12" hidden="1" outlineLevel="1" x14ac:dyDescent="0.3">
      <c r="B660" s="137" t="s">
        <v>107</v>
      </c>
      <c r="D660" s="138"/>
      <c r="E660" s="138">
        <f>E672/E674</f>
        <v>0.18777292576419213</v>
      </c>
      <c r="F660" s="138">
        <f>F672/F674</f>
        <v>0.13043478260869565</v>
      </c>
      <c r="G660" s="138">
        <f>G672/G674</f>
        <v>0.10719322990126939</v>
      </c>
      <c r="H660" s="149">
        <v>0.14000000000000001</v>
      </c>
      <c r="I660" s="149">
        <v>0.14000000000000001</v>
      </c>
      <c r="J660" s="149">
        <v>0.14000000000000001</v>
      </c>
      <c r="K660" s="149">
        <v>0.14000000000000001</v>
      </c>
      <c r="L660" s="150">
        <v>0.14000000000000001</v>
      </c>
    </row>
    <row r="661" spans="2:12" hidden="1" outlineLevel="1" x14ac:dyDescent="0.3">
      <c r="B661" s="137" t="s">
        <v>108</v>
      </c>
      <c r="D661" s="138"/>
      <c r="E661" s="138">
        <f>E673/E674</f>
        <v>0.81222707423580787</v>
      </c>
      <c r="F661" s="138">
        <f>F673/F674</f>
        <v>0.86956521739130432</v>
      </c>
      <c r="G661" s="138">
        <f>G673/G674</f>
        <v>0.89280677009873055</v>
      </c>
      <c r="H661" s="149">
        <v>0.86</v>
      </c>
      <c r="I661" s="149">
        <v>0.86</v>
      </c>
      <c r="J661" s="149">
        <v>0.86</v>
      </c>
      <c r="K661" s="149">
        <v>0.86</v>
      </c>
      <c r="L661" s="150">
        <v>0.86</v>
      </c>
    </row>
    <row r="662" spans="2:12" hidden="1" outlineLevel="1" x14ac:dyDescent="0.3">
      <c r="B662" s="151"/>
      <c r="D662" s="63"/>
      <c r="E662" s="63"/>
      <c r="F662" s="63"/>
      <c r="G662" s="63"/>
      <c r="H662" s="63"/>
      <c r="I662" s="63"/>
      <c r="J662" s="63"/>
      <c r="K662" s="63"/>
      <c r="L662" s="152"/>
    </row>
    <row r="663" spans="2:12" hidden="1" outlineLevel="1" x14ac:dyDescent="0.3">
      <c r="B663" s="137" t="s">
        <v>105</v>
      </c>
      <c r="D663" s="138"/>
      <c r="E663" s="138">
        <f>E677/E679</f>
        <v>8.2013438924886009E-2</v>
      </c>
      <c r="F663" s="138">
        <f>F677/F679</f>
        <v>8.6105363679770813E-2</v>
      </c>
      <c r="G663" s="138">
        <f>G677/G679</f>
        <v>9.5977068300879709E-2</v>
      </c>
      <c r="H663" s="149">
        <v>0.09</v>
      </c>
      <c r="I663" s="149">
        <v>0.09</v>
      </c>
      <c r="J663" s="149">
        <v>0.09</v>
      </c>
      <c r="K663" s="149">
        <v>0.09</v>
      </c>
      <c r="L663" s="150">
        <v>0.09</v>
      </c>
    </row>
    <row r="664" spans="2:12" hidden="1" outlineLevel="1" x14ac:dyDescent="0.3">
      <c r="B664" s="141" t="s">
        <v>106</v>
      </c>
      <c r="C664" s="142"/>
      <c r="D664" s="153"/>
      <c r="E664" s="153">
        <f>E678/E679</f>
        <v>0.917986561075114</v>
      </c>
      <c r="F664" s="153">
        <f>F678/F679</f>
        <v>0.91389463632022916</v>
      </c>
      <c r="G664" s="153">
        <f>G678/G679</f>
        <v>0.90402293169912029</v>
      </c>
      <c r="H664" s="154">
        <v>0.91</v>
      </c>
      <c r="I664" s="154">
        <v>0.91</v>
      </c>
      <c r="J664" s="154">
        <v>0.91</v>
      </c>
      <c r="K664" s="154">
        <v>0.91</v>
      </c>
      <c r="L664" s="155">
        <v>0.91</v>
      </c>
    </row>
    <row r="665" spans="2:12" hidden="1" outlineLevel="1" x14ac:dyDescent="0.3"/>
    <row r="666" spans="2:12" hidden="1" outlineLevel="1" x14ac:dyDescent="0.3">
      <c r="B666" s="35" t="s">
        <v>93</v>
      </c>
    </row>
    <row r="667" spans="2:12" hidden="1" outlineLevel="1" x14ac:dyDescent="0.35">
      <c r="B667" s="11" t="s">
        <v>295</v>
      </c>
      <c r="D667" s="12"/>
      <c r="E667" s="29">
        <f>E457</f>
        <v>12673</v>
      </c>
      <c r="F667" s="29">
        <f>F457</f>
        <v>13294</v>
      </c>
      <c r="G667" s="29">
        <f>G457</f>
        <v>14922</v>
      </c>
      <c r="H667" s="29">
        <f>H657*H669</f>
        <v>14868.790073745928</v>
      </c>
      <c r="I667" s="29">
        <f>I657*I669</f>
        <v>17099.108584807815</v>
      </c>
      <c r="J667" s="29">
        <f>J657*J669</f>
        <v>19663.97487252899</v>
      </c>
      <c r="K667" s="29">
        <f>K657*K669</f>
        <v>22613.571103408332</v>
      </c>
      <c r="L667" s="29">
        <f>L657*L669</f>
        <v>26005.606768919584</v>
      </c>
    </row>
    <row r="668" spans="2:12" hidden="1" outlineLevel="1" x14ac:dyDescent="0.35">
      <c r="B668" s="11" t="s">
        <v>101</v>
      </c>
      <c r="D668" s="12"/>
      <c r="E668" s="29">
        <v>3353</v>
      </c>
      <c r="F668" s="29">
        <v>4185</v>
      </c>
      <c r="G668" s="29">
        <v>5384</v>
      </c>
      <c r="H668" s="29">
        <f>H658*H669</f>
        <v>4695.4073917092401</v>
      </c>
      <c r="I668" s="29">
        <f>I658*I669</f>
        <v>5399.7185004656258</v>
      </c>
      <c r="J668" s="29">
        <f>J658*J669</f>
        <v>6209.6762755354703</v>
      </c>
      <c r="K668" s="29">
        <f>K658*K669</f>
        <v>7141.1277168657889</v>
      </c>
      <c r="L668" s="29">
        <f>L658*L669</f>
        <v>8212.296874395659</v>
      </c>
    </row>
    <row r="669" spans="2:12" hidden="1" outlineLevel="1" x14ac:dyDescent="0.35">
      <c r="B669" s="8" t="s">
        <v>102</v>
      </c>
      <c r="D669" s="12"/>
      <c r="E669" s="30">
        <f>SUM(E667:E668)</f>
        <v>16026</v>
      </c>
      <c r="F669" s="30">
        <f>SUM(F667:F668)</f>
        <v>17479</v>
      </c>
      <c r="G669" s="30">
        <f>SUM(G667:G668)</f>
        <v>20306</v>
      </c>
      <c r="H669" s="156">
        <f>H653*H652</f>
        <v>19564.197465455167</v>
      </c>
      <c r="I669" s="156">
        <f>I653*I652</f>
        <v>22498.827085273442</v>
      </c>
      <c r="J669" s="156">
        <f>J653*J652</f>
        <v>25873.651148064459</v>
      </c>
      <c r="K669" s="156">
        <f>K653*K652</f>
        <v>29754.698820274123</v>
      </c>
      <c r="L669" s="156">
        <f>L653*L652</f>
        <v>34217.903643315243</v>
      </c>
    </row>
    <row r="670" spans="2:12" hidden="1" outlineLevel="1" x14ac:dyDescent="0.35">
      <c r="B670" s="8"/>
      <c r="D670" s="12"/>
      <c r="E670" s="39"/>
      <c r="F670" s="39"/>
      <c r="G670" s="39"/>
      <c r="H670" s="157"/>
      <c r="I670" s="157"/>
      <c r="J670" s="157"/>
      <c r="K670" s="157"/>
      <c r="L670" s="157"/>
    </row>
    <row r="671" spans="2:12" hidden="1" outlineLevel="1" x14ac:dyDescent="0.35">
      <c r="B671" s="35" t="s">
        <v>100</v>
      </c>
      <c r="D671" s="12"/>
    </row>
    <row r="672" spans="2:12" hidden="1" outlineLevel="1" x14ac:dyDescent="0.35">
      <c r="B672" s="11" t="s">
        <v>96</v>
      </c>
      <c r="D672" s="12"/>
      <c r="E672" s="29">
        <v>129</v>
      </c>
      <c r="F672" s="29">
        <v>90</v>
      </c>
      <c r="G672" s="29">
        <v>76</v>
      </c>
      <c r="H672" s="29">
        <f>H660*H674</f>
        <v>105.34567866014322</v>
      </c>
      <c r="I672" s="29">
        <f>I660*I674</f>
        <v>121.1475304591647</v>
      </c>
      <c r="J672" s="29">
        <f>J660*J674</f>
        <v>139.31966002803938</v>
      </c>
      <c r="K672" s="29">
        <f>K660*K674</f>
        <v>160.21760903224529</v>
      </c>
      <c r="L672" s="29">
        <f>L660*L674</f>
        <v>184.25025038708208</v>
      </c>
    </row>
    <row r="673" spans="2:12" hidden="1" outlineLevel="1" x14ac:dyDescent="0.35">
      <c r="B673" s="11" t="s">
        <v>97</v>
      </c>
      <c r="D673" s="12"/>
      <c r="E673" s="29">
        <v>558</v>
      </c>
      <c r="F673" s="29">
        <v>600</v>
      </c>
      <c r="G673" s="29">
        <v>633</v>
      </c>
      <c r="H673" s="29">
        <f>H661*H674</f>
        <v>647.12345462659403</v>
      </c>
      <c r="I673" s="29">
        <f>I661*I674</f>
        <v>744.19197282058303</v>
      </c>
      <c r="J673" s="29">
        <f>J661*J674</f>
        <v>855.82076874367044</v>
      </c>
      <c r="K673" s="29">
        <f>K661*K674</f>
        <v>984.19388405522091</v>
      </c>
      <c r="L673" s="29">
        <f>L661*L674</f>
        <v>1131.8229666635041</v>
      </c>
    </row>
    <row r="674" spans="2:12" hidden="1" outlineLevel="1" x14ac:dyDescent="0.35">
      <c r="B674" s="8" t="s">
        <v>110</v>
      </c>
      <c r="D674" s="12"/>
      <c r="E674" s="30">
        <f>SUM(E672:E673)</f>
        <v>687</v>
      </c>
      <c r="F674" s="30">
        <f>SUM(F672:F673)</f>
        <v>690</v>
      </c>
      <c r="G674" s="30">
        <f>SUM(G672:G673)</f>
        <v>709</v>
      </c>
      <c r="H674" s="156">
        <f>H655*H652</f>
        <v>752.46913328673725</v>
      </c>
      <c r="I674" s="156">
        <f>I655*I652</f>
        <v>865.33950327974776</v>
      </c>
      <c r="J674" s="156">
        <f>J655*J652</f>
        <v>995.14042877170982</v>
      </c>
      <c r="K674" s="156">
        <f>K655*K652</f>
        <v>1144.4114930874662</v>
      </c>
      <c r="L674" s="156">
        <f>L655*L652</f>
        <v>1316.0732170505862</v>
      </c>
    </row>
    <row r="675" spans="2:12" hidden="1" outlineLevel="1" x14ac:dyDescent="0.35">
      <c r="D675" s="12"/>
    </row>
    <row r="676" spans="2:12" hidden="1" outlineLevel="1" x14ac:dyDescent="0.35">
      <c r="B676" s="35" t="s">
        <v>99</v>
      </c>
      <c r="D676" s="12"/>
      <c r="E676" s="29"/>
      <c r="F676" s="29"/>
      <c r="G676" s="29"/>
    </row>
    <row r="677" spans="2:12" hidden="1" outlineLevel="1" x14ac:dyDescent="0.35">
      <c r="B677" s="11" t="s">
        <v>94</v>
      </c>
      <c r="D677" s="12"/>
      <c r="E677" s="29">
        <f>E467</f>
        <v>1367</v>
      </c>
      <c r="F677" s="29">
        <f>F467</f>
        <v>1623</v>
      </c>
      <c r="G677" s="29">
        <f>G467</f>
        <v>1942</v>
      </c>
      <c r="H677" s="29">
        <f>H663*H679</f>
        <v>1896.222215882578</v>
      </c>
      <c r="I677" s="29">
        <f>I663*I679</f>
        <v>2180.6555482649646</v>
      </c>
      <c r="J677" s="29">
        <f>J663*J679</f>
        <v>2507.7538805047093</v>
      </c>
      <c r="K677" s="29">
        <f>K663*K679</f>
        <v>2883.9169625804152</v>
      </c>
      <c r="L677" s="29">
        <f>L663*L679</f>
        <v>3316.5045069674775</v>
      </c>
    </row>
    <row r="678" spans="2:12" hidden="1" outlineLevel="1" x14ac:dyDescent="0.35">
      <c r="B678" s="11" t="s">
        <v>95</v>
      </c>
      <c r="D678" s="12"/>
      <c r="E678" s="29">
        <f>E472</f>
        <v>15301</v>
      </c>
      <c r="F678" s="29">
        <f>F472</f>
        <v>17226</v>
      </c>
      <c r="G678" s="29">
        <f>G472</f>
        <v>18292</v>
      </c>
      <c r="H678" s="29">
        <f>H664*H679</f>
        <v>19172.913516146065</v>
      </c>
      <c r="I678" s="29">
        <f>I664*I679</f>
        <v>22048.850543567976</v>
      </c>
      <c r="J678" s="29">
        <f>J664*J679</f>
        <v>25356.178125103172</v>
      </c>
      <c r="K678" s="29">
        <f>K664*K679</f>
        <v>29159.604843868645</v>
      </c>
      <c r="L678" s="29">
        <f>L664*L679</f>
        <v>33533.545570448943</v>
      </c>
    </row>
    <row r="679" spans="2:12" hidden="1" outlineLevel="1" x14ac:dyDescent="0.35">
      <c r="B679" s="8" t="s">
        <v>98</v>
      </c>
      <c r="D679" s="12"/>
      <c r="E679" s="30">
        <f>SUM(E677:E678)</f>
        <v>16668</v>
      </c>
      <c r="F679" s="30">
        <f>SUM(F677:F678)</f>
        <v>18849</v>
      </c>
      <c r="G679" s="30">
        <f>SUM(G677:G678)</f>
        <v>20234</v>
      </c>
      <c r="H679" s="156">
        <f>H654*H652</f>
        <v>21069.135732028644</v>
      </c>
      <c r="I679" s="156">
        <f>I654*I652</f>
        <v>24229.50609183294</v>
      </c>
      <c r="J679" s="156">
        <f>J654*J652</f>
        <v>27863.93200560788</v>
      </c>
      <c r="K679" s="156">
        <f>K654*K652</f>
        <v>32043.521806449058</v>
      </c>
      <c r="L679" s="156">
        <f>L654*L652</f>
        <v>36850.050077416417</v>
      </c>
    </row>
    <row r="680" spans="2:12" collapsed="1" x14ac:dyDescent="0.3"/>
    <row r="681" spans="2:12" ht="18.600000000000001" customHeight="1" x14ac:dyDescent="0.3">
      <c r="B681" s="186" t="s">
        <v>111</v>
      </c>
      <c r="C681" s="186"/>
      <c r="D681" s="186"/>
      <c r="E681" s="186"/>
      <c r="F681" s="186"/>
      <c r="G681" s="186"/>
      <c r="H681" s="186"/>
      <c r="I681" s="186"/>
      <c r="J681" s="186"/>
      <c r="K681" s="186"/>
      <c r="L681" s="186"/>
    </row>
    <row r="682" spans="2:12" hidden="1" outlineLevel="1" x14ac:dyDescent="0.3"/>
    <row r="683" spans="2:12" ht="16.2" hidden="1" outlineLevel="1" thickBot="1" x14ac:dyDescent="0.35">
      <c r="B683" s="261" t="s">
        <v>74</v>
      </c>
      <c r="D683" s="4">
        <v>2021</v>
      </c>
      <c r="E683" s="4">
        <v>2022</v>
      </c>
      <c r="F683" s="4">
        <v>2023</v>
      </c>
      <c r="G683" s="4">
        <v>2024</v>
      </c>
      <c r="H683" s="5">
        <f>G683+1</f>
        <v>2025</v>
      </c>
      <c r="I683" s="5">
        <f>H683+1</f>
        <v>2026</v>
      </c>
      <c r="J683" s="5">
        <f>I683+1</f>
        <v>2027</v>
      </c>
      <c r="K683" s="5">
        <f>J683+1</f>
        <v>2028</v>
      </c>
      <c r="L683" s="5">
        <f>K683+1</f>
        <v>2029</v>
      </c>
    </row>
    <row r="684" spans="2:12" hidden="1" outlineLevel="1" x14ac:dyDescent="0.3"/>
    <row r="685" spans="2:12" hidden="1" outlineLevel="1" x14ac:dyDescent="0.35">
      <c r="B685" s="11" t="s">
        <v>57</v>
      </c>
      <c r="D685" s="12"/>
      <c r="E685" s="29">
        <f t="shared" ref="E685:L685" si="252">E379</f>
        <v>116609</v>
      </c>
      <c r="F685" s="29">
        <f t="shared" si="252"/>
        <v>134902</v>
      </c>
      <c r="G685" s="29">
        <f t="shared" si="252"/>
        <v>164501</v>
      </c>
      <c r="H685" s="29">
        <f t="shared" si="252"/>
        <v>189176.15</v>
      </c>
      <c r="I685" s="29">
        <f t="shared" si="252"/>
        <v>217552.57249999998</v>
      </c>
      <c r="J685" s="29">
        <f t="shared" si="252"/>
        <v>250185.45837499996</v>
      </c>
      <c r="K685" s="29">
        <f t="shared" si="252"/>
        <v>287713.27713124995</v>
      </c>
      <c r="L685" s="29">
        <f t="shared" si="252"/>
        <v>330870.26870093745</v>
      </c>
    </row>
    <row r="686" spans="2:12" hidden="1" outlineLevel="1" x14ac:dyDescent="0.35">
      <c r="B686" s="11" t="s">
        <v>112</v>
      </c>
      <c r="D686" s="12"/>
      <c r="E686" s="29">
        <f t="shared" ref="E686:L686" si="253">E395</f>
        <v>23200</v>
      </c>
      <c r="F686" s="29">
        <f t="shared" si="253"/>
        <v>39098</v>
      </c>
      <c r="G686" s="29">
        <f t="shared" si="253"/>
        <v>62360</v>
      </c>
      <c r="H686" s="29">
        <f t="shared" si="253"/>
        <v>59653.202876782314</v>
      </c>
      <c r="I686" s="29">
        <f t="shared" si="253"/>
        <v>68601.18330829966</v>
      </c>
      <c r="J686" s="29">
        <f t="shared" si="253"/>
        <v>78891.360804544587</v>
      </c>
      <c r="K686" s="29">
        <f t="shared" si="253"/>
        <v>90725.064925226266</v>
      </c>
      <c r="L686" s="29">
        <f t="shared" si="253"/>
        <v>104333.82466401022</v>
      </c>
    </row>
    <row r="687" spans="2:12" hidden="1" outlineLevel="1" x14ac:dyDescent="0.35">
      <c r="B687" s="11"/>
      <c r="D687" s="12"/>
      <c r="E687" s="29"/>
      <c r="F687" s="29"/>
      <c r="G687" s="29"/>
      <c r="H687" s="29"/>
      <c r="I687" s="29"/>
      <c r="J687" s="29"/>
      <c r="K687" s="29"/>
      <c r="L687" s="29"/>
    </row>
    <row r="688" spans="2:12" hidden="1" outlineLevel="1" x14ac:dyDescent="0.3">
      <c r="B688" s="11" t="s">
        <v>364</v>
      </c>
      <c r="C688" s="158">
        <v>501.48</v>
      </c>
      <c r="E688" s="29"/>
      <c r="F688" s="29"/>
      <c r="G688" s="29"/>
      <c r="H688" s="29"/>
      <c r="I688" s="29"/>
      <c r="J688" s="29"/>
      <c r="K688" s="29"/>
      <c r="L688" s="29"/>
    </row>
    <row r="689" spans="2:12" hidden="1" outlineLevel="1" x14ac:dyDescent="0.3">
      <c r="B689" s="11"/>
      <c r="D689" s="29"/>
      <c r="E689" s="29"/>
      <c r="F689" s="29"/>
      <c r="G689" s="29"/>
      <c r="H689" s="29"/>
      <c r="I689" s="29"/>
      <c r="J689" s="29"/>
      <c r="K689" s="29"/>
      <c r="L689" s="29"/>
    </row>
    <row r="690" spans="2:12" hidden="1" outlineLevel="1" x14ac:dyDescent="0.35">
      <c r="B690" s="8" t="s">
        <v>344</v>
      </c>
      <c r="C690" s="12"/>
      <c r="D690" s="12"/>
      <c r="E690" s="12"/>
      <c r="F690" s="12"/>
      <c r="G690" s="12"/>
      <c r="H690" s="12"/>
      <c r="I690" s="12"/>
      <c r="J690" s="12"/>
      <c r="K690" s="12"/>
      <c r="L690" s="12"/>
    </row>
    <row r="691" spans="2:12" hidden="1" outlineLevel="1" x14ac:dyDescent="0.35">
      <c r="B691" s="11" t="s">
        <v>345</v>
      </c>
      <c r="C691" s="12"/>
      <c r="D691" s="12"/>
      <c r="E691" s="159">
        <f t="shared" ref="E691:L691" si="254">E58</f>
        <v>0.10283940347657557</v>
      </c>
      <c r="F691" s="159">
        <f t="shared" si="254"/>
        <v>0.10397918488977183</v>
      </c>
      <c r="G691" s="159">
        <f t="shared" si="254"/>
        <v>0.10145834979726567</v>
      </c>
      <c r="H691" s="159">
        <f t="shared" si="254"/>
        <v>0.1</v>
      </c>
      <c r="I691" s="159">
        <f t="shared" si="254"/>
        <v>0.1</v>
      </c>
      <c r="J691" s="159">
        <f t="shared" si="254"/>
        <v>0.1</v>
      </c>
      <c r="K691" s="159">
        <f t="shared" si="254"/>
        <v>0.1</v>
      </c>
      <c r="L691" s="159">
        <f t="shared" si="254"/>
        <v>0.1</v>
      </c>
    </row>
    <row r="692" spans="2:12" hidden="1" outlineLevel="1" x14ac:dyDescent="0.35">
      <c r="B692" s="11" t="s">
        <v>113</v>
      </c>
      <c r="C692" s="12"/>
      <c r="D692" s="12"/>
      <c r="E692" s="29">
        <f>E405</f>
        <v>11992</v>
      </c>
      <c r="F692" s="29">
        <f>F405</f>
        <v>14027</v>
      </c>
      <c r="G692" s="29">
        <f>G405</f>
        <v>16690</v>
      </c>
      <c r="H692" s="29">
        <f>H691*H685</f>
        <v>18917.615000000002</v>
      </c>
      <c r="I692" s="29">
        <f>I691*I685</f>
        <v>21755.257249999999</v>
      </c>
      <c r="J692" s="29">
        <f>J691*J685</f>
        <v>25018.545837499998</v>
      </c>
      <c r="K692" s="29">
        <f>K691*K685</f>
        <v>28771.327713124996</v>
      </c>
      <c r="L692" s="29">
        <f>L691*L685</f>
        <v>33087.026870093745</v>
      </c>
    </row>
    <row r="693" spans="2:12" hidden="1" outlineLevel="1" x14ac:dyDescent="0.35">
      <c r="B693" s="12"/>
      <c r="C693" s="12"/>
      <c r="D693" s="12"/>
      <c r="E693" s="12"/>
      <c r="F693" s="12"/>
      <c r="G693" s="12"/>
      <c r="H693" s="12"/>
      <c r="I693" s="12"/>
      <c r="J693" s="12"/>
      <c r="K693" s="12"/>
      <c r="L693" s="12"/>
    </row>
    <row r="694" spans="2:12" hidden="1" outlineLevel="1" x14ac:dyDescent="0.35">
      <c r="B694" s="117"/>
      <c r="C694" s="117"/>
      <c r="D694" s="117"/>
      <c r="E694" s="117"/>
      <c r="F694" s="117"/>
      <c r="G694" s="117"/>
      <c r="H694" s="117"/>
      <c r="I694" s="117"/>
      <c r="J694" s="117"/>
      <c r="K694" s="117"/>
      <c r="L694" s="117"/>
    </row>
    <row r="695" spans="2:12" hidden="1" outlineLevel="1" x14ac:dyDescent="0.35">
      <c r="B695" s="28" t="s">
        <v>366</v>
      </c>
      <c r="C695" s="12"/>
      <c r="D695" s="12"/>
      <c r="E695" s="160">
        <f t="shared" ref="E695:H696" si="255">E84</f>
        <v>1.667778519012675E-3</v>
      </c>
      <c r="F695" s="160">
        <f t="shared" si="255"/>
        <v>1.8535681186283596E-3</v>
      </c>
      <c r="G695" s="160">
        <f t="shared" si="255"/>
        <v>1.6177351707609346E-3</v>
      </c>
      <c r="H695" s="160">
        <f t="shared" si="255"/>
        <v>1.6999999999999999E-3</v>
      </c>
      <c r="I695" s="160">
        <f t="shared" ref="I695:L695" si="256">I84</f>
        <v>1.6999999999999999E-3</v>
      </c>
      <c r="J695" s="160">
        <f t="shared" si="256"/>
        <v>1.9E-3</v>
      </c>
      <c r="K695" s="160">
        <f t="shared" si="256"/>
        <v>0.02</v>
      </c>
      <c r="L695" s="160">
        <f t="shared" si="256"/>
        <v>0.02</v>
      </c>
    </row>
    <row r="696" spans="2:12" hidden="1" outlineLevel="1" x14ac:dyDescent="0.35">
      <c r="B696" s="28" t="s">
        <v>367</v>
      </c>
      <c r="C696" s="12"/>
      <c r="D696" s="12"/>
      <c r="E696" s="160">
        <f t="shared" si="255"/>
        <v>1.3806824516117966E-3</v>
      </c>
      <c r="F696" s="160">
        <f t="shared" si="255"/>
        <v>6.819765459370506E-4</v>
      </c>
      <c r="G696" s="160">
        <f t="shared" si="255"/>
        <v>3.9513437608282016E-4</v>
      </c>
      <c r="H696" s="160">
        <f t="shared" si="255"/>
        <v>4.0000000000000002E-4</v>
      </c>
      <c r="I696" s="160">
        <f>I85</f>
        <v>4.0000000000000002E-4</v>
      </c>
      <c r="J696" s="160">
        <f>J85</f>
        <v>4.0000000000000002E-4</v>
      </c>
      <c r="K696" s="160">
        <f>K85</f>
        <v>4.0000000000000002E-4</v>
      </c>
      <c r="L696" s="160">
        <f>L85</f>
        <v>4.0000000000000002E-4</v>
      </c>
    </row>
    <row r="697" spans="2:12" hidden="1" outlineLevel="1" x14ac:dyDescent="0.35">
      <c r="B697" s="12"/>
      <c r="C697" s="12"/>
      <c r="D697" s="12"/>
      <c r="E697" s="12"/>
      <c r="F697" s="12"/>
      <c r="G697" s="12"/>
      <c r="H697" s="12"/>
      <c r="I697" s="12"/>
      <c r="J697" s="12"/>
      <c r="K697" s="12"/>
      <c r="L697" s="12"/>
    </row>
    <row r="698" spans="2:12" hidden="1" outlineLevel="1" x14ac:dyDescent="0.35">
      <c r="B698" s="8" t="s">
        <v>346</v>
      </c>
      <c r="C698" s="12"/>
      <c r="D698" s="12"/>
      <c r="E698" s="12"/>
      <c r="F698" s="12"/>
      <c r="G698" s="12"/>
      <c r="H698" s="12"/>
      <c r="I698" s="12"/>
      <c r="J698" s="12"/>
      <c r="K698" s="12"/>
      <c r="L698" s="12"/>
    </row>
    <row r="699" spans="2:12" hidden="1" outlineLevel="1" x14ac:dyDescent="0.35">
      <c r="B699" s="28" t="s">
        <v>353</v>
      </c>
      <c r="C699" s="12"/>
      <c r="D699" s="12"/>
      <c r="E699" s="29">
        <v>2741</v>
      </c>
      <c r="F699" s="29">
        <f>E703</f>
        <v>2614</v>
      </c>
      <c r="G699" s="29">
        <f>F703</f>
        <v>2561</v>
      </c>
      <c r="H699" s="29">
        <f t="shared" ref="H699:L699" si="257">G703</f>
        <v>2534</v>
      </c>
      <c r="I699" s="29">
        <f t="shared" si="257"/>
        <v>2463.8931627380157</v>
      </c>
      <c r="J699" s="29">
        <f t="shared" si="257"/>
        <v>2383.2702998867335</v>
      </c>
      <c r="K699" s="29">
        <f t="shared" si="257"/>
        <v>2285.5502984402588</v>
      </c>
      <c r="L699" s="29">
        <f t="shared" si="257"/>
        <v>1652.4112651692506</v>
      </c>
    </row>
    <row r="700" spans="2:12" hidden="1" outlineLevel="1" x14ac:dyDescent="0.3">
      <c r="B700" s="28" t="s">
        <v>365</v>
      </c>
      <c r="E700" s="29">
        <v>54</v>
      </c>
      <c r="F700" s="29">
        <v>65</v>
      </c>
      <c r="G700" s="29">
        <v>65</v>
      </c>
      <c r="H700" s="29">
        <f>H692/$C$688</f>
        <v>37.723568238015474</v>
      </c>
      <c r="I700" s="29">
        <f>I692/$C$688</f>
        <v>43.382103473717791</v>
      </c>
      <c r="J700" s="29">
        <f>J692/$C$688</f>
        <v>49.889418994775461</v>
      </c>
      <c r="K700" s="29">
        <f>K692/$C$688</f>
        <v>57.372831843991776</v>
      </c>
      <c r="L700" s="29">
        <f>L692/$C$688</f>
        <v>65.978756620590545</v>
      </c>
    </row>
    <row r="701" spans="2:12" hidden="1" outlineLevel="1" x14ac:dyDescent="0.3">
      <c r="B701" s="28" t="s">
        <v>349</v>
      </c>
      <c r="E701" s="29">
        <v>-20</v>
      </c>
      <c r="F701" s="29">
        <v>-26</v>
      </c>
      <c r="G701" s="29">
        <v>-27</v>
      </c>
      <c r="H701" s="29">
        <f>-H695*H692</f>
        <v>-32.159945499999999</v>
      </c>
      <c r="I701" s="29">
        <f t="shared" ref="I701:L701" si="258">-I695*I692</f>
        <v>-36.983937324999992</v>
      </c>
      <c r="J701" s="29">
        <f t="shared" si="258"/>
        <v>-47.535237091249996</v>
      </c>
      <c r="K701" s="29">
        <f t="shared" si="258"/>
        <v>-575.42655426249996</v>
      </c>
      <c r="L701" s="29">
        <f t="shared" si="258"/>
        <v>-661.74053740187492</v>
      </c>
    </row>
    <row r="702" spans="2:12" hidden="1" outlineLevel="1" x14ac:dyDescent="0.3">
      <c r="B702" s="28" t="s">
        <v>347</v>
      </c>
      <c r="E702" s="29">
        <v>-161</v>
      </c>
      <c r="F702" s="29">
        <v>-92</v>
      </c>
      <c r="G702" s="29">
        <v>-65</v>
      </c>
      <c r="H702" s="29">
        <f>-H696*H685</f>
        <v>-75.670460000000006</v>
      </c>
      <c r="I702" s="29">
        <f>-I696*I685</f>
        <v>-87.021028999999999</v>
      </c>
      <c r="J702" s="29">
        <f>-J696*J685</f>
        <v>-100.07418334999998</v>
      </c>
      <c r="K702" s="29">
        <f>-K696*K685</f>
        <v>-115.08531085249999</v>
      </c>
      <c r="L702" s="29">
        <f>-L696*L685</f>
        <v>-132.34810748037498</v>
      </c>
    </row>
    <row r="703" spans="2:12" hidden="1" outlineLevel="1" x14ac:dyDescent="0.3">
      <c r="B703" s="35" t="s">
        <v>348</v>
      </c>
      <c r="E703" s="161">
        <f>SUM(E699:E702)</f>
        <v>2614</v>
      </c>
      <c r="F703" s="161">
        <f>SUM(F699:F702)</f>
        <v>2561</v>
      </c>
      <c r="G703" s="161">
        <f>SUM(G699:G702)</f>
        <v>2534</v>
      </c>
      <c r="H703" s="161">
        <f t="shared" ref="H703:L703" si="259">SUM(H699:H702)</f>
        <v>2463.8931627380157</v>
      </c>
      <c r="I703" s="161">
        <f t="shared" si="259"/>
        <v>2383.2702998867335</v>
      </c>
      <c r="J703" s="161">
        <f t="shared" si="259"/>
        <v>2285.5502984402588</v>
      </c>
      <c r="K703" s="161">
        <f t="shared" si="259"/>
        <v>1652.4112651692506</v>
      </c>
      <c r="L703" s="161">
        <f t="shared" si="259"/>
        <v>924.30137690759113</v>
      </c>
    </row>
    <row r="704" spans="2:12" hidden="1" outlineLevel="1" x14ac:dyDescent="0.35">
      <c r="H704" s="12"/>
      <c r="I704" s="12"/>
      <c r="J704" s="12"/>
      <c r="K704" s="12"/>
      <c r="L704" s="12"/>
    </row>
    <row r="705" spans="2:12" hidden="1" outlineLevel="1" x14ac:dyDescent="0.35">
      <c r="B705" s="78"/>
      <c r="C705" s="78"/>
      <c r="D705" s="78"/>
      <c r="E705" s="78"/>
      <c r="F705" s="78"/>
      <c r="G705" s="78"/>
      <c r="H705" s="117"/>
      <c r="I705" s="117"/>
      <c r="J705" s="117"/>
      <c r="K705" s="117"/>
      <c r="L705" s="117"/>
    </row>
    <row r="706" spans="2:12" hidden="1" outlineLevel="1" x14ac:dyDescent="0.3">
      <c r="B706" s="28" t="s">
        <v>366</v>
      </c>
      <c r="E706" s="159">
        <f t="shared" ref="E706:H707" si="260">E93</f>
        <v>0.28010340226817876</v>
      </c>
      <c r="F706" s="159">
        <f t="shared" si="260"/>
        <v>0.37199686319241465</v>
      </c>
      <c r="G706" s="159">
        <f t="shared" si="260"/>
        <v>0.40269622528460158</v>
      </c>
      <c r="H706" s="159">
        <f t="shared" si="260"/>
        <v>0.39</v>
      </c>
      <c r="I706" s="159">
        <f t="shared" ref="I706:L706" si="261">I93</f>
        <v>0.42</v>
      </c>
      <c r="J706" s="159">
        <f t="shared" si="261"/>
        <v>0.41</v>
      </c>
      <c r="K706" s="159">
        <f t="shared" si="261"/>
        <v>0.41</v>
      </c>
      <c r="L706" s="159">
        <f t="shared" si="261"/>
        <v>0.41</v>
      </c>
    </row>
    <row r="707" spans="2:12" hidden="1" outlineLevel="1" x14ac:dyDescent="0.3">
      <c r="B707" s="28" t="s">
        <v>54</v>
      </c>
      <c r="E707" s="58">
        <f t="shared" si="260"/>
        <v>0</v>
      </c>
      <c r="F707" s="58">
        <f t="shared" si="260"/>
        <v>0</v>
      </c>
      <c r="G707" s="58">
        <f t="shared" si="260"/>
        <v>6</v>
      </c>
      <c r="H707" s="58">
        <f t="shared" si="260"/>
        <v>6</v>
      </c>
      <c r="I707" s="58">
        <f>I94</f>
        <v>6</v>
      </c>
      <c r="J707" s="58">
        <f>J94</f>
        <v>6</v>
      </c>
      <c r="K707" s="58">
        <f>K94</f>
        <v>6</v>
      </c>
      <c r="L707" s="58">
        <f>L94</f>
        <v>6</v>
      </c>
    </row>
    <row r="708" spans="2:12" hidden="1" outlineLevel="1" x14ac:dyDescent="0.35">
      <c r="H708" s="12"/>
      <c r="I708" s="12"/>
      <c r="J708" s="12"/>
      <c r="K708" s="12"/>
      <c r="L708" s="12"/>
    </row>
    <row r="709" spans="2:12" hidden="1" outlineLevel="1" x14ac:dyDescent="0.35">
      <c r="B709" s="8" t="s">
        <v>355</v>
      </c>
      <c r="C709" s="12"/>
      <c r="D709" s="12"/>
      <c r="E709" s="12"/>
      <c r="F709" s="12"/>
      <c r="G709" s="12"/>
      <c r="H709" s="12"/>
      <c r="I709" s="12"/>
      <c r="J709" s="12"/>
      <c r="K709" s="12"/>
      <c r="L709" s="12"/>
    </row>
    <row r="710" spans="2:12" hidden="1" outlineLevel="1" x14ac:dyDescent="0.3">
      <c r="B710" s="28" t="s">
        <v>356</v>
      </c>
      <c r="E710" s="29">
        <v>55811</v>
      </c>
      <c r="F710" s="29">
        <f>E714</f>
        <v>64444</v>
      </c>
      <c r="G710" s="29">
        <f>F714</f>
        <v>73253</v>
      </c>
      <c r="H710" s="29">
        <f t="shared" ref="H710:L710" si="262">G714</f>
        <v>83228</v>
      </c>
      <c r="I710" s="29">
        <f t="shared" si="262"/>
        <v>94773.745150000002</v>
      </c>
      <c r="J710" s="29">
        <f t="shared" si="262"/>
        <v>107397.79435499999</v>
      </c>
      <c r="K710" s="29">
        <f t="shared" si="262"/>
        <v>122164.73639912499</v>
      </c>
      <c r="L710" s="29">
        <f t="shared" si="262"/>
        <v>139145.81974986874</v>
      </c>
    </row>
    <row r="711" spans="2:12" hidden="1" outlineLevel="1" x14ac:dyDescent="0.3">
      <c r="B711" s="28" t="s">
        <v>349</v>
      </c>
      <c r="E711" s="29">
        <v>-3359</v>
      </c>
      <c r="F711" s="29">
        <v>-5218</v>
      </c>
      <c r="G711" s="29">
        <v>-6721</v>
      </c>
      <c r="H711" s="29">
        <f>-H706*H692</f>
        <v>-7377.869850000001</v>
      </c>
      <c r="I711" s="29">
        <f>-I706*I692</f>
        <v>-9137.2080449999994</v>
      </c>
      <c r="J711" s="29">
        <f>-J706*J692</f>
        <v>-10257.603793374999</v>
      </c>
      <c r="K711" s="29">
        <f>-K706*K692</f>
        <v>-11796.244362381247</v>
      </c>
      <c r="L711" s="29">
        <f>-L706*L692</f>
        <v>-13565.681016738434</v>
      </c>
    </row>
    <row r="712" spans="2:12" hidden="1" outlineLevel="1" x14ac:dyDescent="0.3">
      <c r="B712" s="28" t="s">
        <v>113</v>
      </c>
      <c r="E712" s="29">
        <v>11992</v>
      </c>
      <c r="F712" s="29">
        <v>14027</v>
      </c>
      <c r="G712" s="29">
        <v>16690</v>
      </c>
      <c r="H712" s="29">
        <f>H692</f>
        <v>18917.615000000002</v>
      </c>
      <c r="I712" s="29">
        <f>I692</f>
        <v>21755.257249999999</v>
      </c>
      <c r="J712" s="29">
        <f>J692</f>
        <v>25018.545837499998</v>
      </c>
      <c r="K712" s="29">
        <f>K692</f>
        <v>28771.327713124996</v>
      </c>
      <c r="L712" s="29">
        <f>L692</f>
        <v>33087.026870093745</v>
      </c>
    </row>
    <row r="713" spans="2:12" hidden="1" outlineLevel="1" x14ac:dyDescent="0.3">
      <c r="B713" s="28" t="s">
        <v>54</v>
      </c>
      <c r="E713" s="29">
        <v>0</v>
      </c>
      <c r="F713" s="29">
        <v>0</v>
      </c>
      <c r="G713" s="29">
        <v>6</v>
      </c>
      <c r="H713" s="29">
        <f>H707</f>
        <v>6</v>
      </c>
      <c r="I713" s="29">
        <f t="shared" ref="I713:L713" si="263">I707</f>
        <v>6</v>
      </c>
      <c r="J713" s="29">
        <f t="shared" si="263"/>
        <v>6</v>
      </c>
      <c r="K713" s="29">
        <f t="shared" si="263"/>
        <v>6</v>
      </c>
      <c r="L713" s="29">
        <f t="shared" si="263"/>
        <v>6</v>
      </c>
    </row>
    <row r="714" spans="2:12" hidden="1" outlineLevel="1" x14ac:dyDescent="0.3">
      <c r="B714" s="35" t="s">
        <v>357</v>
      </c>
      <c r="E714" s="161">
        <f>SUM(E710:E713)</f>
        <v>64444</v>
      </c>
      <c r="F714" s="161">
        <f>SUM(F710:F713)</f>
        <v>73253</v>
      </c>
      <c r="G714" s="161">
        <f>SUM(G710:G713)</f>
        <v>83228</v>
      </c>
      <c r="H714" s="161">
        <f t="shared" ref="H714:L714" si="264">SUM(H710:H713)</f>
        <v>94773.745150000002</v>
      </c>
      <c r="I714" s="161">
        <f t="shared" si="264"/>
        <v>107397.79435499999</v>
      </c>
      <c r="J714" s="161">
        <f t="shared" si="264"/>
        <v>122164.73639912499</v>
      </c>
      <c r="K714" s="161">
        <f t="shared" si="264"/>
        <v>139145.81974986874</v>
      </c>
      <c r="L714" s="161">
        <f t="shared" si="264"/>
        <v>158673.16560322404</v>
      </c>
    </row>
    <row r="715" spans="2:12" hidden="1" outlineLevel="1" x14ac:dyDescent="0.35">
      <c r="H715" s="12"/>
      <c r="I715" s="12"/>
      <c r="J715" s="12"/>
      <c r="K715" s="12"/>
      <c r="L715" s="12"/>
    </row>
    <row r="716" spans="2:12" hidden="1" outlineLevel="1" x14ac:dyDescent="0.35">
      <c r="B716" s="78"/>
      <c r="C716" s="78"/>
      <c r="D716" s="78"/>
      <c r="E716" s="78"/>
      <c r="F716" s="78"/>
      <c r="G716" s="78"/>
      <c r="H716" s="117"/>
      <c r="I716" s="117"/>
      <c r="J716" s="117"/>
      <c r="K716" s="117"/>
      <c r="L716" s="117"/>
    </row>
    <row r="717" spans="2:12" hidden="1" outlineLevel="1" x14ac:dyDescent="0.3">
      <c r="B717" s="28" t="s">
        <v>369</v>
      </c>
      <c r="E717" s="159">
        <f t="shared" ref="E717:L717" si="265">E97</f>
        <v>-2.4329168417532094E-2</v>
      </c>
      <c r="F717" s="159">
        <f t="shared" si="265"/>
        <v>1.0192584246341788E-2</v>
      </c>
      <c r="G717" s="159">
        <f t="shared" si="265"/>
        <v>-5.7264089580002552E-3</v>
      </c>
      <c r="H717" s="159">
        <f t="shared" si="265"/>
        <v>-5.0000000000000001E-3</v>
      </c>
      <c r="I717" s="159">
        <f t="shared" si="265"/>
        <v>-7.0000000000000001E-3</v>
      </c>
      <c r="J717" s="159">
        <f t="shared" si="265"/>
        <v>-5.0000000000000001E-3</v>
      </c>
      <c r="K717" s="159">
        <f t="shared" si="265"/>
        <v>-5.0000000000000001E-3</v>
      </c>
      <c r="L717" s="159">
        <f t="shared" si="265"/>
        <v>-7.0000000000000001E-3</v>
      </c>
    </row>
    <row r="718" spans="2:12" hidden="1" outlineLevel="1" x14ac:dyDescent="0.35">
      <c r="H718" s="12"/>
      <c r="I718" s="12"/>
      <c r="J718" s="12"/>
      <c r="K718" s="12"/>
      <c r="L718" s="12"/>
    </row>
    <row r="719" spans="2:12" hidden="1" outlineLevel="1" x14ac:dyDescent="0.35">
      <c r="B719" s="8" t="s">
        <v>358</v>
      </c>
      <c r="H719" s="12"/>
      <c r="I719" s="12"/>
      <c r="J719" s="12"/>
      <c r="K719" s="12"/>
      <c r="L719" s="12"/>
    </row>
    <row r="720" spans="2:12" hidden="1" outlineLevel="1" x14ac:dyDescent="0.3">
      <c r="B720" s="28" t="s">
        <v>360</v>
      </c>
      <c r="E720" s="29">
        <v>-693</v>
      </c>
      <c r="F720" s="29">
        <f>E722</f>
        <v>-3530</v>
      </c>
      <c r="G720" s="29">
        <f>F722</f>
        <v>-2155</v>
      </c>
      <c r="H720" s="29">
        <f t="shared" ref="H720:L720" si="266">G722</f>
        <v>-3097</v>
      </c>
      <c r="I720" s="29">
        <f t="shared" si="266"/>
        <v>-3191.5880750000001</v>
      </c>
      <c r="J720" s="29">
        <f t="shared" si="266"/>
        <v>-3343.8748757500002</v>
      </c>
      <c r="K720" s="29">
        <f t="shared" si="266"/>
        <v>-3468.9676049375003</v>
      </c>
      <c r="L720" s="29">
        <f t="shared" si="266"/>
        <v>-3612.8242435031252</v>
      </c>
    </row>
    <row r="721" spans="2:12" hidden="1" outlineLevel="1" x14ac:dyDescent="0.3">
      <c r="B721" s="28" t="s">
        <v>359</v>
      </c>
      <c r="E721" s="29">
        <v>-2837</v>
      </c>
      <c r="F721" s="29">
        <v>1375</v>
      </c>
      <c r="G721" s="29">
        <v>-942</v>
      </c>
      <c r="H721" s="29">
        <f>H717*H692</f>
        <v>-94.588075000000003</v>
      </c>
      <c r="I721" s="29">
        <f>I717*I692</f>
        <v>-152.28680075</v>
      </c>
      <c r="J721" s="29">
        <f>J717*J692</f>
        <v>-125.0927291875</v>
      </c>
      <c r="K721" s="29">
        <f>K717*K692</f>
        <v>-143.85663856562499</v>
      </c>
      <c r="L721" s="29">
        <f>L717*L692</f>
        <v>-231.60918809065623</v>
      </c>
    </row>
    <row r="722" spans="2:12" hidden="1" outlineLevel="1" x14ac:dyDescent="0.3">
      <c r="B722" s="8" t="s">
        <v>361</v>
      </c>
      <c r="E722" s="161">
        <f>SUM(E720:E721)</f>
        <v>-3530</v>
      </c>
      <c r="F722" s="161">
        <f>SUM(F720:F721)</f>
        <v>-2155</v>
      </c>
      <c r="G722" s="161">
        <f>SUM(G720:G721)</f>
        <v>-3097</v>
      </c>
      <c r="H722" s="161">
        <f t="shared" ref="H722:L722" si="267">SUM(H720:H721)</f>
        <v>-3191.5880750000001</v>
      </c>
      <c r="I722" s="161">
        <f t="shared" si="267"/>
        <v>-3343.8748757500002</v>
      </c>
      <c r="J722" s="161">
        <f t="shared" si="267"/>
        <v>-3468.9676049375003</v>
      </c>
      <c r="K722" s="161">
        <f t="shared" si="267"/>
        <v>-3612.8242435031252</v>
      </c>
      <c r="L722" s="161">
        <f t="shared" si="267"/>
        <v>-3844.4334315937813</v>
      </c>
    </row>
    <row r="723" spans="2:12" hidden="1" outlineLevel="1" x14ac:dyDescent="0.3"/>
    <row r="724" spans="2:12" hidden="1" outlineLevel="1" x14ac:dyDescent="0.35">
      <c r="B724" s="78"/>
      <c r="C724" s="78"/>
      <c r="D724" s="78"/>
      <c r="E724" s="78"/>
      <c r="F724" s="78"/>
      <c r="G724" s="78"/>
      <c r="H724" s="117"/>
      <c r="I724" s="117"/>
      <c r="J724" s="117"/>
      <c r="K724" s="117"/>
      <c r="L724" s="117"/>
    </row>
    <row r="725" spans="2:12" hidden="1" outlineLevel="1" x14ac:dyDescent="0.3">
      <c r="B725" s="28" t="s">
        <v>366</v>
      </c>
      <c r="E725" s="159">
        <f t="shared" ref="E725:H727" si="268">E88</f>
        <v>1.9679786524349565E-2</v>
      </c>
      <c r="F725" s="159">
        <f t="shared" si="268"/>
        <v>0.1278962001853568</v>
      </c>
      <c r="G725" s="159">
        <f t="shared" si="268"/>
        <v>0.42234871180347511</v>
      </c>
      <c r="H725" s="159">
        <f t="shared" si="268"/>
        <v>0.41</v>
      </c>
      <c r="I725" s="159">
        <f t="shared" ref="I725:L725" si="269">I88</f>
        <v>0.42</v>
      </c>
      <c r="J725" s="159">
        <f t="shared" si="269"/>
        <v>0.41499999999999998</v>
      </c>
      <c r="K725" s="159">
        <f t="shared" si="269"/>
        <v>0.44500000000000001</v>
      </c>
      <c r="L725" s="159">
        <f t="shared" si="269"/>
        <v>0.45</v>
      </c>
    </row>
    <row r="726" spans="2:12" hidden="1" outlineLevel="1" x14ac:dyDescent="0.3">
      <c r="B726" s="28" t="s">
        <v>367</v>
      </c>
      <c r="E726" s="159">
        <f t="shared" si="268"/>
        <v>0.23948408784913686</v>
      </c>
      <c r="F726" s="159">
        <f t="shared" si="268"/>
        <v>0.14850039287779276</v>
      </c>
      <c r="G726" s="159">
        <f t="shared" si="268"/>
        <v>0.18087428039951126</v>
      </c>
      <c r="H726" s="159">
        <f t="shared" si="268"/>
        <v>0.18</v>
      </c>
      <c r="I726" s="159">
        <f t="shared" ref="I726:L726" si="270">I89</f>
        <v>0.1865</v>
      </c>
      <c r="J726" s="159">
        <f t="shared" si="270"/>
        <v>0.19900000000000001</v>
      </c>
      <c r="K726" s="159">
        <f t="shared" si="270"/>
        <v>0.19350000000000001</v>
      </c>
      <c r="L726" s="159">
        <f t="shared" si="270"/>
        <v>0.20050000000000001</v>
      </c>
    </row>
    <row r="727" spans="2:12" hidden="1" outlineLevel="1" x14ac:dyDescent="0.3">
      <c r="B727" s="28" t="s">
        <v>350</v>
      </c>
      <c r="E727" s="58">
        <f t="shared" si="268"/>
        <v>0</v>
      </c>
      <c r="F727" s="58">
        <f t="shared" si="268"/>
        <v>0</v>
      </c>
      <c r="G727" s="58">
        <f t="shared" si="268"/>
        <v>-5121</v>
      </c>
      <c r="H727" s="58">
        <f t="shared" si="268"/>
        <v>-5200</v>
      </c>
      <c r="I727" s="58">
        <f>I90</f>
        <v>-5200</v>
      </c>
      <c r="J727" s="58">
        <f>J90</f>
        <v>-5300</v>
      </c>
      <c r="K727" s="58">
        <f>K90</f>
        <v>-5300</v>
      </c>
      <c r="L727" s="58">
        <f>L90</f>
        <v>-5300</v>
      </c>
    </row>
    <row r="728" spans="2:12" hidden="1" outlineLevel="1" x14ac:dyDescent="0.35">
      <c r="H728" s="12"/>
      <c r="I728" s="12"/>
      <c r="J728" s="12"/>
      <c r="K728" s="12"/>
      <c r="L728" s="12"/>
    </row>
    <row r="729" spans="2:12" hidden="1" outlineLevel="1" x14ac:dyDescent="0.35">
      <c r="B729" s="8" t="s">
        <v>354</v>
      </c>
      <c r="H729" s="12"/>
      <c r="I729" s="12"/>
      <c r="J729" s="12"/>
      <c r="K729" s="12"/>
      <c r="L729" s="12"/>
    </row>
    <row r="730" spans="2:12" hidden="1" outlineLevel="1" x14ac:dyDescent="0.35">
      <c r="B730" s="28" t="s">
        <v>351</v>
      </c>
      <c r="C730" s="12"/>
      <c r="D730" s="12"/>
      <c r="E730" s="29">
        <v>69761</v>
      </c>
      <c r="F730" s="29">
        <v>64799</v>
      </c>
      <c r="G730" s="29">
        <f>F735</f>
        <v>82070</v>
      </c>
      <c r="H730" s="29">
        <f t="shared" ref="H730:L730" si="271">G735</f>
        <v>102506</v>
      </c>
      <c r="I730" s="29">
        <f t="shared" si="271"/>
        <v>115151.27372678232</v>
      </c>
      <c r="J730" s="29">
        <f t="shared" si="271"/>
        <v>128841.69421883198</v>
      </c>
      <c r="K730" s="29">
        <f t="shared" si="271"/>
        <v>142263.45228418906</v>
      </c>
      <c r="L730" s="29">
        <f t="shared" si="271"/>
        <v>159212.75725217783</v>
      </c>
    </row>
    <row r="731" spans="2:12" hidden="1" outlineLevel="1" x14ac:dyDescent="0.3">
      <c r="B731" s="28" t="s">
        <v>349</v>
      </c>
      <c r="E731" s="29">
        <v>-236</v>
      </c>
      <c r="F731" s="29">
        <v>-1794</v>
      </c>
      <c r="G731" s="29">
        <v>-7049</v>
      </c>
      <c r="H731" s="29">
        <f>-H725*H692</f>
        <v>-7756.2221500000005</v>
      </c>
      <c r="I731" s="29">
        <f>-I725*I692</f>
        <v>-9137.2080449999994</v>
      </c>
      <c r="J731" s="29">
        <f>-J725*J692</f>
        <v>-10382.696522562499</v>
      </c>
      <c r="K731" s="29">
        <f>-K725*K692</f>
        <v>-12803.240832340623</v>
      </c>
      <c r="L731" s="29">
        <f>-L725*L692</f>
        <v>-14889.162091542186</v>
      </c>
    </row>
    <row r="732" spans="2:12" hidden="1" outlineLevel="1" x14ac:dyDescent="0.3">
      <c r="B732" s="28" t="s">
        <v>347</v>
      </c>
      <c r="E732" s="29">
        <v>-27926</v>
      </c>
      <c r="F732" s="29">
        <v>-20033</v>
      </c>
      <c r="G732" s="29">
        <v>-29754</v>
      </c>
      <c r="H732" s="29">
        <f>-H726*H685</f>
        <v>-34051.706999999995</v>
      </c>
      <c r="I732" s="29">
        <f>-I726*I685</f>
        <v>-40573.554771249997</v>
      </c>
      <c r="J732" s="29">
        <f>-J726*J685</f>
        <v>-49786.906216624993</v>
      </c>
      <c r="K732" s="29">
        <f>-K726*K685</f>
        <v>-55672.519124896869</v>
      </c>
      <c r="L732" s="29">
        <f>-L726*L685</f>
        <v>-66339.488874537958</v>
      </c>
    </row>
    <row r="733" spans="2:12" hidden="1" outlineLevel="1" x14ac:dyDescent="0.3">
      <c r="B733" s="28" t="s">
        <v>350</v>
      </c>
      <c r="E733" s="29">
        <v>0</v>
      </c>
      <c r="F733" s="29">
        <v>0</v>
      </c>
      <c r="G733" s="29">
        <v>-5121</v>
      </c>
      <c r="H733" s="29">
        <f>H727</f>
        <v>-5200</v>
      </c>
      <c r="I733" s="29">
        <f t="shared" ref="I733:L733" si="272">I727</f>
        <v>-5200</v>
      </c>
      <c r="J733" s="29">
        <f t="shared" si="272"/>
        <v>-5300</v>
      </c>
      <c r="K733" s="29">
        <f t="shared" si="272"/>
        <v>-5300</v>
      </c>
      <c r="L733" s="29">
        <f t="shared" si="272"/>
        <v>-5300</v>
      </c>
    </row>
    <row r="734" spans="2:12" hidden="1" outlineLevel="1" x14ac:dyDescent="0.3">
      <c r="B734" s="28" t="s">
        <v>112</v>
      </c>
      <c r="E734" s="29">
        <v>23200</v>
      </c>
      <c r="F734" s="29">
        <v>39098</v>
      </c>
      <c r="G734" s="29">
        <v>62360</v>
      </c>
      <c r="H734" s="29">
        <f>H686</f>
        <v>59653.202876782314</v>
      </c>
      <c r="I734" s="29">
        <f>I686</f>
        <v>68601.18330829966</v>
      </c>
      <c r="J734" s="29">
        <f>J686</f>
        <v>78891.360804544587</v>
      </c>
      <c r="K734" s="29">
        <f>K686</f>
        <v>90725.064925226266</v>
      </c>
      <c r="L734" s="29">
        <f>L686</f>
        <v>104333.82466401022</v>
      </c>
    </row>
    <row r="735" spans="2:12" hidden="1" outlineLevel="1" x14ac:dyDescent="0.35">
      <c r="B735" s="35" t="s">
        <v>352</v>
      </c>
      <c r="C735" s="12"/>
      <c r="D735" s="12"/>
      <c r="E735" s="161">
        <f>SUM(E730:E734)</f>
        <v>64799</v>
      </c>
      <c r="F735" s="161">
        <f t="shared" ref="F735:G735" si="273">SUM(F730:F734)</f>
        <v>82070</v>
      </c>
      <c r="G735" s="161">
        <f t="shared" si="273"/>
        <v>102506</v>
      </c>
      <c r="H735" s="161">
        <f t="shared" ref="H735" si="274">SUM(H730:H734)</f>
        <v>115151.27372678232</v>
      </c>
      <c r="I735" s="161">
        <f t="shared" ref="I735" si="275">SUM(I730:I734)</f>
        <v>128841.69421883198</v>
      </c>
      <c r="J735" s="161">
        <f t="shared" ref="J735" si="276">SUM(J730:J734)</f>
        <v>142263.45228418906</v>
      </c>
      <c r="K735" s="161">
        <f t="shared" ref="K735" si="277">SUM(K730:K734)</f>
        <v>159212.75725217783</v>
      </c>
      <c r="L735" s="161">
        <f t="shared" ref="L735" si="278">SUM(L730:L734)</f>
        <v>177017.93095010793</v>
      </c>
    </row>
    <row r="736" spans="2:12" hidden="1" outlineLevel="1" x14ac:dyDescent="0.3"/>
    <row r="737" spans="2:12" hidden="1" outlineLevel="1" x14ac:dyDescent="0.35">
      <c r="B737" s="78"/>
      <c r="C737" s="78"/>
      <c r="D737" s="78"/>
      <c r="E737" s="78"/>
      <c r="F737" s="78"/>
      <c r="G737" s="78"/>
      <c r="H737" s="117"/>
      <c r="I737" s="117"/>
      <c r="J737" s="117"/>
      <c r="K737" s="117"/>
      <c r="L737" s="117"/>
    </row>
    <row r="738" spans="2:12" hidden="1" outlineLevel="1" x14ac:dyDescent="0.3">
      <c r="B738" s="11" t="s">
        <v>371</v>
      </c>
      <c r="E738" s="159">
        <f t="shared" ref="E738:L738" si="279">E75</f>
        <v>0.23974135787117631</v>
      </c>
      <c r="F738" s="159">
        <f t="shared" si="279"/>
        <v>0.14658048064520912</v>
      </c>
      <c r="G738" s="159">
        <f t="shared" si="279"/>
        <v>0.18312958583838396</v>
      </c>
      <c r="H738" s="159">
        <f t="shared" si="279"/>
        <v>0.185</v>
      </c>
      <c r="I738" s="159">
        <f t="shared" si="279"/>
        <v>0.185</v>
      </c>
      <c r="J738" s="159">
        <f t="shared" si="279"/>
        <v>0.185</v>
      </c>
      <c r="K738" s="159">
        <f t="shared" si="279"/>
        <v>0.185</v>
      </c>
      <c r="L738" s="159">
        <f t="shared" si="279"/>
        <v>0.185</v>
      </c>
    </row>
    <row r="739" spans="2:12" hidden="1" outlineLevel="1" x14ac:dyDescent="0.35">
      <c r="B739" s="11" t="s">
        <v>248</v>
      </c>
      <c r="C739" s="12"/>
      <c r="D739" s="12"/>
      <c r="E739" s="29">
        <f>E429</f>
        <v>-27956</v>
      </c>
      <c r="F739" s="29">
        <f>F429</f>
        <v>-19774</v>
      </c>
      <c r="G739" s="29">
        <f>G429</f>
        <v>-30125</v>
      </c>
      <c r="H739" s="29">
        <f>-H738*H685</f>
        <v>-34997.587749999999</v>
      </c>
      <c r="I739" s="29">
        <f t="shared" ref="I739:L739" si="280">-I738*I685</f>
        <v>-40247.225912499998</v>
      </c>
      <c r="J739" s="29">
        <f t="shared" si="280"/>
        <v>-46284.309799374991</v>
      </c>
      <c r="K739" s="29">
        <f t="shared" si="280"/>
        <v>-53226.95626928124</v>
      </c>
      <c r="L739" s="29">
        <f t="shared" si="280"/>
        <v>-61210.99970967343</v>
      </c>
    </row>
    <row r="740" spans="2:12" collapsed="1" x14ac:dyDescent="0.3"/>
    <row r="741" spans="2:12" ht="18.600000000000001" customHeight="1" x14ac:dyDescent="0.3">
      <c r="B741" s="186" t="s">
        <v>338</v>
      </c>
      <c r="C741" s="186"/>
      <c r="D741" s="186"/>
      <c r="E741" s="186"/>
      <c r="F741" s="186"/>
      <c r="G741" s="186"/>
      <c r="H741" s="186"/>
      <c r="I741" s="186"/>
      <c r="J741" s="186"/>
      <c r="K741" s="186"/>
      <c r="L741" s="186"/>
    </row>
    <row r="742" spans="2:12" hidden="1" outlineLevel="1" x14ac:dyDescent="0.3"/>
    <row r="743" spans="2:12" ht="16.2" hidden="1" outlineLevel="1" thickBot="1" x14ac:dyDescent="0.35">
      <c r="B743" s="261" t="s">
        <v>74</v>
      </c>
      <c r="D743" s="4">
        <v>2021</v>
      </c>
      <c r="E743" s="4">
        <v>2022</v>
      </c>
      <c r="F743" s="4">
        <v>2023</v>
      </c>
      <c r="G743" s="4">
        <v>2024</v>
      </c>
      <c r="H743" s="5">
        <f>G743+1</f>
        <v>2025</v>
      </c>
      <c r="I743" s="5">
        <f>H743+1</f>
        <v>2026</v>
      </c>
      <c r="J743" s="5">
        <f>I743+1</f>
        <v>2027</v>
      </c>
      <c r="K743" s="5">
        <f>J743+1</f>
        <v>2028</v>
      </c>
      <c r="L743" s="5">
        <f>K743+1</f>
        <v>2029</v>
      </c>
    </row>
    <row r="744" spans="2:12" hidden="1" outlineLevel="1" x14ac:dyDescent="0.3"/>
    <row r="745" spans="2:12" hidden="1" outlineLevel="1" x14ac:dyDescent="0.3">
      <c r="B745" s="11" t="s">
        <v>57</v>
      </c>
      <c r="E745" s="29">
        <f t="shared" ref="E745:L745" si="281">E379</f>
        <v>116609</v>
      </c>
      <c r="F745" s="29">
        <f t="shared" si="281"/>
        <v>134902</v>
      </c>
      <c r="G745" s="29">
        <f t="shared" si="281"/>
        <v>164501</v>
      </c>
      <c r="H745" s="29">
        <f t="shared" si="281"/>
        <v>189176.15</v>
      </c>
      <c r="I745" s="29">
        <f t="shared" si="281"/>
        <v>217552.57249999998</v>
      </c>
      <c r="J745" s="29">
        <f t="shared" si="281"/>
        <v>250185.45837499996</v>
      </c>
      <c r="K745" s="29">
        <f t="shared" si="281"/>
        <v>287713.27713124995</v>
      </c>
      <c r="L745" s="29">
        <f t="shared" si="281"/>
        <v>330870.26870093745</v>
      </c>
    </row>
    <row r="746" spans="2:12" hidden="1" outlineLevel="1" x14ac:dyDescent="0.3"/>
    <row r="747" spans="2:12" hidden="1" outlineLevel="1" x14ac:dyDescent="0.3">
      <c r="B747" s="8" t="s">
        <v>343</v>
      </c>
    </row>
    <row r="748" spans="2:12" hidden="1" outlineLevel="1" x14ac:dyDescent="0.35">
      <c r="B748" s="11" t="s">
        <v>331</v>
      </c>
      <c r="D748" s="12"/>
      <c r="E748" s="159">
        <f t="shared" ref="E748:L748" si="282">E28</f>
        <v>5.6453618502859987E-2</v>
      </c>
      <c r="F748" s="159">
        <f t="shared" si="282"/>
        <v>5.6203762731464324E-2</v>
      </c>
      <c r="G748" s="159">
        <f t="shared" si="282"/>
        <v>7.9130218053385687E-2</v>
      </c>
      <c r="H748" s="159">
        <f t="shared" si="282"/>
        <v>7.9000000000000001E-2</v>
      </c>
      <c r="I748" s="159">
        <f t="shared" si="282"/>
        <v>0.08</v>
      </c>
      <c r="J748" s="159">
        <f t="shared" si="282"/>
        <v>8.2000000000000003E-2</v>
      </c>
      <c r="K748" s="159">
        <f t="shared" si="282"/>
        <v>8.5000000000000006E-2</v>
      </c>
      <c r="L748" s="159">
        <f t="shared" si="282"/>
        <v>8.5000000000000006E-2</v>
      </c>
    </row>
    <row r="749" spans="2:12" hidden="1" outlineLevel="1" x14ac:dyDescent="0.35">
      <c r="B749" s="11" t="s">
        <v>341</v>
      </c>
      <c r="D749" s="12"/>
      <c r="E749" s="160">
        <f t="shared" ref="E749:L749" si="283">E64</f>
        <v>9.0902074453944374E-4</v>
      </c>
      <c r="F749" s="160">
        <f t="shared" si="283"/>
        <v>5.9302308342352224E-4</v>
      </c>
      <c r="G749" s="160">
        <f t="shared" si="283"/>
        <v>1.6413274083440222E-3</v>
      </c>
      <c r="H749" s="160">
        <f t="shared" si="283"/>
        <v>1E-3</v>
      </c>
      <c r="I749" s="160">
        <f t="shared" si="283"/>
        <v>1E-3</v>
      </c>
      <c r="J749" s="160">
        <f t="shared" si="283"/>
        <v>1E-3</v>
      </c>
      <c r="K749" s="160">
        <f t="shared" si="283"/>
        <v>1E-3</v>
      </c>
      <c r="L749" s="160">
        <f t="shared" si="283"/>
        <v>1E-3</v>
      </c>
    </row>
    <row r="750" spans="2:12" hidden="1" outlineLevel="1" x14ac:dyDescent="0.35">
      <c r="B750" s="11"/>
      <c r="D750" s="12"/>
      <c r="E750" s="12"/>
      <c r="F750" s="12"/>
      <c r="G750" s="12"/>
      <c r="H750" s="12"/>
      <c r="I750" s="12"/>
      <c r="J750" s="12"/>
      <c r="K750" s="12"/>
      <c r="L750" s="12"/>
    </row>
    <row r="751" spans="2:12" hidden="1" outlineLevel="1" x14ac:dyDescent="0.35">
      <c r="B751" s="11" t="s">
        <v>332</v>
      </c>
      <c r="D751" s="12"/>
      <c r="E751" s="29">
        <f>E460</f>
        <v>6583</v>
      </c>
      <c r="F751" s="29">
        <f>F460</f>
        <v>7582</v>
      </c>
      <c r="G751" s="29">
        <f>G460</f>
        <v>13017</v>
      </c>
      <c r="H751" s="29">
        <f>H748*H685</f>
        <v>14944.915849999999</v>
      </c>
      <c r="I751" s="29">
        <f>I748*I685</f>
        <v>17404.2058</v>
      </c>
      <c r="J751" s="29">
        <f>J748*J685</f>
        <v>20515.207586749999</v>
      </c>
      <c r="K751" s="29">
        <f>K748*K685</f>
        <v>24455.628556156247</v>
      </c>
      <c r="L751" s="29">
        <f>L748*L685</f>
        <v>28123.972839579685</v>
      </c>
    </row>
    <row r="752" spans="2:12" hidden="1" outlineLevel="1" x14ac:dyDescent="0.35">
      <c r="B752" s="11" t="s">
        <v>336</v>
      </c>
      <c r="D752" s="12"/>
      <c r="E752" s="29">
        <f>E413</f>
        <v>-106</v>
      </c>
      <c r="F752" s="29">
        <f>F413</f>
        <v>-80</v>
      </c>
      <c r="G752" s="29">
        <f>G413</f>
        <v>-270</v>
      </c>
      <c r="H752" s="29">
        <f>-H749*H745</f>
        <v>-189.17615000000001</v>
      </c>
      <c r="I752" s="29">
        <f t="shared" ref="I752:L752" si="284">-I749*I745</f>
        <v>-217.5525725</v>
      </c>
      <c r="J752" s="29">
        <f t="shared" si="284"/>
        <v>-250.18545837499997</v>
      </c>
      <c r="K752" s="29">
        <f t="shared" si="284"/>
        <v>-287.71327713124998</v>
      </c>
      <c r="L752" s="29">
        <f t="shared" si="284"/>
        <v>-330.87026870093746</v>
      </c>
    </row>
    <row r="753" spans="2:12" hidden="1" outlineLevel="1" x14ac:dyDescent="0.3">
      <c r="B753" s="11"/>
    </row>
    <row r="754" spans="2:12" hidden="1" outlineLevel="1" x14ac:dyDescent="0.3">
      <c r="B754" s="162"/>
      <c r="C754" s="78"/>
      <c r="D754" s="78"/>
      <c r="E754" s="78"/>
      <c r="F754" s="78"/>
      <c r="G754" s="78"/>
      <c r="H754" s="78"/>
      <c r="I754" s="78"/>
      <c r="J754" s="78"/>
      <c r="K754" s="78"/>
      <c r="L754" s="78"/>
    </row>
    <row r="755" spans="2:12" hidden="1" outlineLevel="1" x14ac:dyDescent="0.3">
      <c r="B755" s="8" t="s">
        <v>122</v>
      </c>
    </row>
    <row r="756" spans="2:12" hidden="1" outlineLevel="1" x14ac:dyDescent="0.35">
      <c r="B756" s="11" t="s">
        <v>330</v>
      </c>
      <c r="D756" s="12"/>
      <c r="E756" s="13">
        <f t="shared" ref="E756:L756" si="285">E31</f>
        <v>6.6581481703813603E-2</v>
      </c>
      <c r="F756" s="13">
        <f t="shared" si="285"/>
        <v>1.0155520303627819E-2</v>
      </c>
      <c r="G756" s="13">
        <f t="shared" si="285"/>
        <v>1.6510537929860607E-2</v>
      </c>
      <c r="H756" s="13">
        <f t="shared" si="285"/>
        <v>1.7000000000000001E-2</v>
      </c>
      <c r="I756" s="13">
        <f t="shared" si="285"/>
        <v>1.4999999999999999E-2</v>
      </c>
      <c r="J756" s="13">
        <f t="shared" si="285"/>
        <v>1.4999999999999999E-2</v>
      </c>
      <c r="K756" s="13">
        <f t="shared" si="285"/>
        <v>1.4999999999999999E-2</v>
      </c>
      <c r="L756" s="13">
        <f t="shared" si="285"/>
        <v>1.4999999999999999E-2</v>
      </c>
    </row>
    <row r="757" spans="2:12" hidden="1" outlineLevel="1" x14ac:dyDescent="0.35">
      <c r="B757" s="11" t="s">
        <v>342</v>
      </c>
      <c r="D757" s="12"/>
      <c r="E757" s="25">
        <f t="shared" ref="E757:L757" si="286">E66</f>
        <v>7.5980413175655397E-3</v>
      </c>
      <c r="F757" s="25">
        <f t="shared" si="286"/>
        <v>4.6255800507034733E-3</v>
      </c>
      <c r="G757" s="25">
        <f t="shared" si="286"/>
        <v>1.7051568075574008E-2</v>
      </c>
      <c r="H757" s="25">
        <f t="shared" si="286"/>
        <v>1.4999999999999999E-2</v>
      </c>
      <c r="I757" s="25">
        <f t="shared" si="286"/>
        <v>1.4999999999999999E-2</v>
      </c>
      <c r="J757" s="25">
        <f t="shared" si="286"/>
        <v>1.7000000000000001E-2</v>
      </c>
      <c r="K757" s="25">
        <f t="shared" si="286"/>
        <v>1.7000000000000001E-2</v>
      </c>
      <c r="L757" s="25">
        <f t="shared" si="286"/>
        <v>1.7000000000000001E-2</v>
      </c>
    </row>
    <row r="758" spans="2:12" hidden="1" outlineLevel="1" x14ac:dyDescent="0.3"/>
    <row r="759" spans="2:12" hidden="1" outlineLevel="1" x14ac:dyDescent="0.35">
      <c r="B759" s="11" t="s">
        <v>333</v>
      </c>
      <c r="D759" s="12"/>
      <c r="E759" s="59">
        <f>E475</f>
        <v>7764</v>
      </c>
      <c r="F759" s="59">
        <f>F475</f>
        <v>1370</v>
      </c>
      <c r="G759" s="59">
        <f>G475</f>
        <v>2716</v>
      </c>
      <c r="H759" s="29">
        <f>H756*H685</f>
        <v>3215.9945500000003</v>
      </c>
      <c r="I759" s="29">
        <f>I756*I685</f>
        <v>3263.2885874999997</v>
      </c>
      <c r="J759" s="29">
        <f>J756*J685</f>
        <v>3752.7818756249994</v>
      </c>
      <c r="K759" s="29">
        <f>K756*K685</f>
        <v>4315.6991569687489</v>
      </c>
      <c r="L759" s="29">
        <f>L756*L685</f>
        <v>4963.0540305140612</v>
      </c>
    </row>
    <row r="760" spans="2:12" hidden="1" outlineLevel="1" x14ac:dyDescent="0.3">
      <c r="B760" s="11" t="s">
        <v>337</v>
      </c>
      <c r="E760" s="29">
        <f>E416</f>
        <v>886</v>
      </c>
      <c r="F760" s="29">
        <f>F416</f>
        <v>624</v>
      </c>
      <c r="G760" s="29">
        <f>G416</f>
        <v>2805</v>
      </c>
      <c r="H760" s="29">
        <f>H757*H745</f>
        <v>2837.6422499999999</v>
      </c>
      <c r="I760" s="29">
        <f t="shared" ref="I760:L760" si="287">I757*I745</f>
        <v>3263.2885874999997</v>
      </c>
      <c r="J760" s="29">
        <f t="shared" si="287"/>
        <v>4253.152792375</v>
      </c>
      <c r="K760" s="29">
        <f t="shared" si="287"/>
        <v>4891.1257112312496</v>
      </c>
      <c r="L760" s="29">
        <f t="shared" si="287"/>
        <v>5624.7945679159375</v>
      </c>
    </row>
    <row r="761" spans="2:12" collapsed="1" x14ac:dyDescent="0.3"/>
  </sheetData>
  <pageMargins left="0.7" right="0.7" top="0.75" bottom="0.75" header="0.3" footer="0.3"/>
  <pageSetup paperSize="9" orientation="portrait" r:id="rId1"/>
  <ignoredErrors>
    <ignoredError sqref="E483:G483" formulaRange="1"/>
  </ignoredErrors>
  <drawing r:id="rId2"/>
  <legacyDrawing r:id="rId3"/>
  <mc:AlternateContent xmlns:mc="http://schemas.openxmlformats.org/markup-compatibility/2006">
    <mc:Choice Requires="x14">
      <controls>
        <mc:AlternateContent xmlns:mc="http://schemas.openxmlformats.org/markup-compatibility/2006">
          <mc:Choice Requires="x14">
            <control shapeId="6145" r:id="rId4" name="Drop Down 1">
              <controlPr defaultSize="0" autoLine="0" autoPict="0">
                <anchor moveWithCells="1">
                  <from>
                    <xdr:col>2</xdr:col>
                    <xdr:colOff>0</xdr:colOff>
                    <xdr:row>2</xdr:row>
                    <xdr:rowOff>0</xdr:rowOff>
                  </from>
                  <to>
                    <xdr:col>3</xdr:col>
                    <xdr:colOff>449580</xdr:colOff>
                    <xdr:row>2</xdr:row>
                    <xdr:rowOff>182880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Dashboard</vt:lpstr>
      <vt:lpstr>WACC</vt:lpstr>
      <vt:lpstr>DCF</vt:lpstr>
      <vt:lpstr>Comparable Companyn Analysis</vt:lpstr>
      <vt:lpstr>Financial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2025-04-05T13:49:31Z</dcterms:created>
  <dcterms:modified xsi:type="dcterms:W3CDTF">2025-04-23T14:32:16Z</dcterms:modified>
</cp:coreProperties>
</file>