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heer\Desktop\Projects\Sleep Number\"/>
    </mc:Choice>
  </mc:AlternateContent>
  <xr:revisionPtr revIDLastSave="0" documentId="13_ncr:1_{BAB267A1-4053-4E2D-B841-2AC6C917408B}" xr6:coauthVersionLast="47" xr6:coauthVersionMax="47" xr10:uidLastSave="{00000000-0000-0000-0000-000000000000}"/>
  <bookViews>
    <workbookView xWindow="-108" yWindow="-108" windowWidth="23256" windowHeight="12456" activeTab="5" xr2:uid="{282558C9-4E44-476A-A231-4B5DE5090D45}"/>
  </bookViews>
  <sheets>
    <sheet name="Cover Page" sheetId="10" r:id="rId1"/>
    <sheet name="Dashboard" sheetId="6" r:id="rId2"/>
    <sheet name="WACC" sheetId="11" r:id="rId3"/>
    <sheet name="DCF" sheetId="8" r:id="rId4"/>
    <sheet name="Comparable Company Analysis" sheetId="9" r:id="rId5"/>
    <sheet name="Financial Model" sheetId="4" r:id="rId6"/>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6" l="1"/>
  <c r="E10" i="6"/>
  <c r="E13" i="6"/>
  <c r="G41" i="6"/>
  <c r="H41" i="6" s="1"/>
  <c r="I41" i="6" s="1"/>
  <c r="J41" i="6" s="1"/>
  <c r="K41" i="6" s="1"/>
  <c r="L41" i="6" s="1"/>
  <c r="M41" i="6" s="1"/>
  <c r="N41" i="6" s="1"/>
  <c r="O41" i="6" s="1"/>
  <c r="P41" i="6" s="1"/>
  <c r="H96" i="6"/>
  <c r="G96" i="6"/>
  <c r="F96" i="6"/>
  <c r="E96" i="6"/>
  <c r="D96" i="6"/>
  <c r="C96" i="6"/>
  <c r="D93" i="6"/>
  <c r="E93" i="6" s="1"/>
  <c r="F93" i="6" s="1"/>
  <c r="G93" i="6" s="1"/>
  <c r="H93" i="6" s="1"/>
  <c r="I93" i="6" s="1"/>
  <c r="J93" i="6" s="1"/>
  <c r="K93" i="6" s="1"/>
  <c r="L93" i="6" s="1"/>
  <c r="M93" i="6" s="1"/>
  <c r="G215" i="4" l="1"/>
  <c r="H215" i="4"/>
  <c r="I215" i="4"/>
  <c r="J215" i="4"/>
  <c r="F215" i="4"/>
  <c r="K27" i="9"/>
  <c r="I27" i="9" s="1"/>
  <c r="K26" i="9"/>
  <c r="I26" i="9" s="1"/>
  <c r="K25" i="9"/>
  <c r="I25" i="9" s="1"/>
  <c r="K24" i="9"/>
  <c r="I24" i="9" s="1"/>
  <c r="H11" i="9" l="1"/>
  <c r="N80" i="6" l="1"/>
  <c r="M80" i="6" s="1"/>
  <c r="L80" i="6" s="1"/>
  <c r="N69" i="6"/>
  <c r="O69" i="6" s="1"/>
  <c r="P69" i="6" s="1"/>
  <c r="F80" i="6"/>
  <c r="G80" i="6" s="1"/>
  <c r="H80" i="6" s="1"/>
  <c r="F69" i="6"/>
  <c r="I59" i="6"/>
  <c r="C37" i="8" s="1"/>
  <c r="D19" i="11"/>
  <c r="D20" i="11" s="1"/>
  <c r="N13" i="11" s="1"/>
  <c r="D14" i="11"/>
  <c r="J13" i="11"/>
  <c r="I63" i="6"/>
  <c r="I62" i="6"/>
  <c r="C7" i="11" l="1"/>
  <c r="N12" i="11" s="1"/>
  <c r="O80" i="6"/>
  <c r="P80" i="6" s="1"/>
  <c r="M69" i="6"/>
  <c r="L69" i="6" s="1"/>
  <c r="E80" i="6"/>
  <c r="D80" i="6" s="1"/>
  <c r="E69" i="6"/>
  <c r="D69" i="6" s="1"/>
  <c r="J16" i="11"/>
  <c r="J18" i="11" s="1"/>
  <c r="N15" i="11" s="1"/>
  <c r="N14" i="11" l="1"/>
  <c r="N16" i="11" s="1"/>
  <c r="G69" i="6"/>
  <c r="H69" i="6" s="1"/>
  <c r="J10" i="8"/>
  <c r="K10" i="8" s="1"/>
  <c r="L10" i="8" s="1"/>
  <c r="J62" i="8"/>
  <c r="N56" i="8"/>
  <c r="N58" i="8" s="1"/>
  <c r="G45" i="8"/>
  <c r="G52" i="8"/>
  <c r="G37" i="8"/>
  <c r="K83" i="6" l="1"/>
  <c r="K72" i="6"/>
  <c r="C72" i="6"/>
  <c r="C73" i="6" s="1"/>
  <c r="C74" i="6" s="1"/>
  <c r="I60" i="6"/>
  <c r="C38" i="8" s="1"/>
  <c r="C83" i="6"/>
  <c r="E62" i="8"/>
  <c r="I61" i="6"/>
  <c r="M10" i="8"/>
  <c r="N10" i="8" s="1"/>
  <c r="H37" i="8"/>
  <c r="I37" i="8" s="1"/>
  <c r="J37" i="8" s="1"/>
  <c r="K37" i="8" s="1"/>
  <c r="L37" i="8" s="1"/>
  <c r="M37" i="8" s="1"/>
  <c r="C71" i="6" l="1"/>
  <c r="C70" i="6" s="1"/>
  <c r="K73" i="6"/>
  <c r="K74" i="6" s="1"/>
  <c r="K71" i="6"/>
  <c r="K70" i="6" s="1"/>
  <c r="C84" i="6"/>
  <c r="C85" i="6" s="1"/>
  <c r="C82" i="6"/>
  <c r="C81" i="6" s="1"/>
  <c r="K84" i="6"/>
  <c r="K85" i="6" s="1"/>
  <c r="K82" i="6"/>
  <c r="K81" i="6" s="1"/>
  <c r="E85" i="6"/>
  <c r="M74" i="6" s="1"/>
  <c r="M85" i="6" s="1"/>
  <c r="H82" i="6"/>
  <c r="P71" i="6" s="1"/>
  <c r="P82" i="6" s="1"/>
  <c r="G82" i="6"/>
  <c r="O71" i="6" s="1"/>
  <c r="O82" i="6" s="1"/>
  <c r="F82" i="6"/>
  <c r="N71" i="6" s="1"/>
  <c r="N82" i="6" s="1"/>
  <c r="H83" i="6"/>
  <c r="P72" i="6" s="1"/>
  <c r="P83" i="6" s="1"/>
  <c r="F83" i="6"/>
  <c r="N72" i="6" s="1"/>
  <c r="N83" i="6" s="1"/>
  <c r="D83" i="6"/>
  <c r="L72" i="6" s="1"/>
  <c r="L83" i="6" s="1"/>
  <c r="D85" i="6"/>
  <c r="L74" i="6" s="1"/>
  <c r="L85" i="6" s="1"/>
  <c r="E83" i="6"/>
  <c r="M72" i="6" s="1"/>
  <c r="M83" i="6" s="1"/>
  <c r="H84" i="6"/>
  <c r="P73" i="6" s="1"/>
  <c r="P84" i="6" s="1"/>
  <c r="G84" i="6"/>
  <c r="O73" i="6" s="1"/>
  <c r="O84" i="6" s="1"/>
  <c r="E82" i="6"/>
  <c r="M71" i="6" s="1"/>
  <c r="M82" i="6" s="1"/>
  <c r="F84" i="6"/>
  <c r="N73" i="6" s="1"/>
  <c r="N84" i="6" s="1"/>
  <c r="D82" i="6"/>
  <c r="L71" i="6" s="1"/>
  <c r="L82" i="6" s="1"/>
  <c r="H81" i="6"/>
  <c r="P70" i="6" s="1"/>
  <c r="P81" i="6" s="1"/>
  <c r="G81" i="6"/>
  <c r="O70" i="6" s="1"/>
  <c r="O81" i="6" s="1"/>
  <c r="F81" i="6"/>
  <c r="N70" i="6" s="1"/>
  <c r="N81" i="6" s="1"/>
  <c r="E81" i="6"/>
  <c r="M70" i="6" s="1"/>
  <c r="M81" i="6" s="1"/>
  <c r="H85" i="6"/>
  <c r="P74" i="6" s="1"/>
  <c r="P85" i="6" s="1"/>
  <c r="F85" i="6"/>
  <c r="N74" i="6" s="1"/>
  <c r="N85" i="6" s="1"/>
  <c r="E84" i="6"/>
  <c r="M73" i="6" s="1"/>
  <c r="M84" i="6" s="1"/>
  <c r="G83" i="6"/>
  <c r="O72" i="6" s="1"/>
  <c r="O83" i="6" s="1"/>
  <c r="G85" i="6"/>
  <c r="O74" i="6" s="1"/>
  <c r="O85" i="6" s="1"/>
  <c r="D84" i="6"/>
  <c r="L73" i="6" s="1"/>
  <c r="L84" i="6" s="1"/>
  <c r="D81" i="6"/>
  <c r="L70" i="6" s="1"/>
  <c r="L81" i="6" s="1"/>
  <c r="J47" i="8"/>
  <c r="K47" i="8"/>
  <c r="L47" i="8"/>
  <c r="H47" i="8"/>
  <c r="I47" i="8"/>
  <c r="E24" i="8" l="1"/>
  <c r="F24" i="8"/>
  <c r="G24" i="8"/>
  <c r="H24" i="8"/>
  <c r="I24" i="8"/>
  <c r="D24" i="8"/>
  <c r="E25" i="8"/>
  <c r="F25" i="8"/>
  <c r="G25" i="8"/>
  <c r="H25" i="8"/>
  <c r="I25" i="8"/>
  <c r="D25" i="8"/>
  <c r="E23" i="8"/>
  <c r="F23" i="8"/>
  <c r="G23" i="8"/>
  <c r="H23" i="8"/>
  <c r="I23" i="8"/>
  <c r="D23" i="8"/>
  <c r="E18" i="8"/>
  <c r="F18" i="8"/>
  <c r="G18" i="8"/>
  <c r="H18" i="8"/>
  <c r="I18" i="8"/>
  <c r="E19" i="8"/>
  <c r="F19" i="8"/>
  <c r="G19" i="8"/>
  <c r="H19" i="8"/>
  <c r="I19" i="8"/>
  <c r="E20" i="8"/>
  <c r="F20" i="8"/>
  <c r="G20" i="8"/>
  <c r="H20" i="8"/>
  <c r="I20" i="8"/>
  <c r="D20" i="8"/>
  <c r="D19" i="8"/>
  <c r="D18" i="8"/>
  <c r="E15" i="8"/>
  <c r="F15" i="8"/>
  <c r="G15" i="8"/>
  <c r="H15" i="8"/>
  <c r="I15" i="8"/>
  <c r="D15" i="8"/>
  <c r="E14" i="8"/>
  <c r="F14" i="8"/>
  <c r="G14" i="8"/>
  <c r="H14" i="8"/>
  <c r="I14" i="8"/>
  <c r="D14" i="8"/>
  <c r="E26" i="8" l="1"/>
  <c r="D26" i="8"/>
  <c r="I26" i="8"/>
  <c r="H26" i="8"/>
  <c r="F26" i="8"/>
  <c r="D21" i="8"/>
  <c r="G26" i="8"/>
  <c r="E21" i="8"/>
  <c r="I21" i="8"/>
  <c r="H21" i="8"/>
  <c r="G21" i="8"/>
  <c r="F21" i="8"/>
  <c r="D28" i="8" l="1"/>
  <c r="E28" i="8"/>
  <c r="F28" i="8"/>
  <c r="I28" i="8"/>
  <c r="H28" i="8"/>
  <c r="G28" i="8"/>
  <c r="E5" i="8"/>
  <c r="F5" i="8" s="1"/>
  <c r="G5" i="8" s="1"/>
  <c r="H5" i="8" s="1"/>
  <c r="I5" i="8" s="1"/>
  <c r="J5" i="8" s="1"/>
  <c r="K5" i="8" s="1"/>
  <c r="L5" i="8" s="1"/>
  <c r="M5" i="8" s="1"/>
  <c r="N5" i="8" s="1"/>
  <c r="F264" i="4"/>
  <c r="G264" i="4"/>
  <c r="H264" i="4"/>
  <c r="I264" i="4"/>
  <c r="J264" i="4"/>
  <c r="K262" i="4" s="1"/>
  <c r="E264" i="4"/>
  <c r="K260" i="4"/>
  <c r="L260" i="4" s="1"/>
  <c r="M260" i="4" s="1"/>
  <c r="N260" i="4" s="1"/>
  <c r="O260" i="4" s="1"/>
  <c r="F209" i="4"/>
  <c r="F206" i="4" s="1"/>
  <c r="G209" i="4"/>
  <c r="G206" i="4" s="1"/>
  <c r="H209" i="4"/>
  <c r="H206" i="4" s="1"/>
  <c r="I209" i="4"/>
  <c r="I206" i="4" s="1"/>
  <c r="J209" i="4"/>
  <c r="J206" i="4" s="1"/>
  <c r="E209" i="4"/>
  <c r="E206" i="4" s="1"/>
  <c r="F208" i="4"/>
  <c r="F205" i="4" s="1"/>
  <c r="G208" i="4"/>
  <c r="G205" i="4" s="1"/>
  <c r="H208" i="4"/>
  <c r="H205" i="4" s="1"/>
  <c r="I208" i="4"/>
  <c r="I205" i="4" s="1"/>
  <c r="J208" i="4"/>
  <c r="J205" i="4" s="1"/>
  <c r="E208" i="4"/>
  <c r="E205" i="4" s="1"/>
  <c r="K122" i="4"/>
  <c r="F27" i="4"/>
  <c r="G27" i="4"/>
  <c r="H27" i="4"/>
  <c r="I27" i="4"/>
  <c r="J27" i="4"/>
  <c r="E27" i="4"/>
  <c r="F252" i="4"/>
  <c r="G252" i="4"/>
  <c r="H252" i="4"/>
  <c r="I252" i="4"/>
  <c r="J252" i="4"/>
  <c r="F256" i="4"/>
  <c r="G256" i="4"/>
  <c r="H256" i="4"/>
  <c r="I256" i="4"/>
  <c r="J256" i="4"/>
  <c r="F253" i="4"/>
  <c r="G253" i="4"/>
  <c r="H253" i="4"/>
  <c r="I253" i="4"/>
  <c r="J253" i="4"/>
  <c r="F254" i="4"/>
  <c r="G254" i="4"/>
  <c r="H254" i="4"/>
  <c r="I254" i="4"/>
  <c r="J254" i="4"/>
  <c r="E254" i="4"/>
  <c r="E253" i="4"/>
  <c r="E252" i="4"/>
  <c r="E256" i="4"/>
  <c r="K250" i="4"/>
  <c r="L250" i="4" s="1"/>
  <c r="M250" i="4" s="1"/>
  <c r="N250" i="4" s="1"/>
  <c r="O250" i="4" s="1"/>
  <c r="F238" i="4"/>
  <c r="G238" i="4"/>
  <c r="H238" i="4"/>
  <c r="I238" i="4"/>
  <c r="J238" i="4"/>
  <c r="E238" i="4"/>
  <c r="F237" i="4"/>
  <c r="G237" i="4"/>
  <c r="H237" i="4"/>
  <c r="I237" i="4"/>
  <c r="J237" i="4"/>
  <c r="E237" i="4"/>
  <c r="F186" i="4"/>
  <c r="G186" i="4"/>
  <c r="H186" i="4"/>
  <c r="I186" i="4"/>
  <c r="J186" i="4"/>
  <c r="E186" i="4"/>
  <c r="F185" i="4"/>
  <c r="G185" i="4"/>
  <c r="H185" i="4"/>
  <c r="I185" i="4"/>
  <c r="J185" i="4"/>
  <c r="E185" i="4"/>
  <c r="F17" i="4"/>
  <c r="G17" i="4"/>
  <c r="H17" i="4"/>
  <c r="I17" i="4"/>
  <c r="J17" i="4"/>
  <c r="F16" i="4"/>
  <c r="G16" i="4"/>
  <c r="H16" i="4"/>
  <c r="I16" i="4"/>
  <c r="J16" i="4"/>
  <c r="E17" i="4"/>
  <c r="F39" i="4"/>
  <c r="G39" i="4"/>
  <c r="H39" i="4"/>
  <c r="I39" i="4"/>
  <c r="J39" i="4"/>
  <c r="E39" i="4"/>
  <c r="E41" i="4"/>
  <c r="F41" i="4"/>
  <c r="G41" i="4"/>
  <c r="H41" i="4"/>
  <c r="I41" i="4"/>
  <c r="J41" i="4"/>
  <c r="E40" i="4"/>
  <c r="F40" i="4"/>
  <c r="G40" i="4"/>
  <c r="H40" i="4"/>
  <c r="I40" i="4"/>
  <c r="J40" i="4"/>
  <c r="F38" i="4"/>
  <c r="G38" i="4"/>
  <c r="H38" i="4"/>
  <c r="I38" i="4"/>
  <c r="J38" i="4"/>
  <c r="E38" i="4"/>
  <c r="F36" i="4"/>
  <c r="G36" i="4"/>
  <c r="H36" i="4"/>
  <c r="I36" i="4"/>
  <c r="J36" i="4"/>
  <c r="E36" i="4"/>
  <c r="F34" i="4"/>
  <c r="G34" i="4"/>
  <c r="H34" i="4"/>
  <c r="I34" i="4"/>
  <c r="J34" i="4"/>
  <c r="E34" i="4"/>
  <c r="F33" i="4"/>
  <c r="G33" i="4"/>
  <c r="H33" i="4"/>
  <c r="I33" i="4"/>
  <c r="J33" i="4"/>
  <c r="E33" i="4"/>
  <c r="K102" i="4"/>
  <c r="L102" i="4" s="1"/>
  <c r="M102" i="4" s="1"/>
  <c r="N102" i="4" s="1"/>
  <c r="O102" i="4" s="1"/>
  <c r="K84" i="4"/>
  <c r="L84" i="4" s="1"/>
  <c r="M84" i="4" s="1"/>
  <c r="G22" i="4"/>
  <c r="H22" i="4"/>
  <c r="I22" i="4"/>
  <c r="J22" i="4"/>
  <c r="F22" i="4"/>
  <c r="G30" i="4"/>
  <c r="H30" i="4"/>
  <c r="I30" i="4"/>
  <c r="J30" i="4"/>
  <c r="F30" i="4"/>
  <c r="F29" i="4"/>
  <c r="G29" i="4"/>
  <c r="H29" i="4"/>
  <c r="I29" i="4"/>
  <c r="J29" i="4"/>
  <c r="E29" i="4"/>
  <c r="G23" i="4"/>
  <c r="H23" i="4"/>
  <c r="I23" i="4"/>
  <c r="J23" i="4"/>
  <c r="F23" i="4"/>
  <c r="F21" i="4"/>
  <c r="G21" i="4"/>
  <c r="H21" i="4"/>
  <c r="I21" i="4"/>
  <c r="J21" i="4"/>
  <c r="E21" i="4"/>
  <c r="E16" i="4"/>
  <c r="K22" i="4" l="1"/>
  <c r="L22" i="4" s="1"/>
  <c r="E29" i="8"/>
  <c r="F29" i="8"/>
  <c r="I29" i="8"/>
  <c r="H29" i="8"/>
  <c r="G29" i="8"/>
  <c r="L122" i="4"/>
  <c r="K14" i="8" s="1"/>
  <c r="J14" i="8"/>
  <c r="F231" i="4"/>
  <c r="E231" i="4"/>
  <c r="J231" i="4"/>
  <c r="I231" i="4"/>
  <c r="H231" i="4"/>
  <c r="G231" i="4"/>
  <c r="N84" i="4"/>
  <c r="K47" i="4"/>
  <c r="I96" i="6" s="1"/>
  <c r="K199" i="4" l="1"/>
  <c r="K198" i="4"/>
  <c r="K215" i="4"/>
  <c r="K222" i="4"/>
  <c r="K197" i="4"/>
  <c r="K223" i="4"/>
  <c r="K82" i="4"/>
  <c r="M22" i="4"/>
  <c r="N22" i="4" s="1"/>
  <c r="O22" i="4" s="1"/>
  <c r="M122" i="4"/>
  <c r="L14" i="8" s="1"/>
  <c r="K208" i="4"/>
  <c r="K89" i="4" s="1"/>
  <c r="K93" i="4"/>
  <c r="K133" i="4"/>
  <c r="K252" i="4"/>
  <c r="K181" i="4"/>
  <c r="K136" i="4"/>
  <c r="K182" i="4"/>
  <c r="K124" i="4"/>
  <c r="K135" i="4"/>
  <c r="K142" i="4"/>
  <c r="K151" i="4"/>
  <c r="K123" i="4"/>
  <c r="K91" i="4"/>
  <c r="K94" i="4"/>
  <c r="K96" i="4"/>
  <c r="J25" i="8" s="1"/>
  <c r="O84" i="4"/>
  <c r="K76" i="4"/>
  <c r="J20" i="8" s="1"/>
  <c r="K60" i="4"/>
  <c r="K75" i="4"/>
  <c r="L47" i="4"/>
  <c r="J96" i="6" s="1"/>
  <c r="L215" i="4" l="1"/>
  <c r="L223" i="4"/>
  <c r="L199" i="4"/>
  <c r="L198" i="4"/>
  <c r="L222" i="4"/>
  <c r="L148" i="4" s="1"/>
  <c r="L197" i="4"/>
  <c r="J24" i="8"/>
  <c r="N122" i="4"/>
  <c r="M14" i="8" s="1"/>
  <c r="K209" i="4"/>
  <c r="K149" i="4" s="1"/>
  <c r="L208" i="4"/>
  <c r="L89" i="4" s="1"/>
  <c r="K80" i="4"/>
  <c r="K253" i="4" s="1"/>
  <c r="K183" i="4"/>
  <c r="K140" i="4"/>
  <c r="L93" i="4"/>
  <c r="K150" i="4"/>
  <c r="K148" i="4"/>
  <c r="L252" i="4"/>
  <c r="K101" i="4"/>
  <c r="L136" i="4"/>
  <c r="L182" i="4"/>
  <c r="L140" i="4" s="1"/>
  <c r="L181" i="4"/>
  <c r="L124" i="4"/>
  <c r="L151" i="4"/>
  <c r="L135" i="4"/>
  <c r="L133" i="4"/>
  <c r="L142" i="4"/>
  <c r="L123" i="4"/>
  <c r="L82" i="4"/>
  <c r="M82" i="4" s="1"/>
  <c r="L76" i="4"/>
  <c r="K20" i="8" s="1"/>
  <c r="L91" i="4"/>
  <c r="L94" i="4"/>
  <c r="L96" i="4"/>
  <c r="K25" i="8" s="1"/>
  <c r="M47" i="4"/>
  <c r="K96" i="6" s="1"/>
  <c r="L60" i="4"/>
  <c r="L75" i="4"/>
  <c r="L55" i="4"/>
  <c r="M198" i="4" l="1"/>
  <c r="M222" i="4"/>
  <c r="M148" i="4" s="1"/>
  <c r="M215" i="4"/>
  <c r="M197" i="4"/>
  <c r="M199" i="4"/>
  <c r="M223" i="4"/>
  <c r="K24" i="8"/>
  <c r="O122" i="4"/>
  <c r="N14" i="8" s="1"/>
  <c r="K254" i="4"/>
  <c r="K256" i="4" s="1"/>
  <c r="J15" i="8"/>
  <c r="L254" i="4"/>
  <c r="K15" i="8"/>
  <c r="K206" i="4"/>
  <c r="L209" i="4"/>
  <c r="L149" i="4" s="1"/>
  <c r="M208" i="4"/>
  <c r="L80" i="4"/>
  <c r="L253" i="4" s="1"/>
  <c r="L183" i="4"/>
  <c r="M93" i="4"/>
  <c r="L150" i="4"/>
  <c r="M252" i="4"/>
  <c r="L101" i="4"/>
  <c r="M136" i="4"/>
  <c r="M182" i="4"/>
  <c r="M140" i="4" s="1"/>
  <c r="M181" i="4"/>
  <c r="M183" i="4" s="1"/>
  <c r="M142" i="4"/>
  <c r="M151" i="4"/>
  <c r="M135" i="4"/>
  <c r="M133" i="4"/>
  <c r="M123" i="4"/>
  <c r="M124" i="4"/>
  <c r="M96" i="4"/>
  <c r="L25" i="8" s="1"/>
  <c r="N82" i="4"/>
  <c r="O82" i="4" s="1"/>
  <c r="M55" i="4"/>
  <c r="M91" i="4"/>
  <c r="M94" i="4"/>
  <c r="M76" i="4"/>
  <c r="L20" i="8" s="1"/>
  <c r="N47" i="4"/>
  <c r="L96" i="6" s="1"/>
  <c r="M60" i="4"/>
  <c r="M75" i="4"/>
  <c r="N223" i="4" l="1"/>
  <c r="N199" i="4"/>
  <c r="N222" i="4"/>
  <c r="N148" i="4" s="1"/>
  <c r="N215" i="4"/>
  <c r="N198" i="4"/>
  <c r="N197" i="4"/>
  <c r="L24" i="8"/>
  <c r="L256" i="4"/>
  <c r="M254" i="4"/>
  <c r="L15" i="8"/>
  <c r="M209" i="4"/>
  <c r="M149" i="4" s="1"/>
  <c r="M89" i="4"/>
  <c r="N208" i="4"/>
  <c r="M80" i="4"/>
  <c r="M253" i="4" s="1"/>
  <c r="N93" i="4"/>
  <c r="M150" i="4"/>
  <c r="N252" i="4"/>
  <c r="M101" i="4"/>
  <c r="N182" i="4"/>
  <c r="N140" i="4" s="1"/>
  <c r="N181" i="4"/>
  <c r="N136" i="4"/>
  <c r="N124" i="4"/>
  <c r="N135" i="4"/>
  <c r="N142" i="4"/>
  <c r="N151" i="4"/>
  <c r="N133" i="4"/>
  <c r="N123" i="4"/>
  <c r="N75" i="4"/>
  <c r="N94" i="4"/>
  <c r="N91" i="4"/>
  <c r="N96" i="4"/>
  <c r="M25" i="8" s="1"/>
  <c r="O47" i="4"/>
  <c r="M96" i="6" s="1"/>
  <c r="N76" i="4"/>
  <c r="M20" i="8" s="1"/>
  <c r="N60" i="4"/>
  <c r="O222" i="4" l="1"/>
  <c r="O197" i="4"/>
  <c r="O223" i="4"/>
  <c r="O150" i="4" s="1"/>
  <c r="O198" i="4"/>
  <c r="O199" i="4"/>
  <c r="O215" i="4"/>
  <c r="M24" i="8"/>
  <c r="N254" i="4"/>
  <c r="M15" i="8"/>
  <c r="M256" i="4"/>
  <c r="N209" i="4"/>
  <c r="N149" i="4" s="1"/>
  <c r="N89" i="4"/>
  <c r="M206" i="4"/>
  <c r="O208" i="4"/>
  <c r="N80" i="4"/>
  <c r="N253" i="4" s="1"/>
  <c r="N183" i="4"/>
  <c r="O93" i="4"/>
  <c r="N150" i="4"/>
  <c r="O252" i="4"/>
  <c r="N101" i="4"/>
  <c r="O136" i="4"/>
  <c r="O182" i="4"/>
  <c r="O181" i="4"/>
  <c r="O124" i="4"/>
  <c r="O133" i="4"/>
  <c r="O135" i="4"/>
  <c r="O142" i="4"/>
  <c r="O151" i="4"/>
  <c r="O123" i="4"/>
  <c r="O76" i="4"/>
  <c r="N20" i="8" s="1"/>
  <c r="O60" i="4"/>
  <c r="O94" i="4"/>
  <c r="O91" i="4"/>
  <c r="O96" i="4"/>
  <c r="N25" i="8" s="1"/>
  <c r="O75" i="4"/>
  <c r="N24" i="8" l="1"/>
  <c r="N256" i="4"/>
  <c r="N206" i="4"/>
  <c r="O209" i="4"/>
  <c r="O149" i="4" s="1"/>
  <c r="O89" i="4"/>
  <c r="O80" i="4"/>
  <c r="O253" i="4" s="1"/>
  <c r="O183" i="4"/>
  <c r="O140" i="4"/>
  <c r="O148" i="4"/>
  <c r="O101" i="4"/>
  <c r="J243" i="4"/>
  <c r="J246" i="4"/>
  <c r="J221" i="4"/>
  <c r="K221" i="4" s="1"/>
  <c r="K224" i="4" s="1"/>
  <c r="J224" i="4"/>
  <c r="J222" i="4"/>
  <c r="J217" i="4" s="1"/>
  <c r="J223" i="4"/>
  <c r="J218" i="4" s="1"/>
  <c r="J197" i="4"/>
  <c r="J198" i="4"/>
  <c r="J194" i="4" s="1"/>
  <c r="J199" i="4"/>
  <c r="J181" i="4"/>
  <c r="J182" i="4"/>
  <c r="J183" i="4"/>
  <c r="J176" i="4"/>
  <c r="J177" i="4"/>
  <c r="J178" i="4"/>
  <c r="J163" i="4"/>
  <c r="J164" i="4"/>
  <c r="J20" i="4"/>
  <c r="J25" i="4"/>
  <c r="J26" i="4"/>
  <c r="J28" i="4"/>
  <c r="J10" i="4"/>
  <c r="J12" i="4"/>
  <c r="J13" i="4"/>
  <c r="J14" i="4"/>
  <c r="J15" i="4"/>
  <c r="J171" i="4"/>
  <c r="J172" i="4"/>
  <c r="J173" i="4"/>
  <c r="F181" i="4"/>
  <c r="G181" i="4"/>
  <c r="H181" i="4"/>
  <c r="I181" i="4"/>
  <c r="F182" i="4"/>
  <c r="G182" i="4"/>
  <c r="H182" i="4"/>
  <c r="I182" i="4"/>
  <c r="F183" i="4"/>
  <c r="G183" i="4"/>
  <c r="H183" i="4"/>
  <c r="I183" i="4"/>
  <c r="E183" i="4"/>
  <c r="E182" i="4"/>
  <c r="E181" i="4"/>
  <c r="F28" i="4"/>
  <c r="G28" i="4"/>
  <c r="H28" i="4"/>
  <c r="I28" i="4"/>
  <c r="E28" i="4"/>
  <c r="F26" i="4"/>
  <c r="G26" i="4"/>
  <c r="H26" i="4"/>
  <c r="I26" i="4"/>
  <c r="E26" i="4"/>
  <c r="F25" i="4"/>
  <c r="G25" i="4"/>
  <c r="H25" i="4"/>
  <c r="I25" i="4"/>
  <c r="E25" i="4"/>
  <c r="F20" i="4"/>
  <c r="G20" i="4"/>
  <c r="H20" i="4"/>
  <c r="I20" i="4"/>
  <c r="E20" i="4"/>
  <c r="F243" i="4"/>
  <c r="G243" i="4"/>
  <c r="H243" i="4"/>
  <c r="I243" i="4"/>
  <c r="F244" i="4"/>
  <c r="G244" i="4"/>
  <c r="H244" i="4"/>
  <c r="I244" i="4"/>
  <c r="F246" i="4"/>
  <c r="G246" i="4"/>
  <c r="H246" i="4"/>
  <c r="I246" i="4"/>
  <c r="E246" i="4"/>
  <c r="E244" i="4"/>
  <c r="E243" i="4"/>
  <c r="K228" i="4"/>
  <c r="L228" i="4" s="1"/>
  <c r="M228" i="4" s="1"/>
  <c r="N228" i="4" s="1"/>
  <c r="O228" i="4" s="1"/>
  <c r="F222" i="4"/>
  <c r="F217" i="4" s="1"/>
  <c r="G222" i="4"/>
  <c r="G217" i="4" s="1"/>
  <c r="H222" i="4"/>
  <c r="H217" i="4" s="1"/>
  <c r="I222" i="4"/>
  <c r="I217" i="4" s="1"/>
  <c r="F223" i="4"/>
  <c r="F218" i="4" s="1"/>
  <c r="G223" i="4"/>
  <c r="G218" i="4" s="1"/>
  <c r="H223" i="4"/>
  <c r="H218" i="4" s="1"/>
  <c r="I223" i="4"/>
  <c r="I218" i="4" s="1"/>
  <c r="E223" i="4"/>
  <c r="E218" i="4" s="1"/>
  <c r="E222" i="4"/>
  <c r="E217" i="4" s="1"/>
  <c r="F221" i="4"/>
  <c r="G221" i="4"/>
  <c r="H221" i="4"/>
  <c r="I221" i="4"/>
  <c r="F224" i="4"/>
  <c r="G224" i="4"/>
  <c r="H224" i="4"/>
  <c r="I224" i="4"/>
  <c r="E224" i="4"/>
  <c r="E221" i="4"/>
  <c r="K213" i="4"/>
  <c r="L213" i="4" s="1"/>
  <c r="M213" i="4" s="1"/>
  <c r="N213" i="4" s="1"/>
  <c r="O213" i="4" s="1"/>
  <c r="O254" i="4" l="1"/>
  <c r="O256" i="4" s="1"/>
  <c r="N15" i="8"/>
  <c r="O206" i="4"/>
  <c r="K108" i="4"/>
  <c r="K107" i="4"/>
  <c r="J187" i="4"/>
  <c r="I187" i="4"/>
  <c r="H187" i="4"/>
  <c r="E187" i="4"/>
  <c r="G187" i="4"/>
  <c r="F187" i="4"/>
  <c r="J219" i="4"/>
  <c r="F216" i="4"/>
  <c r="F219" i="4"/>
  <c r="I216" i="4"/>
  <c r="L221" i="4"/>
  <c r="G216" i="4"/>
  <c r="H219" i="4"/>
  <c r="I219" i="4"/>
  <c r="G219" i="4"/>
  <c r="H216" i="4"/>
  <c r="J216" i="4"/>
  <c r="I245" i="4"/>
  <c r="E245" i="4"/>
  <c r="H245" i="4"/>
  <c r="G245" i="4"/>
  <c r="F245" i="4"/>
  <c r="K95" i="4"/>
  <c r="K203" i="4"/>
  <c r="L203" i="4" s="1"/>
  <c r="M203" i="4" s="1"/>
  <c r="N203" i="4" s="1"/>
  <c r="O203" i="4" s="1"/>
  <c r="F197" i="4"/>
  <c r="F193" i="4" s="1"/>
  <c r="G197" i="4"/>
  <c r="G193" i="4" s="1"/>
  <c r="H197" i="4"/>
  <c r="H193" i="4" s="1"/>
  <c r="I197" i="4"/>
  <c r="I193" i="4" s="1"/>
  <c r="F198" i="4"/>
  <c r="F194" i="4" s="1"/>
  <c r="G198" i="4"/>
  <c r="G194" i="4" s="1"/>
  <c r="H198" i="4"/>
  <c r="H194" i="4" s="1"/>
  <c r="I198" i="4"/>
  <c r="I194" i="4" s="1"/>
  <c r="F199" i="4"/>
  <c r="G199" i="4"/>
  <c r="H199" i="4"/>
  <c r="I199" i="4"/>
  <c r="E199" i="4"/>
  <c r="E198" i="4"/>
  <c r="E194" i="4" s="1"/>
  <c r="E197" i="4"/>
  <c r="E193" i="4" s="1"/>
  <c r="K191" i="4"/>
  <c r="L191" i="4" s="1"/>
  <c r="M191" i="4" s="1"/>
  <c r="N191" i="4" s="1"/>
  <c r="O191" i="4" s="1"/>
  <c r="L224" i="4" l="1"/>
  <c r="L108" i="4" s="1"/>
  <c r="L107" i="4"/>
  <c r="M221" i="4"/>
  <c r="K92" i="4"/>
  <c r="L92" i="4"/>
  <c r="M224" i="4" l="1"/>
  <c r="M108" i="4" s="1"/>
  <c r="N221" i="4"/>
  <c r="M107" i="4"/>
  <c r="M92" i="4"/>
  <c r="N224" i="4" l="1"/>
  <c r="N108" i="4" s="1"/>
  <c r="O221" i="4"/>
  <c r="O224" i="4" s="1"/>
  <c r="N107" i="4"/>
  <c r="O92" i="4"/>
  <c r="N92" i="4"/>
  <c r="O107" i="4" l="1"/>
  <c r="O108" i="4"/>
  <c r="F176" i="4"/>
  <c r="G176" i="4"/>
  <c r="H176" i="4"/>
  <c r="I176" i="4"/>
  <c r="F177" i="4"/>
  <c r="G177" i="4"/>
  <c r="H177" i="4"/>
  <c r="I177" i="4"/>
  <c r="F178" i="4"/>
  <c r="G178" i="4"/>
  <c r="H178" i="4"/>
  <c r="I178" i="4"/>
  <c r="E178" i="4"/>
  <c r="E173" i="4"/>
  <c r="K160" i="4"/>
  <c r="L160" i="4" s="1"/>
  <c r="M160" i="4" s="1"/>
  <c r="N160" i="4" s="1"/>
  <c r="O160" i="4" s="1"/>
  <c r="E177" i="4"/>
  <c r="E176" i="4"/>
  <c r="F171" i="4"/>
  <c r="G171" i="4"/>
  <c r="H171" i="4"/>
  <c r="I171" i="4"/>
  <c r="F172" i="4"/>
  <c r="G172" i="4"/>
  <c r="H172" i="4"/>
  <c r="I172" i="4"/>
  <c r="F173" i="4"/>
  <c r="G173" i="4"/>
  <c r="H173" i="4"/>
  <c r="I173" i="4"/>
  <c r="E172" i="4"/>
  <c r="E171" i="4"/>
  <c r="F162" i="4"/>
  <c r="G162" i="4"/>
  <c r="H162" i="4"/>
  <c r="I162" i="4"/>
  <c r="J162" i="4"/>
  <c r="K162" i="4"/>
  <c r="L162" i="4"/>
  <c r="M162" i="4"/>
  <c r="N162" i="4"/>
  <c r="O162" i="4"/>
  <c r="F163" i="4"/>
  <c r="G163" i="4"/>
  <c r="H163" i="4"/>
  <c r="I163" i="4"/>
  <c r="F164" i="4"/>
  <c r="G164" i="4"/>
  <c r="H164" i="4"/>
  <c r="I164" i="4"/>
  <c r="E164" i="4"/>
  <c r="E163" i="4"/>
  <c r="E162" i="4"/>
  <c r="F13" i="4"/>
  <c r="G13" i="4"/>
  <c r="H13" i="4"/>
  <c r="I13" i="4"/>
  <c r="F14" i="4"/>
  <c r="G14" i="4"/>
  <c r="H14" i="4"/>
  <c r="I14" i="4"/>
  <c r="E14" i="4"/>
  <c r="E13" i="4"/>
  <c r="F12" i="4"/>
  <c r="G12" i="4"/>
  <c r="H12" i="4"/>
  <c r="I12" i="4"/>
  <c r="E12" i="4"/>
  <c r="E10" i="4"/>
  <c r="J168" i="4" l="1"/>
  <c r="J166" i="4"/>
  <c r="J167" i="4"/>
  <c r="I168" i="4"/>
  <c r="I166" i="4"/>
  <c r="I167" i="4"/>
  <c r="G167" i="4"/>
  <c r="G168" i="4"/>
  <c r="G166" i="4"/>
  <c r="F168" i="4"/>
  <c r="F167" i="4"/>
  <c r="F166" i="4"/>
  <c r="H168" i="4"/>
  <c r="H166" i="4"/>
  <c r="H167" i="4"/>
  <c r="E168" i="4"/>
  <c r="E166" i="4"/>
  <c r="E167" i="4"/>
  <c r="E195" i="4"/>
  <c r="I195" i="4"/>
  <c r="H195" i="4"/>
  <c r="G195" i="4"/>
  <c r="F195" i="4"/>
  <c r="K54" i="4" l="1"/>
  <c r="K163" i="4"/>
  <c r="K141" i="4" s="1"/>
  <c r="K52" i="4"/>
  <c r="K53" i="4"/>
  <c r="K171" i="4" l="1"/>
  <c r="K73" i="4" s="1"/>
  <c r="J18" i="8" s="1"/>
  <c r="L54" i="4"/>
  <c r="L53" i="4"/>
  <c r="L52" i="4"/>
  <c r="L163" i="4"/>
  <c r="L141" i="4" s="1"/>
  <c r="K176" i="4" l="1"/>
  <c r="K128" i="4" s="1"/>
  <c r="L171" i="4"/>
  <c r="L73" i="4" s="1"/>
  <c r="K18" i="8" s="1"/>
  <c r="M54" i="4"/>
  <c r="M52" i="4"/>
  <c r="M163" i="4"/>
  <c r="M141" i="4" s="1"/>
  <c r="M53" i="4"/>
  <c r="L176" i="4" l="1"/>
  <c r="L128" i="4" s="1"/>
  <c r="M171" i="4"/>
  <c r="M73" i="4" s="1"/>
  <c r="L18" i="8" s="1"/>
  <c r="N52" i="4"/>
  <c r="N54" i="4"/>
  <c r="N163" i="4"/>
  <c r="N141" i="4" s="1"/>
  <c r="N53" i="4"/>
  <c r="M176" i="4" l="1"/>
  <c r="M128" i="4" s="1"/>
  <c r="N171" i="4"/>
  <c r="N73" i="4" s="1"/>
  <c r="M18" i="8" s="1"/>
  <c r="O163" i="4"/>
  <c r="O141" i="4" s="1"/>
  <c r="O53" i="4"/>
  <c r="O54" i="4"/>
  <c r="O52" i="4"/>
  <c r="N176" i="4" l="1"/>
  <c r="N128" i="4" s="1"/>
  <c r="O171" i="4"/>
  <c r="O73" i="4" s="1"/>
  <c r="N18" i="8" s="1"/>
  <c r="O176" i="4" l="1"/>
  <c r="O128" i="4" s="1"/>
  <c r="I110" i="4"/>
  <c r="H110" i="4"/>
  <c r="G110" i="4"/>
  <c r="F110" i="4"/>
  <c r="E110" i="4"/>
  <c r="I97" i="4"/>
  <c r="H97" i="4"/>
  <c r="G97" i="4"/>
  <c r="F97" i="4"/>
  <c r="E97" i="4"/>
  <c r="I77" i="4"/>
  <c r="H77" i="4"/>
  <c r="G77" i="4"/>
  <c r="F77" i="4"/>
  <c r="E77" i="4"/>
  <c r="K68" i="4"/>
  <c r="L68" i="4" s="1"/>
  <c r="M68" i="4" s="1"/>
  <c r="N68" i="4" s="1"/>
  <c r="O68" i="4" s="1"/>
  <c r="I152" i="4"/>
  <c r="H152" i="4"/>
  <c r="G152" i="4"/>
  <c r="F152" i="4"/>
  <c r="E152" i="4"/>
  <c r="O145" i="4"/>
  <c r="N145" i="4"/>
  <c r="M145" i="4"/>
  <c r="L145" i="4"/>
  <c r="K145" i="4"/>
  <c r="I145" i="4"/>
  <c r="H145" i="4"/>
  <c r="G145" i="4"/>
  <c r="F145" i="4"/>
  <c r="E145" i="4"/>
  <c r="I137" i="4"/>
  <c r="H137" i="4"/>
  <c r="G137" i="4"/>
  <c r="F137" i="4"/>
  <c r="E137" i="4"/>
  <c r="K117" i="4"/>
  <c r="L117" i="4" s="1"/>
  <c r="M117" i="4" s="1"/>
  <c r="N117" i="4" s="1"/>
  <c r="O117" i="4" s="1"/>
  <c r="F15" i="4"/>
  <c r="G15" i="4"/>
  <c r="H15" i="4"/>
  <c r="I15" i="4"/>
  <c r="E15" i="4"/>
  <c r="I85" i="4" l="1"/>
  <c r="J54" i="6" s="1"/>
  <c r="J49" i="6"/>
  <c r="F103" i="4"/>
  <c r="F111" i="4" s="1"/>
  <c r="G50" i="6"/>
  <c r="H103" i="4"/>
  <c r="I50" i="6"/>
  <c r="I103" i="4"/>
  <c r="J50" i="6"/>
  <c r="E103" i="4"/>
  <c r="F50" i="6"/>
  <c r="G103" i="4"/>
  <c r="G111" i="4" s="1"/>
  <c r="G113" i="4" s="1"/>
  <c r="H50" i="6"/>
  <c r="E85" i="4"/>
  <c r="F54" i="6" s="1"/>
  <c r="F49" i="6"/>
  <c r="F85" i="4"/>
  <c r="G54" i="6" s="1"/>
  <c r="G49" i="6"/>
  <c r="G85" i="4"/>
  <c r="H54" i="6" s="1"/>
  <c r="H49" i="6"/>
  <c r="H85" i="4"/>
  <c r="I54" i="6" s="1"/>
  <c r="I49" i="6"/>
  <c r="K15" i="4"/>
  <c r="K55" i="4" s="1"/>
  <c r="H111" i="4"/>
  <c r="H113" i="4" s="1"/>
  <c r="I111" i="4"/>
  <c r="I113" i="4" s="1"/>
  <c r="E111" i="4"/>
  <c r="E155" i="4"/>
  <c r="E156" i="4" s="1"/>
  <c r="F154" i="4" s="1"/>
  <c r="F155" i="4"/>
  <c r="G155" i="4"/>
  <c r="H155" i="4"/>
  <c r="I155" i="4"/>
  <c r="E113" i="4" l="1"/>
  <c r="F113" i="4"/>
  <c r="F156" i="4"/>
  <c r="G154" i="4" s="1"/>
  <c r="G156" i="4" s="1"/>
  <c r="H154" i="4" s="1"/>
  <c r="H156" i="4" s="1"/>
  <c r="I154" i="4" s="1"/>
  <c r="I156" i="4" s="1"/>
  <c r="J154" i="4" s="1"/>
  <c r="F5" i="4" l="1"/>
  <c r="G5" i="4" s="1"/>
  <c r="H5" i="4" s="1"/>
  <c r="I5" i="4" s="1"/>
  <c r="J5" i="4" s="1"/>
  <c r="K5" i="4" s="1"/>
  <c r="L5" i="4" s="1"/>
  <c r="M5" i="4" s="1"/>
  <c r="N5" i="4" s="1"/>
  <c r="O5" i="4" s="1"/>
  <c r="E49" i="4"/>
  <c r="F49" i="4"/>
  <c r="G49" i="4"/>
  <c r="H49" i="4"/>
  <c r="I49" i="4"/>
  <c r="E56" i="4"/>
  <c r="F56" i="4"/>
  <c r="G56" i="4"/>
  <c r="H56" i="4"/>
  <c r="I56" i="4"/>
  <c r="J56" i="4"/>
  <c r="K56" i="4"/>
  <c r="L56" i="4"/>
  <c r="M56" i="4"/>
  <c r="N56" i="4"/>
  <c r="O56" i="4"/>
  <c r="J49" i="4"/>
  <c r="F45" i="4"/>
  <c r="G45" i="4" s="1"/>
  <c r="H45" i="4" s="1"/>
  <c r="I45" i="4" s="1"/>
  <c r="J45" i="4" s="1"/>
  <c r="K45" i="4" s="1"/>
  <c r="L45" i="4" s="1"/>
  <c r="M45" i="4" s="1"/>
  <c r="N45" i="4" s="1"/>
  <c r="O45" i="4" s="1"/>
  <c r="F10" i="4"/>
  <c r="G10" i="4"/>
  <c r="H10" i="4"/>
  <c r="I10" i="4"/>
  <c r="G43" i="6" l="1"/>
  <c r="D100" i="6"/>
  <c r="F43" i="6"/>
  <c r="C100" i="6"/>
  <c r="K43" i="6"/>
  <c r="H100" i="6"/>
  <c r="J43" i="6"/>
  <c r="G100" i="6"/>
  <c r="F100" i="6"/>
  <c r="I43" i="6"/>
  <c r="H43" i="6"/>
  <c r="E100" i="6"/>
  <c r="J11" i="4"/>
  <c r="I11" i="4"/>
  <c r="H11" i="4"/>
  <c r="O134" i="4"/>
  <c r="O131" i="4"/>
  <c r="M131" i="4"/>
  <c r="M134" i="4"/>
  <c r="J37" i="4"/>
  <c r="J35" i="4"/>
  <c r="N131" i="4"/>
  <c r="N134" i="4"/>
  <c r="I35" i="4"/>
  <c r="I37" i="4"/>
  <c r="K134" i="4"/>
  <c r="K131" i="4"/>
  <c r="H35" i="4"/>
  <c r="H37" i="4"/>
  <c r="L131" i="4"/>
  <c r="L134" i="4"/>
  <c r="E35" i="4"/>
  <c r="E37" i="4"/>
  <c r="G35" i="4"/>
  <c r="G37" i="4"/>
  <c r="F35" i="4"/>
  <c r="F37" i="4"/>
  <c r="K48" i="4"/>
  <c r="J58" i="4"/>
  <c r="G11" i="4"/>
  <c r="F58" i="4"/>
  <c r="E58" i="4"/>
  <c r="F11" i="4"/>
  <c r="G58" i="4"/>
  <c r="I58" i="4"/>
  <c r="H58" i="4"/>
  <c r="E11" i="4"/>
  <c r="G101" i="6" l="1"/>
  <c r="J55" i="6"/>
  <c r="J44" i="6"/>
  <c r="H44" i="6"/>
  <c r="E101" i="6"/>
  <c r="H55" i="6"/>
  <c r="D9" i="8"/>
  <c r="F55" i="6"/>
  <c r="F44" i="6"/>
  <c r="C101" i="6"/>
  <c r="E9" i="8"/>
  <c r="E12" i="8" s="1"/>
  <c r="E31" i="8" s="1"/>
  <c r="G55" i="6"/>
  <c r="G44" i="6"/>
  <c r="D101" i="6"/>
  <c r="I55" i="6"/>
  <c r="F101" i="6"/>
  <c r="I44" i="6"/>
  <c r="H101" i="6"/>
  <c r="K44" i="6"/>
  <c r="K55" i="6"/>
  <c r="D7" i="8"/>
  <c r="D12" i="8"/>
  <c r="J61" i="4"/>
  <c r="J236" i="4" s="1"/>
  <c r="J240" i="4" s="1"/>
  <c r="J241" i="4" s="1"/>
  <c r="I9" i="8"/>
  <c r="F9" i="8"/>
  <c r="H9" i="8"/>
  <c r="G9" i="8"/>
  <c r="L48" i="4"/>
  <c r="L164" i="4" s="1"/>
  <c r="K164" i="4"/>
  <c r="K49" i="4"/>
  <c r="L43" i="6" s="1"/>
  <c r="H61" i="4"/>
  <c r="H236" i="4" s="1"/>
  <c r="E61" i="4"/>
  <c r="E236" i="4" s="1"/>
  <c r="I61" i="4"/>
  <c r="I236" i="4" s="1"/>
  <c r="G61" i="4"/>
  <c r="G236" i="4" s="1"/>
  <c r="F61" i="4"/>
  <c r="F236" i="4" s="1"/>
  <c r="E7" i="8" l="1"/>
  <c r="K58" i="4"/>
  <c r="J9" i="8" s="1"/>
  <c r="J11" i="8" s="1"/>
  <c r="J12" i="8" s="1"/>
  <c r="I100" i="6"/>
  <c r="J233" i="4"/>
  <c r="H7" i="8"/>
  <c r="H12" i="8"/>
  <c r="H31" i="8" s="1"/>
  <c r="F7" i="8"/>
  <c r="F12" i="8"/>
  <c r="F31" i="8" s="1"/>
  <c r="J64" i="4"/>
  <c r="I7" i="8"/>
  <c r="I12" i="8"/>
  <c r="I31" i="8" s="1"/>
  <c r="G7" i="8"/>
  <c r="G12" i="8"/>
  <c r="G31" i="8" s="1"/>
  <c r="E234" i="4"/>
  <c r="G234" i="4"/>
  <c r="I234" i="4"/>
  <c r="H234" i="4"/>
  <c r="F234" i="4"/>
  <c r="G240" i="4"/>
  <c r="G241" i="4" s="1"/>
  <c r="G233" i="4"/>
  <c r="E240" i="4"/>
  <c r="E241" i="4" s="1"/>
  <c r="E233" i="4"/>
  <c r="H240" i="4"/>
  <c r="H241" i="4" s="1"/>
  <c r="H233" i="4"/>
  <c r="I240" i="4"/>
  <c r="I241" i="4" s="1"/>
  <c r="I233" i="4"/>
  <c r="F240" i="4"/>
  <c r="F241" i="4" s="1"/>
  <c r="F233" i="4"/>
  <c r="K17" i="4"/>
  <c r="M48" i="4"/>
  <c r="M49" i="4" s="1"/>
  <c r="N43" i="6" s="1"/>
  <c r="L49" i="4"/>
  <c r="M43" i="6" s="1"/>
  <c r="L173" i="4"/>
  <c r="L90" i="4" s="1"/>
  <c r="K23" i="8" s="1"/>
  <c r="K26" i="8" s="1"/>
  <c r="L172" i="4"/>
  <c r="L74" i="4" s="1"/>
  <c r="K19" i="8" s="1"/>
  <c r="K21" i="8" s="1"/>
  <c r="K173" i="4"/>
  <c r="K90" i="4" s="1"/>
  <c r="J23" i="8" s="1"/>
  <c r="J26" i="8" s="1"/>
  <c r="K172" i="4"/>
  <c r="K74" i="4" s="1"/>
  <c r="J19" i="8" s="1"/>
  <c r="J21" i="8" s="1"/>
  <c r="G64" i="4"/>
  <c r="E64" i="4"/>
  <c r="I64" i="4"/>
  <c r="F64" i="4"/>
  <c r="H64" i="4"/>
  <c r="I101" i="6" l="1"/>
  <c r="L55" i="6"/>
  <c r="L44" i="6"/>
  <c r="E263" i="4"/>
  <c r="F45" i="6"/>
  <c r="C102" i="6"/>
  <c r="C97" i="6"/>
  <c r="E102" i="6"/>
  <c r="E97" i="6"/>
  <c r="H45" i="6"/>
  <c r="K61" i="4"/>
  <c r="K236" i="4" s="1"/>
  <c r="K243" i="4" s="1"/>
  <c r="K83" i="4" s="1"/>
  <c r="J120" i="4"/>
  <c r="J137" i="4" s="1"/>
  <c r="H102" i="6"/>
  <c r="K45" i="6"/>
  <c r="H97" i="6"/>
  <c r="F97" i="6"/>
  <c r="I45" i="6"/>
  <c r="F102" i="6"/>
  <c r="F263" i="4"/>
  <c r="D102" i="6"/>
  <c r="D97" i="6"/>
  <c r="G45" i="6"/>
  <c r="G97" i="6"/>
  <c r="G102" i="6"/>
  <c r="J45" i="6"/>
  <c r="L58" i="4"/>
  <c r="J100" i="6"/>
  <c r="M58" i="4"/>
  <c r="K100" i="6"/>
  <c r="J28" i="8"/>
  <c r="J29" i="8" s="1"/>
  <c r="J31" i="8" s="1"/>
  <c r="H40" i="8" s="1"/>
  <c r="I263" i="4"/>
  <c r="H263" i="4"/>
  <c r="G263" i="4"/>
  <c r="J263" i="4"/>
  <c r="K28" i="8"/>
  <c r="M164" i="4"/>
  <c r="M173" i="4" s="1"/>
  <c r="M90" i="4" s="1"/>
  <c r="L23" i="8" s="1"/>
  <c r="L26" i="8" s="1"/>
  <c r="K177" i="4"/>
  <c r="K129" i="4" s="1"/>
  <c r="K178" i="4"/>
  <c r="K132" i="4" s="1"/>
  <c r="L177" i="4"/>
  <c r="L129" i="4" s="1"/>
  <c r="L178" i="4"/>
  <c r="L132" i="4" s="1"/>
  <c r="O48" i="4"/>
  <c r="N48" i="4"/>
  <c r="K240" i="4" l="1"/>
  <c r="K237" i="4" s="1"/>
  <c r="K63" i="4" s="1"/>
  <c r="K64" i="4" s="1"/>
  <c r="L45" i="6" s="1"/>
  <c r="K101" i="6"/>
  <c r="N44" i="6"/>
  <c r="N55" i="6"/>
  <c r="J101" i="6"/>
  <c r="M44" i="6"/>
  <c r="M55" i="6"/>
  <c r="L61" i="4"/>
  <c r="L236" i="4" s="1"/>
  <c r="L244" i="4" s="1"/>
  <c r="L100" i="4" s="1"/>
  <c r="K244" i="4"/>
  <c r="K100" i="4" s="1"/>
  <c r="M61" i="4"/>
  <c r="M236" i="4" s="1"/>
  <c r="M243" i="4" s="1"/>
  <c r="M83" i="4" s="1"/>
  <c r="L9" i="8"/>
  <c r="L11" i="8" s="1"/>
  <c r="L12" i="8" s="1"/>
  <c r="I102" i="6"/>
  <c r="I97" i="6"/>
  <c r="K9" i="8"/>
  <c r="K11" i="8" s="1"/>
  <c r="K12" i="8" s="1"/>
  <c r="H43" i="8"/>
  <c r="H50" i="8" s="1"/>
  <c r="H52" i="8" s="1"/>
  <c r="K29" i="8"/>
  <c r="K120" i="4"/>
  <c r="K263" i="4"/>
  <c r="K264" i="4" s="1"/>
  <c r="M172" i="4"/>
  <c r="N164" i="4"/>
  <c r="N49" i="4"/>
  <c r="O43" i="6" s="1"/>
  <c r="O164" i="4"/>
  <c r="O49" i="4"/>
  <c r="P43" i="6" s="1"/>
  <c r="M178" i="4"/>
  <c r="M132" i="4" s="1"/>
  <c r="L240" i="4" l="1"/>
  <c r="L237" i="4" s="1"/>
  <c r="L63" i="4" s="1"/>
  <c r="L64" i="4" s="1"/>
  <c r="M45" i="6" s="1"/>
  <c r="L243" i="4"/>
  <c r="L245" i="4" s="1"/>
  <c r="K238" i="4"/>
  <c r="K130" i="4" s="1"/>
  <c r="K245" i="4"/>
  <c r="M240" i="4"/>
  <c r="M237" i="4" s="1"/>
  <c r="M63" i="4" s="1"/>
  <c r="M64" i="4" s="1"/>
  <c r="M263" i="4" s="1"/>
  <c r="M244" i="4"/>
  <c r="M100" i="4" s="1"/>
  <c r="N58" i="4"/>
  <c r="M9" i="8" s="1"/>
  <c r="L100" i="6"/>
  <c r="O58" i="4"/>
  <c r="N9" i="8" s="1"/>
  <c r="M100" i="6"/>
  <c r="H45" i="8"/>
  <c r="K31" i="8"/>
  <c r="I40" i="8" s="1"/>
  <c r="K109" i="4"/>
  <c r="L262" i="4"/>
  <c r="M177" i="4"/>
  <c r="M129" i="4" s="1"/>
  <c r="M74" i="4"/>
  <c r="L19" i="8" s="1"/>
  <c r="L21" i="8" s="1"/>
  <c r="L28" i="8" s="1"/>
  <c r="L29" i="8" s="1"/>
  <c r="L31" i="8" s="1"/>
  <c r="J40" i="8" s="1"/>
  <c r="J43" i="8" s="1"/>
  <c r="J50" i="8" s="1"/>
  <c r="N173" i="4"/>
  <c r="N90" i="4" s="1"/>
  <c r="M23" i="8" s="1"/>
  <c r="M26" i="8" s="1"/>
  <c r="N172" i="4"/>
  <c r="N74" i="4" s="1"/>
  <c r="M19" i="8" s="1"/>
  <c r="M21" i="8" s="1"/>
  <c r="O173" i="4"/>
  <c r="O90" i="4" s="1"/>
  <c r="N23" i="8" s="1"/>
  <c r="N26" i="8" s="1"/>
  <c r="O172" i="4"/>
  <c r="O74" i="4" s="1"/>
  <c r="N19" i="8" s="1"/>
  <c r="N21" i="8" s="1"/>
  <c r="J102" i="6" l="1"/>
  <c r="L238" i="4"/>
  <c r="L130" i="4" s="1"/>
  <c r="L263" i="4"/>
  <c r="L264" i="4" s="1"/>
  <c r="L120" i="4"/>
  <c r="J97" i="6"/>
  <c r="L246" i="4"/>
  <c r="L125" i="4" s="1"/>
  <c r="K102" i="6"/>
  <c r="M238" i="4"/>
  <c r="M130" i="4" s="1"/>
  <c r="N61" i="4"/>
  <c r="N236" i="4" s="1"/>
  <c r="N243" i="4" s="1"/>
  <c r="N83" i="4" s="1"/>
  <c r="L83" i="4"/>
  <c r="M120" i="4"/>
  <c r="M137" i="4" s="1"/>
  <c r="N45" i="6"/>
  <c r="M101" i="6"/>
  <c r="P44" i="6"/>
  <c r="P55" i="6"/>
  <c r="L101" i="6"/>
  <c r="O55" i="6"/>
  <c r="O44" i="6"/>
  <c r="M245" i="4"/>
  <c r="M246" i="4" s="1"/>
  <c r="M125" i="4" s="1"/>
  <c r="K97" i="6"/>
  <c r="O61" i="4"/>
  <c r="O236" i="4" s="1"/>
  <c r="O244" i="4" s="1"/>
  <c r="O100" i="4" s="1"/>
  <c r="I43" i="8"/>
  <c r="I50" i="8" s="1"/>
  <c r="I52" i="8" s="1"/>
  <c r="J52" i="8"/>
  <c r="J45" i="8"/>
  <c r="N28" i="8"/>
  <c r="L137" i="4"/>
  <c r="M28" i="8"/>
  <c r="M29" i="8" s="1"/>
  <c r="N11" i="8"/>
  <c r="N12" i="8" s="1"/>
  <c r="M11" i="8"/>
  <c r="M12" i="8" s="1"/>
  <c r="N178" i="4"/>
  <c r="N132" i="4" s="1"/>
  <c r="O178" i="4"/>
  <c r="O132" i="4" s="1"/>
  <c r="O177" i="4"/>
  <c r="O129" i="4" s="1"/>
  <c r="N177" i="4"/>
  <c r="N129" i="4" s="1"/>
  <c r="N244" i="4" l="1"/>
  <c r="N100" i="4" s="1"/>
  <c r="N240" i="4"/>
  <c r="N237" i="4" s="1"/>
  <c r="N63" i="4" s="1"/>
  <c r="N64" i="4" s="1"/>
  <c r="O45" i="6" s="1"/>
  <c r="O243" i="4"/>
  <c r="O83" i="4" s="1"/>
  <c r="O240" i="4"/>
  <c r="O237" i="4" s="1"/>
  <c r="O63" i="4" s="1"/>
  <c r="O64" i="4" s="1"/>
  <c r="M102" i="6" s="1"/>
  <c r="N29" i="8"/>
  <c r="N31" i="8" s="1"/>
  <c r="L40" i="8" s="1"/>
  <c r="I45" i="8"/>
  <c r="M31" i="8"/>
  <c r="K40" i="8" s="1"/>
  <c r="M262" i="4"/>
  <c r="M264" i="4" s="1"/>
  <c r="L109" i="4"/>
  <c r="N245" i="4" l="1"/>
  <c r="N246" i="4" s="1"/>
  <c r="N125" i="4" s="1"/>
  <c r="N263" i="4"/>
  <c r="N238" i="4"/>
  <c r="N130" i="4" s="1"/>
  <c r="O238" i="4"/>
  <c r="O130" i="4" s="1"/>
  <c r="O245" i="4"/>
  <c r="L97" i="6"/>
  <c r="L102" i="6"/>
  <c r="N120" i="4"/>
  <c r="M97" i="6"/>
  <c r="O263" i="4"/>
  <c r="P45" i="6"/>
  <c r="O120" i="4"/>
  <c r="K43" i="8"/>
  <c r="K50" i="8" s="1"/>
  <c r="K52" i="8" s="1"/>
  <c r="L43" i="8"/>
  <c r="L50" i="8" s="1"/>
  <c r="M40" i="8"/>
  <c r="L44" i="8" s="1"/>
  <c r="L51" i="8" s="1"/>
  <c r="J57" i="8" s="1"/>
  <c r="N262" i="4"/>
  <c r="M109" i="4"/>
  <c r="N137" i="4" l="1"/>
  <c r="N264" i="4"/>
  <c r="N109" i="4" s="1"/>
  <c r="O246" i="4"/>
  <c r="O125" i="4" s="1"/>
  <c r="O137" i="4" s="1"/>
  <c r="L45" i="8"/>
  <c r="J56" i="8"/>
  <c r="K45" i="8"/>
  <c r="L52" i="8"/>
  <c r="E56" i="8" s="1"/>
  <c r="O262" i="4" l="1"/>
  <c r="O264" i="4" s="1"/>
  <c r="O109" i="4" s="1"/>
  <c r="E57" i="8"/>
  <c r="E14" i="6" s="1"/>
  <c r="J58" i="8"/>
  <c r="I57" i="8" s="1"/>
  <c r="J77" i="4"/>
  <c r="J85" i="4" l="1"/>
  <c r="K54" i="6" s="1"/>
  <c r="D59" i="6"/>
  <c r="E61" i="8"/>
  <c r="I56" i="8"/>
  <c r="I58" i="8" s="1"/>
  <c r="J97" i="4"/>
  <c r="K50" i="6" s="1"/>
  <c r="K49" i="6" l="1"/>
  <c r="E63" i="8"/>
  <c r="J61" i="8" s="1"/>
  <c r="J63" i="8" s="1"/>
  <c r="D61" i="6" s="1"/>
  <c r="C69" i="6"/>
  <c r="J152" i="4"/>
  <c r="J193" i="4"/>
  <c r="J195" i="4"/>
  <c r="D60" i="6" l="1"/>
  <c r="M95" i="4"/>
  <c r="L95" i="4"/>
  <c r="K81" i="4"/>
  <c r="M81" i="4"/>
  <c r="N95" i="4" l="1"/>
  <c r="O95" i="4" l="1"/>
  <c r="O81" i="4"/>
  <c r="J110" i="4" l="1"/>
  <c r="K110" i="4" l="1"/>
  <c r="L110" i="4" l="1"/>
  <c r="M110" i="4"/>
  <c r="O110" i="4" l="1"/>
  <c r="N110" i="4"/>
  <c r="M97" i="4"/>
  <c r="M103" i="4" s="1"/>
  <c r="M111" i="4" s="1"/>
  <c r="O97" i="4"/>
  <c r="O103" i="4" s="1"/>
  <c r="O111" i="4" l="1"/>
  <c r="N97" i="4"/>
  <c r="N103" i="4" s="1"/>
  <c r="N111" i="4" s="1"/>
  <c r="L97" i="4"/>
  <c r="L103" i="4" s="1"/>
  <c r="L111" i="4" s="1"/>
  <c r="K152" i="4"/>
  <c r="N152" i="4" l="1"/>
  <c r="N155" i="4" s="1"/>
  <c r="M152" i="4"/>
  <c r="M155" i="4" s="1"/>
  <c r="L152" i="4"/>
  <c r="L155" i="4" s="1"/>
  <c r="O152" i="4"/>
  <c r="O155" i="4" s="1"/>
  <c r="J145" i="4" l="1"/>
  <c r="J155" i="4" s="1"/>
  <c r="J156" i="4" s="1"/>
  <c r="K154" i="4" s="1"/>
  <c r="L81" i="4" l="1"/>
  <c r="N81" i="4"/>
  <c r="K97" i="4"/>
  <c r="K103" i="4" s="1"/>
  <c r="K111" i="4" s="1"/>
  <c r="L49" i="6" l="1"/>
  <c r="M49" i="6"/>
  <c r="N49" i="6"/>
  <c r="O49" i="6"/>
  <c r="P49" i="6"/>
  <c r="L50" i="6"/>
  <c r="M50" i="6"/>
  <c r="N50" i="6"/>
  <c r="O50" i="6"/>
  <c r="P50" i="6"/>
  <c r="L54" i="6"/>
  <c r="M54" i="6"/>
  <c r="N54" i="6"/>
  <c r="O54" i="6"/>
  <c r="P54" i="6"/>
  <c r="K72" i="4"/>
  <c r="L72" i="4"/>
  <c r="M72" i="4"/>
  <c r="N72" i="4"/>
  <c r="O72" i="4"/>
  <c r="K77" i="4"/>
  <c r="L77" i="4"/>
  <c r="M77" i="4"/>
  <c r="N77" i="4"/>
  <c r="O77" i="4"/>
  <c r="K85" i="4"/>
  <c r="L85" i="4"/>
  <c r="M85" i="4"/>
  <c r="N85" i="4"/>
  <c r="O85" i="4"/>
  <c r="J100" i="4"/>
  <c r="J103" i="4"/>
  <c r="J111" i="4"/>
  <c r="J113" i="4"/>
  <c r="K113" i="4"/>
  <c r="L113" i="4"/>
  <c r="M113" i="4"/>
  <c r="N113" i="4"/>
  <c r="O113" i="4"/>
  <c r="K114" i="4"/>
  <c r="L114" i="4"/>
  <c r="M114" i="4"/>
  <c r="N114" i="4"/>
  <c r="O114" i="4"/>
  <c r="K125" i="4"/>
  <c r="K137" i="4"/>
  <c r="L154" i="4"/>
  <c r="M154" i="4"/>
  <c r="N154" i="4"/>
  <c r="O154" i="4"/>
  <c r="K155" i="4"/>
  <c r="K156" i="4"/>
  <c r="L156" i="4"/>
  <c r="M156" i="4"/>
  <c r="N156" i="4"/>
  <c r="O156" i="4"/>
  <c r="J234" i="4"/>
  <c r="J244" i="4"/>
  <c r="J245" i="4"/>
  <c r="K246" i="4"/>
</calcChain>
</file>

<file path=xl/sharedStrings.xml><?xml version="1.0" encoding="utf-8"?>
<sst xmlns="http://schemas.openxmlformats.org/spreadsheetml/2006/main" count="392" uniqueCount="296">
  <si>
    <t>Assets</t>
  </si>
  <si>
    <t>Cash and cash equivalents</t>
  </si>
  <si>
    <t>Accounts payable</t>
  </si>
  <si>
    <t>Additional paid-in capital</t>
  </si>
  <si>
    <t>Balance Sheet</t>
  </si>
  <si>
    <t>Revenues</t>
  </si>
  <si>
    <t>Income Statement</t>
  </si>
  <si>
    <t>Current assets:</t>
  </si>
  <si>
    <t>Gross Profit</t>
  </si>
  <si>
    <t>Gross Margin</t>
  </si>
  <si>
    <t>Cash Flow Statement</t>
  </si>
  <si>
    <t>Changes in operating assets and liabilities:</t>
  </si>
  <si>
    <t>Accounts receivable</t>
  </si>
  <si>
    <t>Purchase of intangible assets</t>
  </si>
  <si>
    <t>Research &amp; Development</t>
  </si>
  <si>
    <t>Sales &amp; Marketing</t>
  </si>
  <si>
    <t>General &amp; Administrative</t>
  </si>
  <si>
    <t>Revenue Growth</t>
  </si>
  <si>
    <t>Research &amp; Development (% of Revenue)</t>
  </si>
  <si>
    <t>Sales &amp; Marketing (% of Revenue)</t>
  </si>
  <si>
    <t>General &amp; Administrative (% of Revenue)</t>
  </si>
  <si>
    <t>All figures in USD thousands unless stated</t>
  </si>
  <si>
    <t>Accounts Receivable Days</t>
  </si>
  <si>
    <t>Accounts Payable Days</t>
  </si>
  <si>
    <t>Days in Period</t>
  </si>
  <si>
    <t>Balance Sheet Check</t>
  </si>
  <si>
    <t>Working Capital &amp; PP&amp;E Schedule</t>
  </si>
  <si>
    <t>Revenue</t>
  </si>
  <si>
    <t>Cost of Goods Sold</t>
  </si>
  <si>
    <t>Working Capital</t>
  </si>
  <si>
    <t>Property, Plant &amp; Equipment (PP&amp;E)</t>
  </si>
  <si>
    <t>Worst Cast</t>
  </si>
  <si>
    <t>Accounts Payable</t>
  </si>
  <si>
    <t>Purchase of Property &amp; Equipment</t>
  </si>
  <si>
    <t>Cost of Goods Sold (COGS)</t>
  </si>
  <si>
    <t>Restructuring Costs</t>
  </si>
  <si>
    <t>Total Operating Expenses</t>
  </si>
  <si>
    <t>Interest Expense, net</t>
  </si>
  <si>
    <t>Income Before Tax (EBT)</t>
  </si>
  <si>
    <t>Income Tax (benefit) Expense</t>
  </si>
  <si>
    <t>Operating Income (EBIT)</t>
  </si>
  <si>
    <t>Net Income (loss)</t>
  </si>
  <si>
    <t>Operarting Expenese</t>
  </si>
  <si>
    <t>Cash flows from operating activities:</t>
  </si>
  <si>
    <t>Net income</t>
  </si>
  <si>
    <t>Depreciation and amortization</t>
  </si>
  <si>
    <t>Stock-based compensation</t>
  </si>
  <si>
    <t>Net loss (gain) on disposals and impairments of assets</t>
  </si>
  <si>
    <t>Deferred income taxes</t>
  </si>
  <si>
    <t>Inventories</t>
  </si>
  <si>
    <t>Income taxes</t>
  </si>
  <si>
    <t>Prepaid expenses and other assets</t>
  </si>
  <si>
    <t>Customer prepayments</t>
  </si>
  <si>
    <t>Accrued compensation and benefits</t>
  </si>
  <si>
    <t>Other taxes and withholding</t>
  </si>
  <si>
    <t>Other accruals and liabilities</t>
  </si>
  <si>
    <t>Net cash provided by operating activities</t>
  </si>
  <si>
    <t>Cash flows from investing activities:</t>
  </si>
  <si>
    <t>Purchases of property and equipment</t>
  </si>
  <si>
    <t>Proceeds from sales of property and equipment</t>
  </si>
  <si>
    <t>Net cash used in investing activities</t>
  </si>
  <si>
    <t>Cash flows from financing activities:</t>
  </si>
  <si>
    <t>Repurchases of common stock</t>
  </si>
  <si>
    <t>Net increase (decrease) in short-term borrowings</t>
  </si>
  <si>
    <t>Proceeds from issuance of common stock</t>
  </si>
  <si>
    <t>Debt issuance costs</t>
  </si>
  <si>
    <t>Net cash used in financing activities</t>
  </si>
  <si>
    <t>Net (decrease) increase in cash and cash equivalents</t>
  </si>
  <si>
    <t>Cash and cash equivalents, at beginning of period</t>
  </si>
  <si>
    <t>Cash and cash equivalents, at end of period</t>
  </si>
  <si>
    <t>Prepaid expenses</t>
  </si>
  <si>
    <t>Other current assets</t>
  </si>
  <si>
    <t>Total current assets</t>
  </si>
  <si>
    <t>Non-current assets:</t>
  </si>
  <si>
    <t>Property and equipment, net</t>
  </si>
  <si>
    <t>Operating lease right-of-use assets</t>
  </si>
  <si>
    <t>Goodwill and intangible assets, net</t>
  </si>
  <si>
    <t>Other non-current assets</t>
  </si>
  <si>
    <t>Total assets</t>
  </si>
  <si>
    <t>Liabilities and Shareholders’ Deficit</t>
  </si>
  <si>
    <t>Current liabilities:</t>
  </si>
  <si>
    <t>Borrowings under revolving credit facility</t>
  </si>
  <si>
    <t>Accrued sales returns</t>
  </si>
  <si>
    <t>Compensation and benefits</t>
  </si>
  <si>
    <t>Taxes and withholding</t>
  </si>
  <si>
    <t>Operating lease liabilities</t>
  </si>
  <si>
    <t>Other current liabilities</t>
  </si>
  <si>
    <t>Total current liabilities</t>
  </si>
  <si>
    <t>Non-current liabilities:</t>
  </si>
  <si>
    <t>Other non-current liabilities</t>
  </si>
  <si>
    <t>Total liabilities</t>
  </si>
  <si>
    <t>Shareholders’ deficit:</t>
  </si>
  <si>
    <t>Accumulated deficit</t>
  </si>
  <si>
    <t>Total shareholders’ deficit</t>
  </si>
  <si>
    <t>Total liabilities and shareholders’ deficit</t>
  </si>
  <si>
    <t>Adjustments to reconcile net income to net cash provided by  operating activities:</t>
  </si>
  <si>
    <t>Investment in non-marketable equity securities</t>
  </si>
  <si>
    <t>Issuance of notes receivable</t>
  </si>
  <si>
    <t>Deferred Income Taxes</t>
  </si>
  <si>
    <t>Undesignated preferred stock</t>
  </si>
  <si>
    <t>Common stock</t>
  </si>
  <si>
    <t>Assumptions &amp; Drivers</t>
  </si>
  <si>
    <t>Restructuring Cost (% of Revenue)</t>
  </si>
  <si>
    <t>Inventory Days</t>
  </si>
  <si>
    <t>Change in Working Capital</t>
  </si>
  <si>
    <t>Accounts Receivable</t>
  </si>
  <si>
    <t>Inventory</t>
  </si>
  <si>
    <t>Operating Lease Schedule</t>
  </si>
  <si>
    <t>Operating Lease, Right-of-Assets</t>
  </si>
  <si>
    <t>Operating Lease Liabilties, Non-Current (% of revenue)</t>
  </si>
  <si>
    <t>Revolving Credit Line Schedule</t>
  </si>
  <si>
    <t>Common Stock</t>
  </si>
  <si>
    <t>Additional Paid-in Capital</t>
  </si>
  <si>
    <t>Repurchase of common stock</t>
  </si>
  <si>
    <t>Proceeds from Issuance of Common Stock</t>
  </si>
  <si>
    <t>Income Tax Schedule</t>
  </si>
  <si>
    <t>Deferred Income Taxes (non-current liability)</t>
  </si>
  <si>
    <t>Deferred Income Taxes (non-current asset)</t>
  </si>
  <si>
    <t>Increase/decrease in Deferred Income Tax</t>
  </si>
  <si>
    <t>Borrowings under Revolving Credit Facility</t>
  </si>
  <si>
    <t>Operating Lease, Right-of-Assets (% of Revenue)</t>
  </si>
  <si>
    <t>Other Accruals &amp; Liabilities</t>
  </si>
  <si>
    <t>Accumulated Deficit, Ending</t>
  </si>
  <si>
    <t>Interest Expense (% of Revenue)</t>
  </si>
  <si>
    <t>Property &amp; Equipment</t>
  </si>
  <si>
    <t>Property &amp; equipment (% of revenue)</t>
  </si>
  <si>
    <t>Customer Prepayments (% of Revenue)</t>
  </si>
  <si>
    <t>Other Current Assets (% of Revenue)</t>
  </si>
  <si>
    <t>Other Current Liabilities (% of Revenue)</t>
  </si>
  <si>
    <t>Other Non-Current Assets (YoY Growth Rate)</t>
  </si>
  <si>
    <t>Other Non-Current Liabilities (YoY Growth Rate)</t>
  </si>
  <si>
    <t>Prepaid Expenses (% of Revenue)</t>
  </si>
  <si>
    <t>Goodwill &amp; Intangible Assets, Net (YoY Growth Rate)</t>
  </si>
  <si>
    <t>Customer prepayments (% of Revenue)</t>
  </si>
  <si>
    <t>Accrued sales returns (% of Revenue)</t>
  </si>
  <si>
    <t>Compensation &amp; Benefits (% of Total Operating Expense)</t>
  </si>
  <si>
    <t>Tax &amp; withholdings (% of Revenue)</t>
  </si>
  <si>
    <t>Stock-Based Compensation (% of Revenue)</t>
  </si>
  <si>
    <t>Net loss (gain) on disposal &amp; impairment of assets (% of revenue)</t>
  </si>
  <si>
    <t>Prepaid expenses &amp; other assets (% of total operating expense)</t>
  </si>
  <si>
    <t>Accrued Compensation &amp; Benefits (% of total operating expense)</t>
  </si>
  <si>
    <t>Other Tax &amp; Withholding</t>
  </si>
  <si>
    <t>Issuance of Notes Receivables</t>
  </si>
  <si>
    <t>Debt Issuance Cost (% of Revenue)</t>
  </si>
  <si>
    <t>Income Tax (% of Revenue)</t>
  </si>
  <si>
    <t>Change in Income Tax (% of Income Tax Expense)</t>
  </si>
  <si>
    <t>Purchase of Property &amp; Equipment (% of revenue)</t>
  </si>
  <si>
    <t>Proceeds from sale of property &amp; equipment (Regression Analysis)</t>
  </si>
  <si>
    <t>Operating Lease Liabilities, Current</t>
  </si>
  <si>
    <t>Operating Lease Liabilities, Non-Current</t>
  </si>
  <si>
    <t>EBT</t>
  </si>
  <si>
    <t>Effective Income Tax Rate</t>
  </si>
  <si>
    <t>Calculated Income Tax Expense (Benefit)</t>
  </si>
  <si>
    <t>Difference Between Income Tax Expense</t>
  </si>
  <si>
    <t>Change in Income Tax (Regression Analysis)</t>
  </si>
  <si>
    <t>Total Deferred Income Tax</t>
  </si>
  <si>
    <t>Deferred Income Tax Asset (% of EBT)</t>
  </si>
  <si>
    <t>Deferred Income Tax Liability (% of EBT)</t>
  </si>
  <si>
    <t>Common Stock (YoY)</t>
  </si>
  <si>
    <t>Additional Paid-in Capital (YoY)</t>
  </si>
  <si>
    <t>Repurchase of common stock (% of Revenue)</t>
  </si>
  <si>
    <t>Proceeds from Issuance of Common Stock (% of Revenue)</t>
  </si>
  <si>
    <t>Revenue (YoY)</t>
  </si>
  <si>
    <t>Depreciation Schedule</t>
  </si>
  <si>
    <t>Depreciation &amp; Amortization</t>
  </si>
  <si>
    <t>Borrowings under Revolving Credit Facility (% of Revenue)</t>
  </si>
  <si>
    <t>Accumulated Deficit, Beginning</t>
  </si>
  <si>
    <t xml:space="preserve">Net Income </t>
  </si>
  <si>
    <t>Proceeds from sale of property &amp; equipment (% of PP&amp;E)</t>
  </si>
  <si>
    <t>Accumulated Deficit Schedule</t>
  </si>
  <si>
    <t>Operating Lease Liabiltiies, Current (% of Revenue)</t>
  </si>
  <si>
    <t>Equity Schedule</t>
  </si>
  <si>
    <t>Unlevered Free Cash Flow</t>
  </si>
  <si>
    <t>Adjusted NOPAT</t>
  </si>
  <si>
    <t>Depreciation &amp; Amortization (D&amp;A)</t>
  </si>
  <si>
    <t>Purchase of Property &amp; Equipment (CAPEX)</t>
  </si>
  <si>
    <t>Change in Net Working Capital</t>
  </si>
  <si>
    <t>Other Current Assets</t>
  </si>
  <si>
    <t>Total</t>
  </si>
  <si>
    <t>Accrued Expenses</t>
  </si>
  <si>
    <t>Other Current Liabilities</t>
  </si>
  <si>
    <t>Net Working Capital (NWC)</t>
  </si>
  <si>
    <t xml:space="preserve">Add: Operating Lease Interest </t>
  </si>
  <si>
    <t>Less: Income Taxes</t>
  </si>
  <si>
    <t>Income tax (% of EBIT)</t>
  </si>
  <si>
    <t>Unlevered Free Cash Flow (UFCF)</t>
  </si>
  <si>
    <t>Weighted Average Cost of Capital (WACC)</t>
  </si>
  <si>
    <t>Number of Shares Outstanding</t>
  </si>
  <si>
    <t>Market Value of Equity (numbers in thousands unless stated)</t>
  </si>
  <si>
    <t>Market Value of Equity ($)</t>
  </si>
  <si>
    <t>Debt</t>
  </si>
  <si>
    <t>(Based on Q4 2024 Data)</t>
  </si>
  <si>
    <t>Total Debt</t>
  </si>
  <si>
    <t>Risk-free Rate</t>
  </si>
  <si>
    <t>Beta</t>
  </si>
  <si>
    <t>Expected Market Return</t>
  </si>
  <si>
    <t>Equity Risk Premium</t>
  </si>
  <si>
    <t>Cost of Equity</t>
  </si>
  <si>
    <t>Annual Interest Expense</t>
  </si>
  <si>
    <t>Before Tax Cost of Debt</t>
  </si>
  <si>
    <t>Tax Rate</t>
  </si>
  <si>
    <t>After-Tax Cost of Debt</t>
  </si>
  <si>
    <t>Total Value</t>
  </si>
  <si>
    <t>Weight of Equity</t>
  </si>
  <si>
    <t>Weight of Debt</t>
  </si>
  <si>
    <t>WACC</t>
  </si>
  <si>
    <t>Discounted Free Cashflow Schedule (DCF): Perpetuity Method</t>
  </si>
  <si>
    <t>Terminal Growth Rate</t>
  </si>
  <si>
    <t>Valuation</t>
  </si>
  <si>
    <t>Discrete Forecast</t>
  </si>
  <si>
    <t>Terminal</t>
  </si>
  <si>
    <t>(YY-MM-DD)</t>
  </si>
  <si>
    <t>Fiscal Year End</t>
  </si>
  <si>
    <t>Time Period</t>
  </si>
  <si>
    <t>Terminal Value</t>
  </si>
  <si>
    <t>Total Cash Flow</t>
  </si>
  <si>
    <t>ENTERPRISE VALUE</t>
  </si>
  <si>
    <t>Manual Method</t>
  </si>
  <si>
    <t>XNPV Method</t>
  </si>
  <si>
    <t>PV of Discrete</t>
  </si>
  <si>
    <t>PV of Terminal</t>
  </si>
  <si>
    <t>Enterprise Value</t>
  </si>
  <si>
    <t>Equity Value</t>
  </si>
  <si>
    <t>EQUITY VALUE</t>
  </si>
  <si>
    <t>Less: Net Debt</t>
  </si>
  <si>
    <t>NET DEBT (Q4 2024 Data)</t>
  </si>
  <si>
    <t>Net Debt</t>
  </si>
  <si>
    <t>Cash</t>
  </si>
  <si>
    <t>EQUITY VALUE PER SHARE</t>
  </si>
  <si>
    <t>Shares Outstanding</t>
  </si>
  <si>
    <t>Equity Vaue per Share</t>
  </si>
  <si>
    <t>Share Price (As on 30 Dec 2024)</t>
  </si>
  <si>
    <t>($/sh)</t>
  </si>
  <si>
    <t>Unadjusted Cash Flow</t>
  </si>
  <si>
    <t>Manually Discounted Cash Flow</t>
  </si>
  <si>
    <t>Current Share Price</t>
  </si>
  <si>
    <t>Equity Value Per Share</t>
  </si>
  <si>
    <t>Sensitivity Analysis</t>
  </si>
  <si>
    <t>Premium (Discount) on Share Price</t>
  </si>
  <si>
    <t>EQUITY</t>
  </si>
  <si>
    <t>DEBT</t>
  </si>
  <si>
    <t>Public Company Comparable</t>
  </si>
  <si>
    <t>Peer Companies</t>
  </si>
  <si>
    <t>Ticker</t>
  </si>
  <si>
    <t>Share Price</t>
  </si>
  <si>
    <t>EBITDA</t>
  </si>
  <si>
    <t>EV / EBITDA</t>
  </si>
  <si>
    <t>EPS</t>
  </si>
  <si>
    <t>P / E Ratio</t>
  </si>
  <si>
    <t>Sleep Number Corp.</t>
  </si>
  <si>
    <t>SNBR</t>
  </si>
  <si>
    <t>PRPL</t>
  </si>
  <si>
    <t>LZB</t>
  </si>
  <si>
    <t>(LTM)</t>
  </si>
  <si>
    <t>La-Z-Boy Inc.</t>
  </si>
  <si>
    <t>Purple Innovation Inc.</t>
  </si>
  <si>
    <t>SGI</t>
  </si>
  <si>
    <t>Target Company Valuation</t>
  </si>
  <si>
    <t>Average</t>
  </si>
  <si>
    <t>Median</t>
  </si>
  <si>
    <t>Minimum</t>
  </si>
  <si>
    <t>Maximum</t>
  </si>
  <si>
    <t>Income Tax Expense</t>
  </si>
  <si>
    <t>Dashboard Data</t>
  </si>
  <si>
    <t>HISTORICAL REVENUE &amp; NET INCOME</t>
  </si>
  <si>
    <t>Net Income</t>
  </si>
  <si>
    <t>Operating Margin</t>
  </si>
  <si>
    <t>Net Margin</t>
  </si>
  <si>
    <t>PROFITABILITY RATIOS</t>
  </si>
  <si>
    <t>Dashboard</t>
  </si>
  <si>
    <t>Financial Performance Overview (2019 - 2024)</t>
  </si>
  <si>
    <t>LIQUIDITY RATIOS</t>
  </si>
  <si>
    <t>LEVERAGE RATIOS</t>
  </si>
  <si>
    <t>Current Ratio</t>
  </si>
  <si>
    <t>Quick Ratio</t>
  </si>
  <si>
    <t>Interest Coverage Ratio</t>
  </si>
  <si>
    <t>Debt-to-Asset Ratio</t>
  </si>
  <si>
    <t>Company Name</t>
  </si>
  <si>
    <t>Predicted Stock Price</t>
  </si>
  <si>
    <t>Overview &amp; Key Trends (2019 - 2029)</t>
  </si>
  <si>
    <t>Enterprise Value (DCF)</t>
  </si>
  <si>
    <t>(USD thousands)</t>
  </si>
  <si>
    <t>(Mar 24, 2025)</t>
  </si>
  <si>
    <t>(Apr, 23, 2025)</t>
  </si>
  <si>
    <t>CAGR (2019 to 2024)</t>
  </si>
  <si>
    <t>P/E Ratio</t>
  </si>
  <si>
    <t>EV/EBITDA Ratio</t>
  </si>
  <si>
    <t>Valuation Model</t>
  </si>
  <si>
    <t>DCF</t>
  </si>
  <si>
    <t>Comparable Company Analysis</t>
  </si>
  <si>
    <t>Financial Model</t>
  </si>
  <si>
    <t>Table of Contents</t>
  </si>
  <si>
    <t>SomniGroup International Inc.</t>
  </si>
  <si>
    <t>Developed By:</t>
  </si>
  <si>
    <t>Sheersh Patel</t>
  </si>
  <si>
    <t>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</si>
</sst>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quot;₹&quot;\ * #,##0.00_ ;_ &quot;₹&quot;\ * \-#,##0.00_ ;_ &quot;₹&quot;\ * &quot;-&quot;??_ ;_ @_ "/>
    <numFmt numFmtId="43" formatCode="_ * #,##0.00_ ;_ * \-#,##0.00_ ;_ * &quot;-&quot;??_ ;_ @_ "/>
    <numFmt numFmtId="164" formatCode="0&quot;A&quot;"/>
    <numFmt numFmtId="165" formatCode="_(#,##0_);\(#,##0\);_(&quot;–&quot;_);_(@_)"/>
    <numFmt numFmtId="166" formatCode="0&quot;F&quot;"/>
    <numFmt numFmtId="167" formatCode="0.0%"/>
    <numFmt numFmtId="168" formatCode="_-* #,##0.00_-;\-* #,##0.00_-;_-* &quot;-&quot;??_-;_-@_-"/>
    <numFmt numFmtId="169" formatCode="_ * #,##0_ ;_ * \-#,##0_ ;_ * &quot;-&quot;??_ ;_ @_ "/>
    <numFmt numFmtId="170" formatCode="_(#,##0.0%_);\(#,##0.0%\);_(&quot;–&quot;_);_(@_)"/>
    <numFmt numFmtId="171" formatCode="_(#,##0.00%_);\(#,##0.00%\);_(&quot;–&quot;_);_(@_)"/>
    <numFmt numFmtId="172" formatCode="_(#,##0.0_);\(#,##0.0\);_(&quot;–&quot;_);_(@_)"/>
    <numFmt numFmtId="173" formatCode="_(#,##0.00_);\(#,##0.00\);_(&quot;–&quot;_);_(@_)"/>
    <numFmt numFmtId="174" formatCode="yy/mm/dd"/>
    <numFmt numFmtId="175" formatCode="0.0&quot;x&quot;"/>
    <numFmt numFmtId="176" formatCode="_-[$$-409]* #,##0.00_ ;_-[$$-409]* \-#,##0.00\ ;_-[$$-409]* &quot;-&quot;??_ ;_-@_ "/>
  </numFmts>
  <fonts count="23">
    <font>
      <sz val="11"/>
      <color theme="1"/>
      <name val="Aptos Narrow"/>
      <family val="2"/>
      <scheme val="minor"/>
    </font>
    <font>
      <sz val="11"/>
      <color theme="1"/>
      <name val="Aptos Narrow"/>
      <family val="2"/>
      <scheme val="minor"/>
    </font>
    <font>
      <b/>
      <sz val="11"/>
      <color rgb="FF3271D2"/>
      <name val="Aptos Narrow"/>
      <family val="2"/>
      <scheme val="minor"/>
    </font>
    <font>
      <b/>
      <sz val="9.5"/>
      <color theme="0"/>
      <name val="Calibri"/>
      <family val="2"/>
    </font>
    <font>
      <sz val="9.5"/>
      <color theme="1"/>
      <name val="Calibri"/>
      <family val="2"/>
    </font>
    <font>
      <b/>
      <sz val="9.5"/>
      <color rgb="FF3271D2"/>
      <name val="Calibri"/>
      <family val="2"/>
    </font>
    <font>
      <b/>
      <sz val="9.5"/>
      <color theme="1"/>
      <name val="Calibri"/>
      <family val="2"/>
    </font>
    <font>
      <sz val="9.5"/>
      <color rgb="FF3271D2"/>
      <name val="Calibri"/>
      <family val="2"/>
    </font>
    <font>
      <b/>
      <sz val="10"/>
      <color theme="1"/>
      <name val="Calibri"/>
      <family val="2"/>
    </font>
    <font>
      <sz val="11"/>
      <color theme="0"/>
      <name val="Aptos Narrow"/>
      <family val="2"/>
      <scheme val="minor"/>
    </font>
    <font>
      <sz val="10"/>
      <name val="Arial"/>
      <family val="2"/>
    </font>
    <font>
      <sz val="10"/>
      <name val="Bookman"/>
      <family val="1"/>
    </font>
    <font>
      <b/>
      <sz val="10"/>
      <color theme="0"/>
      <name val="Calibri"/>
      <family val="2"/>
    </font>
    <font>
      <sz val="9.5"/>
      <color theme="0"/>
      <name val="Calibri"/>
      <family val="2"/>
    </font>
    <font>
      <b/>
      <sz val="11"/>
      <color theme="1"/>
      <name val="Aptos Narrow"/>
      <family val="2"/>
      <scheme val="minor"/>
    </font>
    <font>
      <sz val="9"/>
      <color theme="1"/>
      <name val="Aptos Narrow"/>
      <family val="2"/>
      <scheme val="minor"/>
    </font>
    <font>
      <b/>
      <i/>
      <sz val="9"/>
      <color rgb="FF3271D2"/>
      <name val="Aptos Narrow"/>
      <family val="2"/>
      <scheme val="minor"/>
    </font>
    <font>
      <i/>
      <sz val="9"/>
      <color theme="1"/>
      <name val="Calibri"/>
      <family val="2"/>
    </font>
    <font>
      <u/>
      <sz val="11"/>
      <color theme="10"/>
      <name val="Aptos Narrow"/>
      <family val="2"/>
      <scheme val="minor"/>
    </font>
    <font>
      <sz val="8"/>
      <color theme="1"/>
      <name val="Calibri"/>
      <family val="2"/>
    </font>
    <font>
      <b/>
      <sz val="20"/>
      <color rgb="FF004B8C"/>
      <name val="Calibri"/>
      <family val="2"/>
    </font>
    <font>
      <b/>
      <sz val="12"/>
      <color theme="1"/>
      <name val="Calibri"/>
      <family val="2"/>
    </font>
    <font>
      <b/>
      <sz val="11"/>
      <color theme="1" tint="0.499984740745262"/>
      <name val="Calibri"/>
      <family val="2"/>
    </font>
  </fonts>
  <fills count="9">
    <fill>
      <patternFill patternType="none"/>
    </fill>
    <fill>
      <patternFill patternType="gray125"/>
    </fill>
    <fill>
      <patternFill patternType="solid">
        <fgColor rgb="FF3271D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rgb="FF004B8C"/>
        <bgColor indexed="64"/>
      </patternFill>
    </fill>
  </fills>
  <borders count="42">
    <border>
      <left/>
      <right/>
      <top/>
      <bottom/>
      <diagonal/>
    </border>
    <border>
      <left/>
      <right/>
      <top style="medium">
        <color auto="1"/>
      </top>
      <bottom style="medium">
        <color auto="1"/>
      </bottom>
      <diagonal/>
    </border>
    <border>
      <left/>
      <right/>
      <top style="hair">
        <color auto="1"/>
      </top>
      <bottom/>
      <diagonal/>
    </border>
    <border>
      <left/>
      <right/>
      <top/>
      <bottom style="medium">
        <color rgb="FF3271D2"/>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medium">
        <color auto="1"/>
      </bottom>
      <diagonal/>
    </border>
    <border>
      <left/>
      <right/>
      <top style="thin">
        <color rgb="FF3271D2"/>
      </top>
      <bottom style="medium">
        <color rgb="FF3271D2"/>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right style="thin">
        <color rgb="FF3271D2"/>
      </right>
      <top style="thin">
        <color rgb="FF3271D2"/>
      </top>
      <bottom style="thin">
        <color rgb="FF3271D2"/>
      </bottom>
      <diagonal/>
    </border>
    <border>
      <left/>
      <right/>
      <top style="thin">
        <color rgb="FF3271D2"/>
      </top>
      <bottom style="thin">
        <color rgb="FF3271D2"/>
      </bottom>
      <diagonal/>
    </border>
    <border>
      <left/>
      <right style="thin">
        <color rgb="FF3271D2"/>
      </right>
      <top style="thin">
        <color rgb="FF3271D2"/>
      </top>
      <bottom/>
      <diagonal/>
    </border>
    <border>
      <left/>
      <right style="thin">
        <color rgb="FF3271D2"/>
      </right>
      <top/>
      <bottom style="thin">
        <color rgb="FF3271D2"/>
      </bottom>
      <diagonal/>
    </border>
    <border>
      <left/>
      <right/>
      <top style="thin">
        <color rgb="FF3271D2"/>
      </top>
      <bottom/>
      <diagonal/>
    </border>
    <border>
      <left/>
      <right/>
      <top/>
      <bottom style="thin">
        <color rgb="FF3271D2"/>
      </bottom>
      <diagonal/>
    </border>
    <border>
      <left style="thin">
        <color rgb="FF3271D2"/>
      </left>
      <right/>
      <top style="thin">
        <color rgb="FF3271D2"/>
      </top>
      <bottom style="thin">
        <color rgb="FF3271D2"/>
      </bottom>
      <diagonal/>
    </border>
    <border>
      <left style="thin">
        <color rgb="FF3271D2"/>
      </left>
      <right/>
      <top style="thin">
        <color rgb="FF3271D2"/>
      </top>
      <bottom/>
      <diagonal/>
    </border>
    <border>
      <left style="thin">
        <color rgb="FF3271D2"/>
      </left>
      <right/>
      <top/>
      <bottom style="thin">
        <color rgb="FF3271D2"/>
      </bottom>
      <diagonal/>
    </border>
    <border>
      <left style="thin">
        <color rgb="FF3271D2"/>
      </left>
      <right style="thin">
        <color rgb="FF3271D2"/>
      </right>
      <top style="thin">
        <color rgb="FF3271D2"/>
      </top>
      <bottom/>
      <diagonal/>
    </border>
    <border>
      <left style="thin">
        <color rgb="FF3271D2"/>
      </left>
      <right style="thin">
        <color rgb="FF3271D2"/>
      </right>
      <top/>
      <bottom style="thin">
        <color rgb="FF3271D2"/>
      </bottom>
      <diagonal/>
    </border>
    <border>
      <left style="thin">
        <color auto="1"/>
      </left>
      <right style="thin">
        <color auto="1"/>
      </right>
      <top style="thin">
        <color auto="1"/>
      </top>
      <bottom style="thin">
        <color auto="1"/>
      </bottom>
      <diagonal/>
    </border>
    <border>
      <left/>
      <right/>
      <top/>
      <bottom style="thin">
        <color auto="1"/>
      </bottom>
      <diagonal/>
    </border>
    <border>
      <left style="hair">
        <color auto="1"/>
      </left>
      <right/>
      <top/>
      <bottom style="thin">
        <color rgb="FF3271D2"/>
      </bottom>
      <diagonal/>
    </border>
    <border>
      <left/>
      <right style="hair">
        <color auto="1"/>
      </right>
      <top/>
      <bottom style="thin">
        <color rgb="FF3271D2"/>
      </bottom>
      <diagonal/>
    </border>
    <border>
      <left style="thick">
        <color rgb="FF004B8C"/>
      </left>
      <right/>
      <top style="thick">
        <color rgb="FF004B8C"/>
      </top>
      <bottom/>
      <diagonal/>
    </border>
    <border>
      <left/>
      <right/>
      <top style="thick">
        <color rgb="FF004B8C"/>
      </top>
      <bottom/>
      <diagonal/>
    </border>
    <border>
      <left/>
      <right style="thick">
        <color rgb="FF004B8C"/>
      </right>
      <top style="thick">
        <color rgb="FF004B8C"/>
      </top>
      <bottom/>
      <diagonal/>
    </border>
    <border>
      <left style="thick">
        <color rgb="FF004B8C"/>
      </left>
      <right/>
      <top/>
      <bottom/>
      <diagonal/>
    </border>
    <border>
      <left/>
      <right style="thick">
        <color rgb="FF004B8C"/>
      </right>
      <top/>
      <bottom/>
      <diagonal/>
    </border>
    <border>
      <left style="thick">
        <color rgb="FF004B8C"/>
      </left>
      <right/>
      <top/>
      <bottom style="thick">
        <color rgb="FF004B8C"/>
      </bottom>
      <diagonal/>
    </border>
    <border>
      <left/>
      <right/>
      <top/>
      <bottom style="thick">
        <color rgb="FF004B8C"/>
      </bottom>
      <diagonal/>
    </border>
    <border>
      <left/>
      <right style="thick">
        <color rgb="FF004B8C"/>
      </right>
      <top/>
      <bottom style="thick">
        <color rgb="FF004B8C"/>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xf numFmtId="168" fontId="11" fillId="0" borderId="0" applyFont="0" applyFill="0" applyBorder="0" applyAlignment="0" applyProtection="0"/>
    <xf numFmtId="0" fontId="18" fillId="0" borderId="0" applyNumberFormat="0" applyFill="0" applyBorder="0" applyAlignment="0" applyProtection="0"/>
  </cellStyleXfs>
  <cellXfs count="261">
    <xf numFmtId="0" fontId="0" fillId="0" borderId="0" xfId="0"/>
    <xf numFmtId="0" fontId="0" fillId="3" borderId="0" xfId="0" applyFill="1"/>
    <xf numFmtId="0" fontId="2" fillId="3" borderId="0" xfId="0" applyFont="1" applyFill="1" applyAlignment="1">
      <alignment horizontal="left" vertical="center" indent="1"/>
    </xf>
    <xf numFmtId="0" fontId="3" fillId="2" borderId="0" xfId="0" applyFont="1" applyFill="1" applyAlignment="1">
      <alignment horizontal="left" vertical="center" indent="1"/>
    </xf>
    <xf numFmtId="0" fontId="4" fillId="0" borderId="0" xfId="0" applyFont="1"/>
    <xf numFmtId="164" fontId="5" fillId="0" borderId="0" xfId="0" applyNumberFormat="1" applyFont="1"/>
    <xf numFmtId="0" fontId="6" fillId="0" borderId="0" xfId="0" applyFont="1"/>
    <xf numFmtId="0" fontId="4" fillId="0" borderId="0" xfId="0" applyFont="1" applyAlignment="1">
      <alignment horizontal="left" indent="1"/>
    </xf>
    <xf numFmtId="165" fontId="7" fillId="0" borderId="0" xfId="1" applyNumberFormat="1" applyFont="1"/>
    <xf numFmtId="0" fontId="6" fillId="0" borderId="0" xfId="0" applyFont="1" applyAlignment="1">
      <alignment horizontal="left" indent="2"/>
    </xf>
    <xf numFmtId="165" fontId="7" fillId="0" borderId="0" xfId="2" applyNumberFormat="1" applyFont="1"/>
    <xf numFmtId="165" fontId="6" fillId="0" borderId="1" xfId="1" applyNumberFormat="1" applyFont="1" applyBorder="1"/>
    <xf numFmtId="165" fontId="4" fillId="0" borderId="0" xfId="2" applyNumberFormat="1" applyFont="1"/>
    <xf numFmtId="165" fontId="4" fillId="0" borderId="0" xfId="0" applyNumberFormat="1" applyFont="1"/>
    <xf numFmtId="165" fontId="7" fillId="0" borderId="0" xfId="0" applyNumberFormat="1" applyFont="1"/>
    <xf numFmtId="164" fontId="5" fillId="0" borderId="3" xfId="0" applyNumberFormat="1" applyFont="1" applyBorder="1"/>
    <xf numFmtId="0" fontId="4" fillId="0" borderId="0" xfId="0" applyFont="1" applyAlignment="1">
      <alignment horizontal="left"/>
    </xf>
    <xf numFmtId="0" fontId="4" fillId="0" borderId="0" xfId="0" applyFont="1" applyAlignment="1">
      <alignment horizontal="left" vertical="center"/>
    </xf>
    <xf numFmtId="165" fontId="4" fillId="0" borderId="0" xfId="1" applyNumberFormat="1" applyFont="1" applyBorder="1"/>
    <xf numFmtId="0" fontId="4" fillId="0" borderId="0" xfId="0" applyFont="1" applyAlignment="1">
      <alignment horizontal="left" indent="3"/>
    </xf>
    <xf numFmtId="0" fontId="6" fillId="0" borderId="0" xfId="0" applyFont="1" applyAlignment="1">
      <alignment horizontal="left"/>
    </xf>
    <xf numFmtId="165" fontId="6" fillId="0" borderId="2" xfId="1" applyNumberFormat="1" applyFont="1" applyBorder="1"/>
    <xf numFmtId="167" fontId="4" fillId="0" borderId="0" xfId="3" applyNumberFormat="1" applyFont="1" applyFill="1" applyBorder="1"/>
    <xf numFmtId="0" fontId="8" fillId="0" borderId="0" xfId="0" applyFont="1" applyAlignment="1">
      <alignment horizontal="right" vertical="center"/>
    </xf>
    <xf numFmtId="0" fontId="0" fillId="2" borderId="0" xfId="0" applyFill="1"/>
    <xf numFmtId="167" fontId="7" fillId="0" borderId="0" xfId="1" applyNumberFormat="1" applyFont="1"/>
    <xf numFmtId="167" fontId="4" fillId="4" borderId="0" xfId="3" applyNumberFormat="1" applyFont="1" applyFill="1" applyBorder="1"/>
    <xf numFmtId="165" fontId="4" fillId="0" borderId="0" xfId="1" applyNumberFormat="1" applyFont="1"/>
    <xf numFmtId="2" fontId="4" fillId="0" borderId="0" xfId="3" applyNumberFormat="1" applyFont="1" applyBorder="1"/>
    <xf numFmtId="0" fontId="9" fillId="0" borderId="0" xfId="0" applyFont="1"/>
    <xf numFmtId="165" fontId="4" fillId="4" borderId="0" xfId="1" applyNumberFormat="1" applyFont="1" applyFill="1"/>
    <xf numFmtId="165" fontId="4" fillId="4" borderId="7" xfId="1" applyNumberFormat="1" applyFont="1" applyFill="1" applyBorder="1"/>
    <xf numFmtId="165" fontId="4" fillId="4" borderId="2" xfId="1" applyNumberFormat="1" applyFont="1" applyFill="1" applyBorder="1"/>
    <xf numFmtId="165" fontId="4" fillId="4" borderId="8" xfId="1" applyNumberFormat="1" applyFont="1" applyFill="1" applyBorder="1"/>
    <xf numFmtId="165" fontId="4" fillId="4" borderId="9" xfId="1" applyNumberFormat="1" applyFont="1" applyFill="1" applyBorder="1"/>
    <xf numFmtId="165" fontId="4" fillId="4" borderId="10" xfId="1" applyNumberFormat="1" applyFont="1" applyFill="1" applyBorder="1"/>
    <xf numFmtId="165" fontId="4" fillId="4" borderId="11" xfId="1" applyNumberFormat="1" applyFont="1" applyFill="1" applyBorder="1"/>
    <xf numFmtId="165" fontId="4" fillId="4" borderId="12" xfId="1" applyNumberFormat="1" applyFont="1" applyFill="1" applyBorder="1"/>
    <xf numFmtId="165" fontId="4" fillId="4" borderId="13" xfId="1" applyNumberFormat="1" applyFont="1" applyFill="1" applyBorder="1"/>
    <xf numFmtId="10" fontId="4" fillId="4" borderId="0" xfId="3" applyNumberFormat="1" applyFont="1" applyFill="1" applyBorder="1"/>
    <xf numFmtId="167" fontId="0" fillId="0" borderId="0" xfId="3" applyNumberFormat="1" applyFont="1"/>
    <xf numFmtId="165" fontId="7" fillId="4" borderId="0" xfId="1" applyNumberFormat="1" applyFont="1" applyFill="1"/>
    <xf numFmtId="0" fontId="12" fillId="2" borderId="0" xfId="0" applyFont="1" applyFill="1" applyAlignment="1">
      <alignment horizontal="left" vertical="center" indent="1"/>
    </xf>
    <xf numFmtId="165" fontId="0" fillId="0" borderId="0" xfId="0" applyNumberFormat="1"/>
    <xf numFmtId="165" fontId="6" fillId="0" borderId="0" xfId="1" applyNumberFormat="1" applyFont="1" applyBorder="1"/>
    <xf numFmtId="167" fontId="0" fillId="0" borderId="0" xfId="0" applyNumberFormat="1"/>
    <xf numFmtId="165" fontId="4" fillId="0" borderId="4" xfId="0" applyNumberFormat="1" applyFont="1" applyBorder="1"/>
    <xf numFmtId="165" fontId="4" fillId="0" borderId="5" xfId="0" applyNumberFormat="1" applyFont="1" applyBorder="1"/>
    <xf numFmtId="165" fontId="4" fillId="0" borderId="6" xfId="0" applyNumberFormat="1" applyFont="1" applyBorder="1"/>
    <xf numFmtId="0" fontId="4" fillId="0" borderId="0" xfId="0" applyFont="1" applyAlignment="1">
      <alignment horizontal="left" indent="2"/>
    </xf>
    <xf numFmtId="165" fontId="7" fillId="0" borderId="0" xfId="1" applyNumberFormat="1" applyFont="1" applyBorder="1"/>
    <xf numFmtId="0" fontId="6" fillId="0" borderId="0" xfId="0" applyFont="1" applyAlignment="1">
      <alignment horizontal="left" indent="1"/>
    </xf>
    <xf numFmtId="165" fontId="6" fillId="0" borderId="14" xfId="1" applyNumberFormat="1" applyFont="1" applyBorder="1"/>
    <xf numFmtId="166" fontId="5" fillId="0" borderId="0" xfId="0" applyNumberFormat="1" applyFont="1"/>
    <xf numFmtId="1" fontId="4" fillId="4" borderId="0" xfId="3" applyNumberFormat="1" applyFont="1" applyFill="1" applyBorder="1"/>
    <xf numFmtId="167" fontId="4" fillId="0" borderId="0" xfId="3" applyNumberFormat="1" applyFont="1"/>
    <xf numFmtId="167" fontId="7" fillId="5" borderId="0" xfId="3" applyNumberFormat="1" applyFont="1" applyFill="1" applyBorder="1"/>
    <xf numFmtId="167" fontId="4" fillId="4" borderId="2" xfId="3" applyNumberFormat="1" applyFont="1" applyFill="1" applyBorder="1"/>
    <xf numFmtId="167" fontId="7" fillId="4" borderId="2" xfId="3" applyNumberFormat="1" applyFont="1" applyFill="1" applyBorder="1"/>
    <xf numFmtId="167" fontId="7" fillId="4" borderId="8" xfId="3" applyNumberFormat="1" applyFont="1" applyFill="1" applyBorder="1"/>
    <xf numFmtId="167" fontId="4" fillId="4" borderId="9" xfId="3" applyNumberFormat="1" applyFont="1" applyFill="1" applyBorder="1"/>
    <xf numFmtId="167" fontId="7" fillId="4" borderId="0" xfId="3" applyNumberFormat="1" applyFont="1" applyFill="1" applyBorder="1"/>
    <xf numFmtId="167" fontId="7" fillId="4" borderId="10" xfId="3" applyNumberFormat="1" applyFont="1" applyFill="1" applyBorder="1"/>
    <xf numFmtId="167" fontId="4" fillId="4" borderId="7" xfId="3" applyNumberFormat="1" applyFont="1" applyFill="1" applyBorder="1"/>
    <xf numFmtId="9" fontId="6" fillId="0" borderId="0" xfId="3" applyFont="1" applyFill="1" applyBorder="1"/>
    <xf numFmtId="170" fontId="4" fillId="4" borderId="0" xfId="3" applyNumberFormat="1" applyFont="1" applyFill="1" applyBorder="1"/>
    <xf numFmtId="170" fontId="7" fillId="5" borderId="0" xfId="3" applyNumberFormat="1" applyFont="1" applyFill="1" applyBorder="1"/>
    <xf numFmtId="170" fontId="4" fillId="4" borderId="0" xfId="3" applyNumberFormat="1" applyFont="1" applyFill="1" applyBorder="1" applyAlignment="1">
      <alignment horizontal="right"/>
    </xf>
    <xf numFmtId="166" fontId="5" fillId="0" borderId="15" xfId="0" applyNumberFormat="1" applyFont="1" applyBorder="1"/>
    <xf numFmtId="171" fontId="4" fillId="4" borderId="0" xfId="3" applyNumberFormat="1" applyFont="1" applyFill="1" applyBorder="1"/>
    <xf numFmtId="170" fontId="7" fillId="4" borderId="0" xfId="3" applyNumberFormat="1" applyFont="1" applyFill="1" applyBorder="1"/>
    <xf numFmtId="171" fontId="7" fillId="0" borderId="0" xfId="0" applyNumberFormat="1" applyFont="1"/>
    <xf numFmtId="171" fontId="7" fillId="0" borderId="0" xfId="3" applyNumberFormat="1" applyFont="1" applyFill="1" applyBorder="1"/>
    <xf numFmtId="167" fontId="4" fillId="4" borderId="0" xfId="3" applyNumberFormat="1" applyFont="1" applyFill="1" applyBorder="1" applyAlignment="1">
      <alignment horizontal="right"/>
    </xf>
    <xf numFmtId="0" fontId="0" fillId="4" borderId="0" xfId="0" applyFill="1"/>
    <xf numFmtId="10" fontId="4" fillId="0" borderId="0" xfId="0" applyNumberFormat="1" applyFont="1"/>
    <xf numFmtId="165" fontId="4" fillId="0" borderId="2" xfId="0" applyNumberFormat="1" applyFont="1" applyBorder="1"/>
    <xf numFmtId="171" fontId="7" fillId="5" borderId="0" xfId="3" applyNumberFormat="1" applyFont="1" applyFill="1" applyBorder="1"/>
    <xf numFmtId="165" fontId="13" fillId="0" borderId="0" xfId="0" applyNumberFormat="1" applyFont="1"/>
    <xf numFmtId="165" fontId="6" fillId="0" borderId="2" xfId="0" applyNumberFormat="1" applyFont="1" applyBorder="1"/>
    <xf numFmtId="0" fontId="6" fillId="0" borderId="0" xfId="0" applyFont="1" applyAlignment="1">
      <alignment horizontal="left" vertical="center"/>
    </xf>
    <xf numFmtId="0" fontId="6" fillId="0" borderId="0" xfId="0" applyFont="1" applyAlignment="1">
      <alignment horizontal="left" vertical="center" indent="1"/>
    </xf>
    <xf numFmtId="0" fontId="4" fillId="0" borderId="0" xfId="0" applyFont="1" applyAlignment="1">
      <alignment horizontal="left" vertical="center" indent="1"/>
    </xf>
    <xf numFmtId="0" fontId="14" fillId="0" borderId="0" xfId="0" applyFont="1"/>
    <xf numFmtId="0" fontId="15" fillId="0" borderId="0" xfId="0" applyFont="1"/>
    <xf numFmtId="173" fontId="4" fillId="0" borderId="0" xfId="1" applyNumberFormat="1" applyFont="1"/>
    <xf numFmtId="10" fontId="6" fillId="0" borderId="2" xfId="0" applyNumberFormat="1" applyFont="1" applyBorder="1"/>
    <xf numFmtId="167" fontId="6" fillId="0" borderId="2" xfId="3" applyNumberFormat="1" applyFont="1" applyBorder="1"/>
    <xf numFmtId="0" fontId="4" fillId="0" borderId="9" xfId="0" applyFont="1" applyBorder="1" applyAlignment="1">
      <alignment horizontal="left" vertical="center" indent="1"/>
    </xf>
    <xf numFmtId="0" fontId="0" fillId="0" borderId="9" xfId="0" applyBorder="1"/>
    <xf numFmtId="0" fontId="4" fillId="0" borderId="7" xfId="0" applyFont="1" applyBorder="1" applyAlignment="1">
      <alignment horizontal="left" vertical="center" indent="1"/>
    </xf>
    <xf numFmtId="0" fontId="0" fillId="0" borderId="2" xfId="0" applyBorder="1"/>
    <xf numFmtId="167" fontId="4" fillId="0" borderId="2" xfId="3" applyNumberFormat="1" applyFont="1" applyBorder="1"/>
    <xf numFmtId="0" fontId="6" fillId="0" borderId="11" xfId="0" applyFont="1" applyBorder="1" applyAlignment="1">
      <alignment horizontal="left" vertical="center" indent="1"/>
    </xf>
    <xf numFmtId="0" fontId="0" fillId="0" borderId="12" xfId="0" applyBorder="1"/>
    <xf numFmtId="170" fontId="4" fillId="0" borderId="18" xfId="3" applyNumberFormat="1" applyFont="1" applyFill="1" applyBorder="1"/>
    <xf numFmtId="170" fontId="4" fillId="0" borderId="17" xfId="3" applyNumberFormat="1" applyFont="1" applyFill="1" applyBorder="1"/>
    <xf numFmtId="0" fontId="5" fillId="6" borderId="4" xfId="0" applyFont="1" applyFill="1" applyBorder="1" applyAlignment="1">
      <alignment horizontal="left" vertical="center" indent="1"/>
    </xf>
    <xf numFmtId="0" fontId="2" fillId="6" borderId="5" xfId="0" applyFont="1" applyFill="1" applyBorder="1"/>
    <xf numFmtId="170" fontId="5" fillId="6" borderId="16" xfId="3" applyNumberFormat="1" applyFont="1" applyFill="1" applyBorder="1"/>
    <xf numFmtId="0" fontId="0" fillId="0" borderId="0" xfId="0" applyAlignment="1">
      <alignment horizontal="centerContinuous"/>
    </xf>
    <xf numFmtId="0" fontId="4" fillId="0" borderId="21" xfId="0" applyFont="1" applyBorder="1" applyAlignment="1">
      <alignment horizontal="center" vertical="center"/>
    </xf>
    <xf numFmtId="174" fontId="4" fillId="0" borderId="22" xfId="0" applyNumberFormat="1" applyFont="1" applyBorder="1" applyAlignment="1">
      <alignment horizontal="center" vertical="center"/>
    </xf>
    <xf numFmtId="0" fontId="4" fillId="0" borderId="23" xfId="0" applyFont="1" applyBorder="1" applyAlignment="1">
      <alignment horizontal="center" vertical="center"/>
    </xf>
    <xf numFmtId="174" fontId="4" fillId="0" borderId="24" xfId="0" applyNumberFormat="1" applyFont="1" applyBorder="1" applyAlignment="1">
      <alignment horizontal="center" vertical="center"/>
    </xf>
    <xf numFmtId="0" fontId="4" fillId="0" borderId="26" xfId="0" applyFont="1" applyBorder="1" applyAlignment="1">
      <alignment horizontal="center" vertical="center"/>
    </xf>
    <xf numFmtId="174" fontId="4" fillId="0" borderId="27" xfId="0" applyNumberFormat="1" applyFont="1" applyBorder="1" applyAlignment="1">
      <alignment horizontal="center" vertical="center"/>
    </xf>
    <xf numFmtId="0" fontId="4" fillId="0" borderId="28" xfId="0" applyFont="1" applyBorder="1" applyAlignment="1">
      <alignment horizontal="center" vertical="center"/>
    </xf>
    <xf numFmtId="174" fontId="4" fillId="0" borderId="29" xfId="0" applyNumberFormat="1" applyFont="1" applyBorder="1" applyAlignment="1">
      <alignment horizontal="center" vertical="center"/>
    </xf>
    <xf numFmtId="0" fontId="6" fillId="0" borderId="19" xfId="0" applyFont="1" applyBorder="1" applyAlignment="1">
      <alignment horizontal="center" vertical="center"/>
    </xf>
    <xf numFmtId="0" fontId="6" fillId="0" borderId="25" xfId="0" applyFont="1" applyBorder="1" applyAlignment="1">
      <alignment horizontal="center" vertical="center"/>
    </xf>
    <xf numFmtId="169" fontId="0" fillId="0" borderId="0" xfId="1" applyNumberFormat="1" applyFont="1"/>
    <xf numFmtId="165" fontId="4" fillId="0" borderId="4" xfId="1" applyNumberFormat="1" applyFont="1" applyBorder="1"/>
    <xf numFmtId="165" fontId="4" fillId="4" borderId="5" xfId="1" applyNumberFormat="1" applyFont="1" applyFill="1" applyBorder="1"/>
    <xf numFmtId="165" fontId="4" fillId="4" borderId="6" xfId="1" applyNumberFormat="1" applyFont="1" applyFill="1" applyBorder="1"/>
    <xf numFmtId="172" fontId="4" fillId="4" borderId="0" xfId="1" applyNumberFormat="1" applyFont="1" applyFill="1"/>
    <xf numFmtId="172" fontId="4" fillId="0" borderId="0" xfId="1" applyNumberFormat="1" applyFont="1" applyFill="1"/>
    <xf numFmtId="0" fontId="4" fillId="0" borderId="11" xfId="0" applyFont="1" applyBorder="1" applyAlignment="1">
      <alignment horizontal="left" vertical="center" indent="1"/>
    </xf>
    <xf numFmtId="165" fontId="4" fillId="0" borderId="8" xfId="1" applyNumberFormat="1" applyFont="1" applyBorder="1"/>
    <xf numFmtId="167" fontId="4" fillId="0" borderId="0" xfId="3" applyNumberFormat="1" applyFont="1" applyBorder="1"/>
    <xf numFmtId="165" fontId="4" fillId="0" borderId="10" xfId="1" applyNumberFormat="1" applyFont="1" applyBorder="1"/>
    <xf numFmtId="0" fontId="4" fillId="0" borderId="0" xfId="0" applyFont="1" applyAlignment="1">
      <alignment horizontal="left" vertical="top"/>
    </xf>
    <xf numFmtId="0" fontId="0" fillId="0" borderId="0" xfId="0" applyAlignment="1">
      <alignment vertical="top"/>
    </xf>
    <xf numFmtId="2" fontId="4" fillId="0" borderId="0" xfId="3" applyNumberFormat="1" applyFont="1"/>
    <xf numFmtId="0" fontId="14" fillId="0" borderId="12" xfId="0" applyFont="1" applyBorder="1"/>
    <xf numFmtId="165" fontId="6" fillId="0" borderId="6" xfId="1" applyNumberFormat="1" applyFont="1" applyBorder="1"/>
    <xf numFmtId="173" fontId="6" fillId="0" borderId="6" xfId="1" applyNumberFormat="1" applyFont="1" applyBorder="1"/>
    <xf numFmtId="167" fontId="6" fillId="0" borderId="5" xfId="3" applyNumberFormat="1" applyFont="1" applyBorder="1"/>
    <xf numFmtId="0" fontId="17" fillId="0" borderId="0" xfId="0" applyFont="1" applyAlignment="1">
      <alignment horizontal="right"/>
    </xf>
    <xf numFmtId="0" fontId="6" fillId="0" borderId="7" xfId="0" applyFont="1" applyBorder="1" applyAlignment="1">
      <alignment horizontal="left" vertical="center" indent="1"/>
    </xf>
    <xf numFmtId="167" fontId="4" fillId="4" borderId="8" xfId="3" applyNumberFormat="1" applyFont="1" applyFill="1" applyBorder="1" applyAlignment="1">
      <alignment horizontal="center" vertical="center"/>
    </xf>
    <xf numFmtId="167" fontId="4" fillId="4" borderId="13" xfId="3" applyNumberFormat="1" applyFont="1" applyFill="1" applyBorder="1" applyAlignment="1">
      <alignment horizontal="center" vertical="center"/>
    </xf>
    <xf numFmtId="0" fontId="6" fillId="0" borderId="0" xfId="0" applyFont="1" applyAlignment="1">
      <alignment horizontal="centerContinuous" vertical="center"/>
    </xf>
    <xf numFmtId="0" fontId="6" fillId="0" borderId="20" xfId="0" applyFont="1" applyBorder="1" applyAlignment="1">
      <alignment horizontal="centerContinuous" vertical="center"/>
    </xf>
    <xf numFmtId="0" fontId="14" fillId="0" borderId="24" xfId="0" applyFont="1" applyBorder="1" applyAlignment="1">
      <alignment horizontal="centerContinuous" vertical="center"/>
    </xf>
    <xf numFmtId="0" fontId="0" fillId="0" borderId="24" xfId="0" applyBorder="1" applyAlignment="1">
      <alignment horizontal="centerContinuous" vertical="center"/>
    </xf>
    <xf numFmtId="170" fontId="4" fillId="0" borderId="0" xfId="3" applyNumberFormat="1" applyFont="1" applyFill="1" applyBorder="1"/>
    <xf numFmtId="169" fontId="4" fillId="0" borderId="7" xfId="1" applyNumberFormat="1" applyFont="1" applyBorder="1"/>
    <xf numFmtId="169" fontId="4" fillId="0" borderId="2" xfId="1" applyNumberFormat="1" applyFont="1" applyBorder="1"/>
    <xf numFmtId="169" fontId="4" fillId="0" borderId="8" xfId="1" applyNumberFormat="1" applyFont="1" applyBorder="1"/>
    <xf numFmtId="169" fontId="4" fillId="0" borderId="9" xfId="1" applyNumberFormat="1" applyFont="1" applyBorder="1"/>
    <xf numFmtId="169" fontId="4" fillId="0" borderId="0" xfId="1" applyNumberFormat="1" applyFont="1" applyBorder="1"/>
    <xf numFmtId="169" fontId="4" fillId="0" borderId="10" xfId="1" applyNumberFormat="1" applyFont="1" applyBorder="1"/>
    <xf numFmtId="169" fontId="4" fillId="0" borderId="11" xfId="1" applyNumberFormat="1" applyFont="1" applyBorder="1"/>
    <xf numFmtId="169" fontId="4" fillId="0" borderId="12" xfId="1" applyNumberFormat="1" applyFont="1" applyBorder="1"/>
    <xf numFmtId="169" fontId="4" fillId="0" borderId="13" xfId="1" applyNumberFormat="1" applyFont="1" applyBorder="1"/>
    <xf numFmtId="169" fontId="4" fillId="4" borderId="30" xfId="1" applyNumberFormat="1" applyFont="1" applyFill="1" applyBorder="1"/>
    <xf numFmtId="171" fontId="4" fillId="4" borderId="13" xfId="3" applyNumberFormat="1" applyFont="1" applyFill="1" applyBorder="1"/>
    <xf numFmtId="0" fontId="0" fillId="0" borderId="0" xfId="0" applyAlignment="1">
      <alignment horizontal="centerContinuous" vertical="center"/>
    </xf>
    <xf numFmtId="165" fontId="13" fillId="4" borderId="0" xfId="1" applyNumberFormat="1" applyFont="1" applyFill="1" applyBorder="1"/>
    <xf numFmtId="43" fontId="4" fillId="0" borderId="7" xfId="1" applyFont="1" applyBorder="1"/>
    <xf numFmtId="43" fontId="4" fillId="0" borderId="2" xfId="1" applyFont="1" applyBorder="1"/>
    <xf numFmtId="43" fontId="4" fillId="0" borderId="8" xfId="1" applyFont="1" applyBorder="1"/>
    <xf numFmtId="43" fontId="4" fillId="0" borderId="9" xfId="1" applyFont="1" applyBorder="1"/>
    <xf numFmtId="43" fontId="4" fillId="0" borderId="0" xfId="1" applyFont="1" applyBorder="1"/>
    <xf numFmtId="43" fontId="4" fillId="0" borderId="10" xfId="1" applyFont="1" applyBorder="1"/>
    <xf numFmtId="43" fontId="4" fillId="4" borderId="30" xfId="1" applyFont="1" applyFill="1" applyBorder="1"/>
    <xf numFmtId="43" fontId="4" fillId="0" borderId="11" xfId="1" applyFont="1" applyBorder="1"/>
    <xf numFmtId="43" fontId="4" fillId="0" borderId="12" xfId="1" applyFont="1" applyBorder="1"/>
    <xf numFmtId="43" fontId="4" fillId="0" borderId="13" xfId="1" applyFont="1" applyBorder="1"/>
    <xf numFmtId="9" fontId="4" fillId="0" borderId="7" xfId="3" applyFont="1" applyBorder="1"/>
    <xf numFmtId="9" fontId="4" fillId="0" borderId="2" xfId="3" applyFont="1" applyBorder="1"/>
    <xf numFmtId="9" fontId="4" fillId="0" borderId="8" xfId="3" applyFont="1" applyBorder="1"/>
    <xf numFmtId="9" fontId="4" fillId="0" borderId="9" xfId="3" applyFont="1" applyBorder="1"/>
    <xf numFmtId="9" fontId="4" fillId="0" borderId="0" xfId="3" applyFont="1" applyBorder="1"/>
    <xf numFmtId="9" fontId="4" fillId="0" borderId="10" xfId="3" applyFont="1" applyBorder="1"/>
    <xf numFmtId="9" fontId="4" fillId="4" borderId="30" xfId="3" applyFont="1" applyFill="1" applyBorder="1"/>
    <xf numFmtId="9" fontId="4" fillId="0" borderId="11" xfId="3" applyFont="1" applyBorder="1"/>
    <xf numFmtId="9" fontId="4" fillId="0" borderId="12" xfId="3" applyFont="1" applyBorder="1"/>
    <xf numFmtId="9" fontId="4" fillId="0" borderId="13" xfId="3" applyFont="1" applyBorder="1"/>
    <xf numFmtId="0" fontId="14" fillId="0" borderId="0" xfId="0" applyFont="1" applyAlignment="1">
      <alignment vertical="center"/>
    </xf>
    <xf numFmtId="0" fontId="0" fillId="0" borderId="0" xfId="0" applyAlignment="1">
      <alignment vertical="center"/>
    </xf>
    <xf numFmtId="165" fontId="4" fillId="4" borderId="4" xfId="1" applyNumberFormat="1" applyFont="1" applyFill="1" applyBorder="1" applyAlignment="1">
      <alignment vertical="center"/>
    </xf>
    <xf numFmtId="165" fontId="6" fillId="4" borderId="5" xfId="0" applyNumberFormat="1" applyFont="1" applyFill="1" applyBorder="1" applyAlignment="1">
      <alignment vertical="center"/>
    </xf>
    <xf numFmtId="165" fontId="6" fillId="4" borderId="6" xfId="0" applyNumberFormat="1" applyFont="1" applyFill="1" applyBorder="1" applyAlignment="1">
      <alignment vertical="center"/>
    </xf>
    <xf numFmtId="0" fontId="16" fillId="3" borderId="31" xfId="0" applyFont="1" applyFill="1" applyBorder="1" applyAlignment="1">
      <alignment horizontal="centerContinuous" vertical="center"/>
    </xf>
    <xf numFmtId="0" fontId="14" fillId="0" borderId="31" xfId="0" applyFont="1" applyBorder="1" applyAlignment="1">
      <alignment vertical="center"/>
    </xf>
    <xf numFmtId="0" fontId="0" fillId="0" borderId="31" xfId="0" applyBorder="1" applyAlignment="1">
      <alignment vertical="center"/>
    </xf>
    <xf numFmtId="0" fontId="0" fillId="3" borderId="31" xfId="0" applyFill="1" applyBorder="1" applyAlignment="1">
      <alignment horizontal="centerContinuous" vertical="center"/>
    </xf>
    <xf numFmtId="0" fontId="0" fillId="0" borderId="24" xfId="0" applyBorder="1" applyAlignment="1">
      <alignment vertical="center"/>
    </xf>
    <xf numFmtId="0" fontId="14" fillId="0" borderId="24" xfId="0" applyFont="1" applyBorder="1" applyAlignment="1">
      <alignment vertical="center"/>
    </xf>
    <xf numFmtId="0" fontId="14" fillId="0" borderId="24"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2" xfId="0" applyFont="1" applyBorder="1" applyAlignment="1">
      <alignment horizontal="center" vertical="center"/>
    </xf>
    <xf numFmtId="0" fontId="14" fillId="0" borderId="33" xfId="0" applyFont="1" applyBorder="1" applyAlignment="1">
      <alignment horizontal="center" vertical="center" wrapText="1"/>
    </xf>
    <xf numFmtId="0" fontId="0" fillId="0" borderId="12" xfId="0" applyBorder="1" applyAlignment="1">
      <alignment vertical="center"/>
    </xf>
    <xf numFmtId="0" fontId="0" fillId="0" borderId="11" xfId="0" applyBorder="1" applyAlignment="1">
      <alignment horizontal="center" vertical="center"/>
    </xf>
    <xf numFmtId="0" fontId="0" fillId="0" borderId="11" xfId="0" applyBorder="1" applyAlignment="1">
      <alignment vertical="center"/>
    </xf>
    <xf numFmtId="0" fontId="0" fillId="0" borderId="13" xfId="0" applyBorder="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9" xfId="0" applyFont="1" applyBorder="1" applyAlignment="1">
      <alignment horizontal="center"/>
    </xf>
    <xf numFmtId="0" fontId="15" fillId="0" borderId="0" xfId="0" applyFont="1" applyAlignment="1">
      <alignment horizontal="center"/>
    </xf>
    <xf numFmtId="0" fontId="15" fillId="0" borderId="10" xfId="0" applyFont="1" applyBorder="1" applyAlignment="1">
      <alignment horizontal="center"/>
    </xf>
    <xf numFmtId="173" fontId="7" fillId="0" borderId="9" xfId="0" applyNumberFormat="1" applyFont="1" applyBorder="1" applyAlignment="1">
      <alignment horizontal="center" vertical="center"/>
    </xf>
    <xf numFmtId="173" fontId="7" fillId="0" borderId="0" xfId="1" applyNumberFormat="1" applyFont="1" applyAlignment="1">
      <alignment horizontal="center"/>
    </xf>
    <xf numFmtId="173" fontId="7" fillId="0" borderId="10" xfId="0" applyNumberFormat="1" applyFont="1" applyBorder="1" applyAlignment="1">
      <alignment horizontal="center" vertical="center"/>
    </xf>
    <xf numFmtId="0" fontId="4" fillId="0" borderId="0" xfId="0" applyFont="1" applyAlignment="1">
      <alignment vertical="center"/>
    </xf>
    <xf numFmtId="0" fontId="4" fillId="0" borderId="9" xfId="0" applyFont="1" applyBorder="1" applyAlignment="1">
      <alignment horizontal="center" vertical="center"/>
    </xf>
    <xf numFmtId="0" fontId="0" fillId="0" borderId="0" xfId="0" applyAlignment="1">
      <alignment horizontal="center" vertical="center"/>
    </xf>
    <xf numFmtId="0" fontId="14" fillId="0" borderId="24" xfId="0" applyFont="1" applyBorder="1" applyAlignment="1">
      <alignment horizontal="center" vertical="center"/>
    </xf>
    <xf numFmtId="0" fontId="4" fillId="0" borderId="0" xfId="0" applyFont="1" applyAlignment="1">
      <alignment horizontal="center" vertical="center"/>
    </xf>
    <xf numFmtId="165" fontId="7" fillId="0" borderId="0" xfId="1" applyNumberFormat="1" applyFont="1" applyBorder="1" applyAlignment="1">
      <alignment horizontal="center"/>
    </xf>
    <xf numFmtId="0" fontId="15" fillId="0" borderId="10" xfId="0" applyFont="1" applyBorder="1"/>
    <xf numFmtId="165" fontId="7" fillId="0" borderId="10" xfId="1" applyNumberFormat="1" applyFont="1" applyBorder="1" applyAlignment="1">
      <alignment horizontal="center"/>
    </xf>
    <xf numFmtId="1" fontId="7" fillId="0" borderId="0" xfId="3" applyNumberFormat="1" applyFont="1" applyFill="1" applyBorder="1"/>
    <xf numFmtId="165" fontId="4" fillId="0" borderId="0" xfId="1" applyNumberFormat="1" applyFont="1" applyFill="1"/>
    <xf numFmtId="167" fontId="4" fillId="4" borderId="11" xfId="3" applyNumberFormat="1" applyFont="1" applyFill="1" applyBorder="1"/>
    <xf numFmtId="167" fontId="4" fillId="4" borderId="12" xfId="3" applyNumberFormat="1" applyFont="1" applyFill="1" applyBorder="1"/>
    <xf numFmtId="167" fontId="7" fillId="4" borderId="12" xfId="3" applyNumberFormat="1" applyFont="1" applyFill="1" applyBorder="1"/>
    <xf numFmtId="167" fontId="7" fillId="4" borderId="13" xfId="3" applyNumberFormat="1" applyFont="1" applyFill="1" applyBorder="1"/>
    <xf numFmtId="0" fontId="6" fillId="0" borderId="0" xfId="0" applyFont="1" applyAlignment="1">
      <alignment vertical="center"/>
    </xf>
    <xf numFmtId="170" fontId="4" fillId="4" borderId="2" xfId="3" applyNumberFormat="1" applyFont="1" applyFill="1" applyBorder="1"/>
    <xf numFmtId="170" fontId="4" fillId="4" borderId="8" xfId="3" applyNumberFormat="1" applyFont="1" applyFill="1" applyBorder="1"/>
    <xf numFmtId="170" fontId="4" fillId="4" borderId="10" xfId="3" applyNumberFormat="1" applyFont="1" applyFill="1" applyBorder="1"/>
    <xf numFmtId="170" fontId="4" fillId="4" borderId="12" xfId="3" applyNumberFormat="1" applyFont="1" applyFill="1" applyBorder="1"/>
    <xf numFmtId="170" fontId="4" fillId="4" borderId="13" xfId="3" applyNumberFormat="1" applyFont="1" applyFill="1" applyBorder="1"/>
    <xf numFmtId="0" fontId="14" fillId="0" borderId="31" xfId="0" applyFont="1" applyBorder="1" applyAlignment="1">
      <alignment horizontal="centerContinuous"/>
    </xf>
    <xf numFmtId="0" fontId="14" fillId="0" borderId="31" xfId="0" applyFont="1" applyBorder="1" applyAlignment="1">
      <alignment horizontal="centerContinuous" vertical="center"/>
    </xf>
    <xf numFmtId="176" fontId="4" fillId="0" borderId="0" xfId="1" applyNumberFormat="1" applyFont="1"/>
    <xf numFmtId="0" fontId="0" fillId="0" borderId="0" xfId="0" applyAlignment="1">
      <alignment horizontal="right" vertical="center"/>
    </xf>
    <xf numFmtId="0" fontId="19" fillId="0" borderId="0" xfId="0" applyFont="1" applyAlignment="1">
      <alignment horizontal="center" vertical="center"/>
    </xf>
    <xf numFmtId="0" fontId="19" fillId="0" borderId="0" xfId="0" applyFont="1" applyAlignment="1">
      <alignment horizontal="center"/>
    </xf>
    <xf numFmtId="0" fontId="4" fillId="0" borderId="12" xfId="0" applyFont="1" applyBorder="1" applyAlignment="1">
      <alignment vertical="center"/>
    </xf>
    <xf numFmtId="0" fontId="4" fillId="0" borderId="12" xfId="0" applyFont="1" applyBorder="1" applyAlignment="1">
      <alignment horizontal="center" vertical="center"/>
    </xf>
    <xf numFmtId="173" fontId="7" fillId="0" borderId="12" xfId="1" applyNumberFormat="1" applyFont="1" applyBorder="1" applyAlignment="1">
      <alignment horizontal="center"/>
    </xf>
    <xf numFmtId="165" fontId="7" fillId="0" borderId="13" xfId="1" applyNumberFormat="1" applyFont="1" applyBorder="1" applyAlignment="1">
      <alignment horizontal="center"/>
    </xf>
    <xf numFmtId="165" fontId="7" fillId="0" borderId="12" xfId="1" applyNumberFormat="1" applyFont="1" applyBorder="1" applyAlignment="1">
      <alignment horizontal="center"/>
    </xf>
    <xf numFmtId="173" fontId="7" fillId="0" borderId="13" xfId="0" applyNumberFormat="1" applyFont="1" applyBorder="1" applyAlignment="1">
      <alignment horizontal="center" vertical="center"/>
    </xf>
    <xf numFmtId="170" fontId="4" fillId="5" borderId="0" xfId="3" applyNumberFormat="1" applyFont="1" applyFill="1" applyBorder="1"/>
    <xf numFmtId="171" fontId="4" fillId="5" borderId="0" xfId="3" applyNumberFormat="1" applyFont="1" applyFill="1" applyBorder="1"/>
    <xf numFmtId="175" fontId="4" fillId="0" borderId="0" xfId="0" applyNumberFormat="1" applyFont="1"/>
    <xf numFmtId="173" fontId="4" fillId="4" borderId="13" xfId="1" applyNumberFormat="1" applyFont="1" applyFill="1" applyBorder="1"/>
    <xf numFmtId="0" fontId="6" fillId="0" borderId="9" xfId="0" applyFont="1" applyBorder="1" applyAlignment="1">
      <alignment horizontal="left" vertical="center" indent="1"/>
    </xf>
    <xf numFmtId="0" fontId="4" fillId="0" borderId="0" xfId="0" applyFont="1" applyAlignment="1">
      <alignment horizontal="centerContinuous" vertical="center"/>
    </xf>
    <xf numFmtId="173" fontId="7" fillId="0" borderId="0" xfId="1" applyNumberFormat="1" applyFont="1" applyAlignment="1">
      <alignment horizontal="center" vertical="center"/>
    </xf>
    <xf numFmtId="0" fontId="0" fillId="7" borderId="0" xfId="0" applyFill="1"/>
    <xf numFmtId="0" fontId="20" fillId="0" borderId="0" xfId="0" applyFont="1" applyAlignment="1">
      <alignment horizontal="left"/>
    </xf>
    <xf numFmtId="0" fontId="21" fillId="0" borderId="31" xfId="0" applyFont="1" applyBorder="1" applyAlignment="1">
      <alignment horizontal="left" vertical="center" indent="1"/>
    </xf>
    <xf numFmtId="0" fontId="18" fillId="0" borderId="0" xfId="6" applyFill="1" applyBorder="1" applyAlignment="1">
      <alignment horizontal="left" vertical="center" indent="1"/>
    </xf>
    <xf numFmtId="0" fontId="0" fillId="8" borderId="0" xfId="0" applyFill="1"/>
    <xf numFmtId="0" fontId="9" fillId="8" borderId="0" xfId="0" applyFont="1" applyFill="1"/>
    <xf numFmtId="0" fontId="0" fillId="7" borderId="34" xfId="0" applyFill="1" applyBorder="1"/>
    <xf numFmtId="0" fontId="0" fillId="7" borderId="35" xfId="0" applyFill="1" applyBorder="1"/>
    <xf numFmtId="0" fontId="0" fillId="7" borderId="36" xfId="0" applyFill="1" applyBorder="1"/>
    <xf numFmtId="0" fontId="0" fillId="7" borderId="37" xfId="0" applyFill="1" applyBorder="1"/>
    <xf numFmtId="0" fontId="0" fillId="7" borderId="38" xfId="0" applyFill="1" applyBorder="1"/>
    <xf numFmtId="0" fontId="0" fillId="0" borderId="37" xfId="0" applyBorder="1"/>
    <xf numFmtId="0" fontId="0" fillId="0" borderId="38" xfId="0" applyBorder="1"/>
    <xf numFmtId="0" fontId="0" fillId="5" borderId="37" xfId="0" applyFill="1" applyBorder="1"/>
    <xf numFmtId="0" fontId="0" fillId="5" borderId="38" xfId="0" applyFill="1" applyBorder="1"/>
    <xf numFmtId="0" fontId="0" fillId="0" borderId="39" xfId="0" applyBorder="1"/>
    <xf numFmtId="0" fontId="0" fillId="0" borderId="40" xfId="0" applyBorder="1"/>
    <xf numFmtId="0" fontId="0" fillId="0" borderId="41" xfId="0" applyBorder="1"/>
    <xf numFmtId="165" fontId="7" fillId="0" borderId="0" xfId="1" applyNumberFormat="1" applyFont="1" applyAlignment="1">
      <alignment horizontal="center" vertical="center"/>
    </xf>
    <xf numFmtId="165" fontId="7" fillId="0" borderId="9" xfId="1" applyNumberFormat="1" applyFont="1" applyBorder="1" applyAlignment="1">
      <alignment horizontal="center" vertical="center"/>
    </xf>
    <xf numFmtId="0" fontId="22" fillId="0" borderId="0" xfId="0" applyFont="1" applyAlignment="1">
      <alignment horizontal="right" vertical="center"/>
    </xf>
    <xf numFmtId="0" fontId="22" fillId="0" borderId="0" xfId="0" applyFont="1" applyAlignment="1">
      <alignment horizontal="right"/>
    </xf>
    <xf numFmtId="0" fontId="18" fillId="0" borderId="0" xfId="6" applyAlignment="1">
      <alignment horizontal="right"/>
    </xf>
  </cellXfs>
  <cellStyles count="7">
    <cellStyle name="Comma" xfId="1" builtinId="3"/>
    <cellStyle name="Comma 2" xfId="5" xr:uid="{1C802D9D-DC0E-4E23-A959-897DEF22904A}"/>
    <cellStyle name="Currency" xfId="2" builtinId="4"/>
    <cellStyle name="Hyperlink" xfId="6" builtinId="8"/>
    <cellStyle name="Normal" xfId="0" builtinId="0"/>
    <cellStyle name="Normal 2" xfId="4" xr:uid="{A4A597A5-C04B-48E6-8273-C4D8DA9D5D7F}"/>
    <cellStyle name="Percent" xfId="3" builtinId="5"/>
  </cellStyles>
  <dxfs count="0"/>
  <tableStyles count="0" defaultTableStyle="TableStyleMedium2" defaultPivotStyle="PivotStyleLight16"/>
  <colors>
    <mruColors>
      <color rgb="FF004B8C"/>
      <color rgb="FF3271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Trend</a:t>
            </a:r>
            <a:r>
              <a:rPr lang="en-US" baseline="0"/>
              <a:t> (2019 - 2029)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Dashboard!$B$96</c:f>
              <c:strCache>
                <c:ptCount val="1"/>
                <c:pt idx="0">
                  <c:v>Revenue</c:v>
                </c:pt>
              </c:strCache>
            </c:strRef>
          </c:tx>
          <c:spPr>
            <a:ln w="28575" cap="rnd">
              <a:solidFill>
                <a:schemeClr val="accent1"/>
              </a:solidFill>
              <a:round/>
            </a:ln>
            <a:effectLst/>
          </c:spPr>
          <c:marker>
            <c:symbol val="circle"/>
            <c:size val="6"/>
            <c:spPr>
              <a:solidFill>
                <a:schemeClr val="accent2"/>
              </a:solidFill>
              <a:ln w="9525">
                <a:noFill/>
              </a:ln>
              <a:effectLst/>
            </c:spPr>
          </c:marker>
          <c:dPt>
            <c:idx val="6"/>
            <c:marker>
              <c:symbol val="circle"/>
              <c:size val="6"/>
              <c:spPr>
                <a:solidFill>
                  <a:schemeClr val="accent2"/>
                </a:solidFill>
                <a:ln w="9525">
                  <a:noFill/>
                </a:ln>
                <a:effectLst/>
              </c:spPr>
            </c:marker>
            <c:bubble3D val="0"/>
            <c:spPr>
              <a:ln w="28575" cap="rnd">
                <a:solidFill>
                  <a:schemeClr val="accent1"/>
                </a:solidFill>
                <a:prstDash val="dash"/>
                <a:round/>
              </a:ln>
              <a:effectLst/>
            </c:spPr>
            <c:extLst>
              <c:ext xmlns:c16="http://schemas.microsoft.com/office/drawing/2014/chart" uri="{C3380CC4-5D6E-409C-BE32-E72D297353CC}">
                <c16:uniqueId val="{00000007-68E6-4F36-B91C-A547A2C8AB11}"/>
              </c:ext>
            </c:extLst>
          </c:dPt>
          <c:dPt>
            <c:idx val="7"/>
            <c:marker>
              <c:symbol val="circle"/>
              <c:size val="6"/>
              <c:spPr>
                <a:solidFill>
                  <a:schemeClr val="accent2"/>
                </a:solidFill>
                <a:ln w="9525">
                  <a:noFill/>
                </a:ln>
                <a:effectLst/>
              </c:spPr>
            </c:marker>
            <c:bubble3D val="0"/>
            <c:spPr>
              <a:ln w="28575" cap="rnd">
                <a:solidFill>
                  <a:schemeClr val="accent1"/>
                </a:solidFill>
                <a:prstDash val="dash"/>
                <a:round/>
              </a:ln>
              <a:effectLst/>
            </c:spPr>
            <c:extLst>
              <c:ext xmlns:c16="http://schemas.microsoft.com/office/drawing/2014/chart" uri="{C3380CC4-5D6E-409C-BE32-E72D297353CC}">
                <c16:uniqueId val="{00000008-68E6-4F36-B91C-A547A2C8AB11}"/>
              </c:ext>
            </c:extLst>
          </c:dPt>
          <c:dPt>
            <c:idx val="8"/>
            <c:marker>
              <c:symbol val="circle"/>
              <c:size val="6"/>
              <c:spPr>
                <a:solidFill>
                  <a:schemeClr val="accent2"/>
                </a:solidFill>
                <a:ln w="9525">
                  <a:noFill/>
                </a:ln>
                <a:effectLst/>
              </c:spPr>
            </c:marker>
            <c:bubble3D val="0"/>
            <c:spPr>
              <a:ln w="28575" cap="rnd">
                <a:solidFill>
                  <a:schemeClr val="accent1"/>
                </a:solidFill>
                <a:prstDash val="dash"/>
                <a:round/>
              </a:ln>
              <a:effectLst/>
            </c:spPr>
            <c:extLst>
              <c:ext xmlns:c16="http://schemas.microsoft.com/office/drawing/2014/chart" uri="{C3380CC4-5D6E-409C-BE32-E72D297353CC}">
                <c16:uniqueId val="{0000000A-68E6-4F36-B91C-A547A2C8AB11}"/>
              </c:ext>
            </c:extLst>
          </c:dPt>
          <c:dPt>
            <c:idx val="9"/>
            <c:marker>
              <c:symbol val="circle"/>
              <c:size val="6"/>
              <c:spPr>
                <a:solidFill>
                  <a:schemeClr val="accent2"/>
                </a:solidFill>
                <a:ln w="9525">
                  <a:noFill/>
                </a:ln>
                <a:effectLst/>
              </c:spPr>
            </c:marker>
            <c:bubble3D val="0"/>
            <c:spPr>
              <a:ln w="28575" cap="rnd">
                <a:solidFill>
                  <a:schemeClr val="accent1"/>
                </a:solidFill>
                <a:prstDash val="dash"/>
                <a:round/>
              </a:ln>
              <a:effectLst/>
            </c:spPr>
            <c:extLst>
              <c:ext xmlns:c16="http://schemas.microsoft.com/office/drawing/2014/chart" uri="{C3380CC4-5D6E-409C-BE32-E72D297353CC}">
                <c16:uniqueId val="{00000009-68E6-4F36-B91C-A547A2C8AB11}"/>
              </c:ext>
            </c:extLst>
          </c:dPt>
          <c:dPt>
            <c:idx val="10"/>
            <c:marker>
              <c:symbol val="circle"/>
              <c:size val="6"/>
              <c:spPr>
                <a:solidFill>
                  <a:schemeClr val="accent2"/>
                </a:solidFill>
                <a:ln w="9525">
                  <a:noFill/>
                </a:ln>
                <a:effectLst/>
              </c:spPr>
            </c:marker>
            <c:bubble3D val="0"/>
            <c:spPr>
              <a:ln w="28575" cap="rnd">
                <a:solidFill>
                  <a:schemeClr val="accent1"/>
                </a:solidFill>
                <a:prstDash val="dash"/>
                <a:round/>
              </a:ln>
              <a:effectLst/>
            </c:spPr>
            <c:extLst>
              <c:ext xmlns:c16="http://schemas.microsoft.com/office/drawing/2014/chart" uri="{C3380CC4-5D6E-409C-BE32-E72D297353CC}">
                <c16:uniqueId val="{0000000B-68E6-4F36-B91C-A547A2C8AB11}"/>
              </c:ext>
            </c:extLst>
          </c:dPt>
          <c:cat>
            <c:numRef>
              <c:f>Dashboard!$C$93:$M$93</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Dashboard!$C$96:$M$96</c:f>
              <c:numCache>
                <c:formatCode>_(#,##0_);\(#,##0\);_("–"_);_(@_)</c:formatCode>
                <c:ptCount val="11"/>
                <c:pt idx="0">
                  <c:v>1698352</c:v>
                </c:pt>
                <c:pt idx="1">
                  <c:v>1856555</c:v>
                </c:pt>
                <c:pt idx="2">
                  <c:v>2184949</c:v>
                </c:pt>
                <c:pt idx="3">
                  <c:v>2114297</c:v>
                </c:pt>
                <c:pt idx="4">
                  <c:v>1887482</c:v>
                </c:pt>
                <c:pt idx="5">
                  <c:v>1682296</c:v>
                </c:pt>
                <c:pt idx="6">
                  <c:v>1615004.16</c:v>
                </c:pt>
                <c:pt idx="7">
                  <c:v>1631154.2016</c:v>
                </c:pt>
                <c:pt idx="8">
                  <c:v>1650728.0520192001</c:v>
                </c:pt>
                <c:pt idx="9">
                  <c:v>1675488.9727994879</c:v>
                </c:pt>
                <c:pt idx="10">
                  <c:v>1707323.2632826781</c:v>
                </c:pt>
              </c:numCache>
            </c:numRef>
          </c:val>
          <c:smooth val="1"/>
          <c:extLst>
            <c:ext xmlns:c16="http://schemas.microsoft.com/office/drawing/2014/chart" uri="{C3380CC4-5D6E-409C-BE32-E72D297353CC}">
              <c16:uniqueId val="{00000000-68E6-4F36-B91C-A547A2C8AB11}"/>
            </c:ext>
          </c:extLst>
        </c:ser>
        <c:dLbls>
          <c:showLegendKey val="0"/>
          <c:showVal val="0"/>
          <c:showCatName val="0"/>
          <c:showSerName val="0"/>
          <c:showPercent val="0"/>
          <c:showBubbleSize val="0"/>
        </c:dLbls>
        <c:marker val="1"/>
        <c:smooth val="0"/>
        <c:axId val="1007392271"/>
        <c:axId val="1007384111"/>
      </c:lineChart>
      <c:catAx>
        <c:axId val="1007392271"/>
        <c:scaling>
          <c:orientation val="minMax"/>
        </c:scaling>
        <c:delete val="0"/>
        <c:axPos val="b"/>
        <c:numFmt formatCode="0&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84111"/>
        <c:crosses val="autoZero"/>
        <c:auto val="1"/>
        <c:lblAlgn val="ctr"/>
        <c:lblOffset val="100"/>
        <c:noMultiLvlLbl val="0"/>
      </c:catAx>
      <c:valAx>
        <c:axId val="1007384111"/>
        <c:scaling>
          <c:orientation val="minMax"/>
          <c:max val="2400000"/>
          <c:min val="14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 Thousands)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0_);\(#,##0\);_(&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92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 Trend</a:t>
            </a:r>
            <a:r>
              <a:rPr lang="en-US" baseline="0"/>
              <a:t> (2019 - 2029)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Dashboard!$B$97</c:f>
              <c:strCache>
                <c:ptCount val="1"/>
                <c:pt idx="0">
                  <c:v>Net Income</c:v>
                </c:pt>
              </c:strCache>
            </c:strRef>
          </c:tx>
          <c:spPr>
            <a:ln w="28575" cap="rnd">
              <a:solidFill>
                <a:schemeClr val="accent2"/>
              </a:solidFill>
              <a:round/>
            </a:ln>
            <a:effectLst/>
          </c:spPr>
          <c:marker>
            <c:symbol val="circle"/>
            <c:size val="6"/>
            <c:spPr>
              <a:solidFill>
                <a:srgbClr val="004B8C"/>
              </a:solidFill>
              <a:ln w="9525">
                <a:noFill/>
              </a:ln>
              <a:effectLst/>
            </c:spPr>
          </c:marker>
          <c:dPt>
            <c:idx val="6"/>
            <c:marker>
              <c:symbol val="circle"/>
              <c:size val="6"/>
              <c:spPr>
                <a:solidFill>
                  <a:srgbClr val="004B8C"/>
                </a:solidFill>
                <a:ln w="9525">
                  <a:noFill/>
                </a:ln>
                <a:effectLst/>
              </c:spPr>
            </c:marker>
            <c:bubble3D val="0"/>
            <c:spPr>
              <a:ln w="28575" cap="rnd">
                <a:solidFill>
                  <a:schemeClr val="accent2"/>
                </a:solidFill>
                <a:prstDash val="dash"/>
                <a:round/>
              </a:ln>
              <a:effectLst/>
            </c:spPr>
            <c:extLst>
              <c:ext xmlns:c16="http://schemas.microsoft.com/office/drawing/2014/chart" uri="{C3380CC4-5D6E-409C-BE32-E72D297353CC}">
                <c16:uniqueId val="{00000002-68E6-4F36-B91C-A547A2C8AB11}"/>
              </c:ext>
            </c:extLst>
          </c:dPt>
          <c:dPt>
            <c:idx val="7"/>
            <c:marker>
              <c:symbol val="circle"/>
              <c:size val="6"/>
              <c:spPr>
                <a:solidFill>
                  <a:srgbClr val="004B8C"/>
                </a:solidFill>
                <a:ln w="9525">
                  <a:noFill/>
                </a:ln>
                <a:effectLst/>
              </c:spPr>
            </c:marker>
            <c:bubble3D val="0"/>
            <c:spPr>
              <a:ln w="28575" cap="rnd">
                <a:solidFill>
                  <a:schemeClr val="accent2"/>
                </a:solidFill>
                <a:prstDash val="dash"/>
                <a:round/>
              </a:ln>
              <a:effectLst/>
            </c:spPr>
            <c:extLst>
              <c:ext xmlns:c16="http://schemas.microsoft.com/office/drawing/2014/chart" uri="{C3380CC4-5D6E-409C-BE32-E72D297353CC}">
                <c16:uniqueId val="{00000003-68E6-4F36-B91C-A547A2C8AB11}"/>
              </c:ext>
            </c:extLst>
          </c:dPt>
          <c:dPt>
            <c:idx val="8"/>
            <c:marker>
              <c:symbol val="circle"/>
              <c:size val="6"/>
              <c:spPr>
                <a:solidFill>
                  <a:srgbClr val="004B8C"/>
                </a:solidFill>
                <a:ln w="9525">
                  <a:noFill/>
                </a:ln>
                <a:effectLst/>
              </c:spPr>
            </c:marker>
            <c:bubble3D val="0"/>
            <c:spPr>
              <a:ln w="28575" cap="rnd">
                <a:solidFill>
                  <a:schemeClr val="accent2"/>
                </a:solidFill>
                <a:prstDash val="dash"/>
                <a:round/>
              </a:ln>
              <a:effectLst/>
            </c:spPr>
            <c:extLst>
              <c:ext xmlns:c16="http://schemas.microsoft.com/office/drawing/2014/chart" uri="{C3380CC4-5D6E-409C-BE32-E72D297353CC}">
                <c16:uniqueId val="{00000004-68E6-4F36-B91C-A547A2C8AB11}"/>
              </c:ext>
            </c:extLst>
          </c:dPt>
          <c:dPt>
            <c:idx val="9"/>
            <c:marker>
              <c:symbol val="circle"/>
              <c:size val="6"/>
              <c:spPr>
                <a:solidFill>
                  <a:srgbClr val="004B8C"/>
                </a:solidFill>
                <a:ln w="9525">
                  <a:noFill/>
                </a:ln>
                <a:effectLst/>
              </c:spPr>
            </c:marker>
            <c:bubble3D val="0"/>
            <c:spPr>
              <a:ln w="28575" cap="rnd">
                <a:solidFill>
                  <a:schemeClr val="accent2"/>
                </a:solidFill>
                <a:prstDash val="dash"/>
                <a:round/>
              </a:ln>
              <a:effectLst/>
            </c:spPr>
            <c:extLst>
              <c:ext xmlns:c16="http://schemas.microsoft.com/office/drawing/2014/chart" uri="{C3380CC4-5D6E-409C-BE32-E72D297353CC}">
                <c16:uniqueId val="{00000005-68E6-4F36-B91C-A547A2C8AB11}"/>
              </c:ext>
            </c:extLst>
          </c:dPt>
          <c:dPt>
            <c:idx val="10"/>
            <c:marker>
              <c:symbol val="circle"/>
              <c:size val="6"/>
              <c:spPr>
                <a:solidFill>
                  <a:srgbClr val="004B8C"/>
                </a:solidFill>
                <a:ln w="9525">
                  <a:noFill/>
                </a:ln>
                <a:effectLst/>
              </c:spPr>
            </c:marker>
            <c:bubble3D val="0"/>
            <c:spPr>
              <a:ln w="28575" cap="rnd">
                <a:solidFill>
                  <a:schemeClr val="accent2"/>
                </a:solidFill>
                <a:prstDash val="dash"/>
                <a:round/>
              </a:ln>
              <a:effectLst/>
            </c:spPr>
            <c:extLst>
              <c:ext xmlns:c16="http://schemas.microsoft.com/office/drawing/2014/chart" uri="{C3380CC4-5D6E-409C-BE32-E72D297353CC}">
                <c16:uniqueId val="{00000006-68E6-4F36-B91C-A547A2C8AB11}"/>
              </c:ext>
            </c:extLst>
          </c:dPt>
          <c:cat>
            <c:numRef>
              <c:f>Dashboard!$C$93:$M$93</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Dashboard!$C$97:$M$97</c:f>
              <c:numCache>
                <c:formatCode>_(#,##0_);\(#,##0\);_("–"_);_(@_)</c:formatCode>
                <c:ptCount val="11"/>
                <c:pt idx="0">
                  <c:v>81845</c:v>
                </c:pt>
                <c:pt idx="1">
                  <c:v>139189</c:v>
                </c:pt>
                <c:pt idx="2">
                  <c:v>153746</c:v>
                </c:pt>
                <c:pt idx="3">
                  <c:v>36610</c:v>
                </c:pt>
                <c:pt idx="4">
                  <c:v>-15287</c:v>
                </c:pt>
                <c:pt idx="5">
                  <c:v>-20334</c:v>
                </c:pt>
                <c:pt idx="6">
                  <c:v>-14673.749786706934</c:v>
                </c:pt>
                <c:pt idx="7">
                  <c:v>-3900.9831586304572</c:v>
                </c:pt>
                <c:pt idx="8">
                  <c:v>18136.501291690962</c:v>
                </c:pt>
                <c:pt idx="9">
                  <c:v>24374.06651012375</c:v>
                </c:pt>
                <c:pt idx="10">
                  <c:v>25031.432272356928</c:v>
                </c:pt>
              </c:numCache>
            </c:numRef>
          </c:val>
          <c:smooth val="1"/>
          <c:extLst>
            <c:ext xmlns:c16="http://schemas.microsoft.com/office/drawing/2014/chart" uri="{C3380CC4-5D6E-409C-BE32-E72D297353CC}">
              <c16:uniqueId val="{00000001-68E6-4F36-B91C-A547A2C8AB11}"/>
            </c:ext>
          </c:extLst>
        </c:ser>
        <c:dLbls>
          <c:showLegendKey val="0"/>
          <c:showVal val="0"/>
          <c:showCatName val="0"/>
          <c:showSerName val="0"/>
          <c:showPercent val="0"/>
          <c:showBubbleSize val="0"/>
        </c:dLbls>
        <c:marker val="1"/>
        <c:smooth val="0"/>
        <c:axId val="1007392271"/>
        <c:axId val="1007384111"/>
      </c:lineChart>
      <c:catAx>
        <c:axId val="1007392271"/>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84111"/>
        <c:crosses val="autoZero"/>
        <c:auto val="1"/>
        <c:lblAlgn val="ctr"/>
        <c:lblOffset val="100"/>
        <c:noMultiLvlLbl val="0"/>
      </c:catAx>
      <c:valAx>
        <c:axId val="1007384111"/>
        <c:scaling>
          <c:orientation val="minMax"/>
          <c:max val="170000"/>
          <c:min val="-3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Income ($ Thousands)</a:t>
                </a:r>
              </a:p>
            </c:rich>
          </c:tx>
          <c:layout>
            <c:manualLayout>
              <c:xMode val="edge"/>
              <c:yMode val="edge"/>
              <c:x val="2.2774327122153208E-2"/>
              <c:y val="0.199931271477663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0_);\(#,##0\);_(&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92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Margin Trend (2019</a:t>
            </a:r>
            <a:r>
              <a:rPr lang="en-US" baseline="0"/>
              <a:t> to 2029)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Dashboard!$B$100</c:f>
              <c:strCache>
                <c:ptCount val="1"/>
                <c:pt idx="0">
                  <c:v>Gross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Dashboard!$C$93:$M$93</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Dashboard!$C$100:$M$100</c:f>
              <c:numCache>
                <c:formatCode>_(#,##0.0%_);\(#,##0.0%\);_("–"_);_(@_)</c:formatCode>
                <c:ptCount val="11"/>
                <c:pt idx="0">
                  <c:v>0.61937866826193866</c:v>
                </c:pt>
                <c:pt idx="1">
                  <c:v>0.62265863386756659</c:v>
                </c:pt>
                <c:pt idx="2">
                  <c:v>0.60360539307782468</c:v>
                </c:pt>
                <c:pt idx="3">
                  <c:v>0.56865047814947478</c:v>
                </c:pt>
                <c:pt idx="4">
                  <c:v>0.57671013551387507</c:v>
                </c:pt>
                <c:pt idx="5">
                  <c:v>0.59607405593308194</c:v>
                </c:pt>
                <c:pt idx="6">
                  <c:v>0.59</c:v>
                </c:pt>
                <c:pt idx="7">
                  <c:v>0.59</c:v>
                </c:pt>
                <c:pt idx="8">
                  <c:v>0.59</c:v>
                </c:pt>
                <c:pt idx="9">
                  <c:v>0.59</c:v>
                </c:pt>
                <c:pt idx="10">
                  <c:v>0.59</c:v>
                </c:pt>
              </c:numCache>
            </c:numRef>
          </c:val>
          <c:extLst>
            <c:ext xmlns:c16="http://schemas.microsoft.com/office/drawing/2014/chart" uri="{C3380CC4-5D6E-409C-BE32-E72D297353CC}">
              <c16:uniqueId val="{00000000-399C-4EBD-8968-2EC26A5405D5}"/>
            </c:ext>
          </c:extLst>
        </c:ser>
        <c:dLbls>
          <c:dLblPos val="outEnd"/>
          <c:showLegendKey val="0"/>
          <c:showVal val="1"/>
          <c:showCatName val="0"/>
          <c:showSerName val="0"/>
          <c:showPercent val="0"/>
          <c:showBubbleSize val="0"/>
        </c:dLbls>
        <c:gapWidth val="219"/>
        <c:overlap val="-27"/>
        <c:axId val="1007325071"/>
        <c:axId val="1007333231"/>
      </c:barChart>
      <c:catAx>
        <c:axId val="1007325071"/>
        <c:scaling>
          <c:orientation val="minMax"/>
        </c:scaling>
        <c:delete val="0"/>
        <c:axPos val="b"/>
        <c:numFmt formatCode="0&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33231"/>
        <c:crosses val="autoZero"/>
        <c:auto val="1"/>
        <c:lblAlgn val="ctr"/>
        <c:lblOffset val="100"/>
        <c:noMultiLvlLbl val="0"/>
      </c:catAx>
      <c:valAx>
        <c:axId val="1007333231"/>
        <c:scaling>
          <c:orientation val="minMax"/>
        </c:scaling>
        <c:delete val="0"/>
        <c:axPos val="l"/>
        <c:numFmt formatCode="_(#,##0.0%_);\(#,##0.0%\);_(&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25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Margin Trend (2019</a:t>
            </a:r>
            <a:r>
              <a:rPr lang="en-US" baseline="0"/>
              <a:t> to 2029)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Dashboard!$B$101</c:f>
              <c:strCache>
                <c:ptCount val="1"/>
                <c:pt idx="0">
                  <c:v>Operating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Dashboard!$C$93:$M$93</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Dashboard!$C$101:$M$101</c:f>
              <c:numCache>
                <c:formatCode>_(#,##0.0%_);\(#,##0.0%\);_("–"_);_(@_)</c:formatCode>
                <c:ptCount val="11"/>
                <c:pt idx="0">
                  <c:v>6.6002218621345865E-2</c:v>
                </c:pt>
                <c:pt idx="1">
                  <c:v>9.9590908968492722E-2</c:v>
                </c:pt>
                <c:pt idx="2">
                  <c:v>8.8576895845166176E-2</c:v>
                </c:pt>
                <c:pt idx="3">
                  <c:v>3.2105234032872389E-2</c:v>
                </c:pt>
                <c:pt idx="4">
                  <c:v>1.2154817900250175E-2</c:v>
                </c:pt>
                <c:pt idx="5">
                  <c:v>1.3595704917565041E-2</c:v>
                </c:pt>
                <c:pt idx="6">
                  <c:v>1.7642770121442785E-2</c:v>
                </c:pt>
                <c:pt idx="7">
                  <c:v>2.0999999999999956E-2</c:v>
                </c:pt>
                <c:pt idx="8">
                  <c:v>2.2999999999999961E-2</c:v>
                </c:pt>
                <c:pt idx="9">
                  <c:v>2.3000000000000003E-2</c:v>
                </c:pt>
                <c:pt idx="10">
                  <c:v>2.3000000000000027E-2</c:v>
                </c:pt>
              </c:numCache>
            </c:numRef>
          </c:val>
          <c:extLst>
            <c:ext xmlns:c16="http://schemas.microsoft.com/office/drawing/2014/chart" uri="{C3380CC4-5D6E-409C-BE32-E72D297353CC}">
              <c16:uniqueId val="{00000000-399C-4EBD-8968-2EC26A5405D5}"/>
            </c:ext>
          </c:extLst>
        </c:ser>
        <c:dLbls>
          <c:dLblPos val="outEnd"/>
          <c:showLegendKey val="0"/>
          <c:showVal val="1"/>
          <c:showCatName val="0"/>
          <c:showSerName val="0"/>
          <c:showPercent val="0"/>
          <c:showBubbleSize val="0"/>
        </c:dLbls>
        <c:gapWidth val="219"/>
        <c:overlap val="-27"/>
        <c:axId val="1007325071"/>
        <c:axId val="1007333231"/>
      </c:barChart>
      <c:catAx>
        <c:axId val="1007325071"/>
        <c:scaling>
          <c:orientation val="minMax"/>
        </c:scaling>
        <c:delete val="0"/>
        <c:axPos val="b"/>
        <c:numFmt formatCode="0&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33231"/>
        <c:crosses val="autoZero"/>
        <c:auto val="1"/>
        <c:lblAlgn val="ctr"/>
        <c:lblOffset val="100"/>
        <c:noMultiLvlLbl val="0"/>
      </c:catAx>
      <c:valAx>
        <c:axId val="1007333231"/>
        <c:scaling>
          <c:orientation val="minMax"/>
          <c:min val="1.0000000000000002E-2"/>
        </c:scaling>
        <c:delete val="0"/>
        <c:axPos val="l"/>
        <c:numFmt formatCode="_(#,##0.0%_);\(#,##0.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25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Margin Trend (2019</a:t>
            </a:r>
            <a:r>
              <a:rPr lang="en-US" baseline="0"/>
              <a:t> to 2029)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Dashboard!$B$102</c:f>
              <c:strCache>
                <c:ptCount val="1"/>
                <c:pt idx="0">
                  <c:v>Net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Dashboard!$C$93:$M$93</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Dashboard!$C$102:$M$102</c:f>
              <c:numCache>
                <c:formatCode>_(#,##0.0%_);\(#,##0.0%\);_("–"_);_(@_)</c:formatCode>
                <c:ptCount val="11"/>
                <c:pt idx="0">
                  <c:v>4.8190834408885788E-2</c:v>
                </c:pt>
                <c:pt idx="1">
                  <c:v>7.4971654489094042E-2</c:v>
                </c:pt>
                <c:pt idx="2">
                  <c:v>7.0365944468269048E-2</c:v>
                </c:pt>
                <c:pt idx="3">
                  <c:v>1.7315448113486422E-2</c:v>
                </c:pt>
                <c:pt idx="4">
                  <c:v>-8.0991500846100788E-3</c:v>
                </c:pt>
                <c:pt idx="5">
                  <c:v>-1.2087052456880359E-2</c:v>
                </c:pt>
                <c:pt idx="6">
                  <c:v>-9.0858897767216486E-3</c:v>
                </c:pt>
                <c:pt idx="7">
                  <c:v>-2.3915477487070082E-3</c:v>
                </c:pt>
                <c:pt idx="8">
                  <c:v>1.0986971033481905E-2</c:v>
                </c:pt>
                <c:pt idx="9">
                  <c:v>1.4547434752374635E-2</c:v>
                </c:pt>
                <c:pt idx="10">
                  <c:v>1.4661214317568004E-2</c:v>
                </c:pt>
              </c:numCache>
            </c:numRef>
          </c:val>
          <c:extLst>
            <c:ext xmlns:c16="http://schemas.microsoft.com/office/drawing/2014/chart" uri="{C3380CC4-5D6E-409C-BE32-E72D297353CC}">
              <c16:uniqueId val="{00000000-399C-4EBD-8968-2EC26A5405D5}"/>
            </c:ext>
          </c:extLst>
        </c:ser>
        <c:dLbls>
          <c:dLblPos val="outEnd"/>
          <c:showLegendKey val="0"/>
          <c:showVal val="1"/>
          <c:showCatName val="0"/>
          <c:showSerName val="0"/>
          <c:showPercent val="0"/>
          <c:showBubbleSize val="0"/>
        </c:dLbls>
        <c:gapWidth val="219"/>
        <c:overlap val="-27"/>
        <c:axId val="1007325071"/>
        <c:axId val="1007333231"/>
      </c:barChart>
      <c:catAx>
        <c:axId val="1007325071"/>
        <c:scaling>
          <c:orientation val="minMax"/>
        </c:scaling>
        <c:delete val="1"/>
        <c:axPos val="b"/>
        <c:numFmt formatCode="0&quot;A&quot;" sourceLinked="1"/>
        <c:majorTickMark val="none"/>
        <c:minorTickMark val="none"/>
        <c:tickLblPos val="nextTo"/>
        <c:crossAx val="1007333231"/>
        <c:crosses val="autoZero"/>
        <c:auto val="1"/>
        <c:lblAlgn val="ctr"/>
        <c:lblOffset val="100"/>
        <c:noMultiLvlLbl val="0"/>
      </c:catAx>
      <c:valAx>
        <c:axId val="1007333231"/>
        <c:scaling>
          <c:orientation val="minMax"/>
          <c:min val="-3.0000000000000006E-2"/>
        </c:scaling>
        <c:delete val="0"/>
        <c:axPos val="l"/>
        <c:numFmt formatCode="_(#,##0.0%_);\(#,##0.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25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314507</xdr:colOff>
      <xdr:row>2</xdr:row>
      <xdr:rowOff>123825</xdr:rowOff>
    </xdr:from>
    <xdr:to>
      <xdr:col>4</xdr:col>
      <xdr:colOff>304800</xdr:colOff>
      <xdr:row>5</xdr:row>
      <xdr:rowOff>125654</xdr:rowOff>
    </xdr:to>
    <xdr:pic>
      <xdr:nvPicPr>
        <xdr:cNvPr id="3" name="Picture 2">
          <a:extLst>
            <a:ext uri="{FF2B5EF4-FFF2-40B4-BE49-F238E27FC236}">
              <a16:creationId xmlns:a16="http://schemas.microsoft.com/office/drawing/2014/main" id="{12DA0F04-7581-8F55-00C2-3C6AA0E402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7407" y="504825"/>
          <a:ext cx="3333568" cy="544754"/>
        </a:xfrm>
        <a:prstGeom prst="rect">
          <a:avLst/>
        </a:prstGeom>
      </xdr:spPr>
    </xdr:pic>
    <xdr:clientData/>
  </xdr:twoCellAnchor>
  <xdr:twoCellAnchor>
    <xdr:from>
      <xdr:col>2</xdr:col>
      <xdr:colOff>38100</xdr:colOff>
      <xdr:row>22</xdr:row>
      <xdr:rowOff>57150</xdr:rowOff>
    </xdr:from>
    <xdr:to>
      <xdr:col>20</xdr:col>
      <xdr:colOff>561975</xdr:colOff>
      <xdr:row>29</xdr:row>
      <xdr:rowOff>114300</xdr:rowOff>
    </xdr:to>
    <xdr:sp macro="" textlink="">
      <xdr:nvSpPr>
        <xdr:cNvPr id="4" name="TextBox 3">
          <a:extLst>
            <a:ext uri="{FF2B5EF4-FFF2-40B4-BE49-F238E27FC236}">
              <a16:creationId xmlns:a16="http://schemas.microsoft.com/office/drawing/2014/main" id="{A2370D54-AF37-8704-09D4-F08EC0FB1200}"/>
            </a:ext>
          </a:extLst>
        </xdr:cNvPr>
        <xdr:cNvSpPr txBox="1"/>
      </xdr:nvSpPr>
      <xdr:spPr>
        <a:xfrm>
          <a:off x="704850" y="4029075"/>
          <a:ext cx="13296900" cy="1323975"/>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Disclaimer</a:t>
          </a:r>
        </a:p>
        <a:p>
          <a:endParaRPr lang="en-US" b="1">
            <a:solidFill>
              <a:schemeClr val="bg1"/>
            </a:solidFill>
          </a:endParaRPr>
        </a:p>
        <a:p>
          <a:r>
            <a:rPr lang="en-US">
              <a:solidFill>
                <a:schemeClr val="bg1"/>
              </a:solidFill>
            </a:rPr>
            <a:t>This Excel financial model is provided for academic</a:t>
          </a:r>
          <a:r>
            <a:rPr lang="en-US" baseline="0">
              <a:solidFill>
                <a:schemeClr val="bg1"/>
              </a:solidFill>
            </a:rPr>
            <a:t> purpose only</a:t>
          </a:r>
          <a:r>
            <a:rPr lang="en-US">
              <a:solidFill>
                <a:schemeClr val="bg1"/>
              </a:solidFill>
            </a:rPr>
            <a:t>. The data, assumptions, and projections contained within this file are based on publicly available information and reasonable estimates but do not guarantee future financial performance. The developer of this financial model is not responsible for any financial gains or losses resulting from decisions made based on this analysis. Users are advised to conduct their own due diligence, consult with financial professionals, and verify all data before making any investment or business decisions. While every effort has been made to ensure accuracy, this model may contain errors or omissions. The developer makes no representations or warranties, express or implied, regarding the completeness, reliability, or suitability of this model for any specific purpose. Any use of this file is at the user’s own risk. By using this Excel model, the user acknowledges and agrees to these terms.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0</xdr:rowOff>
    </xdr:from>
    <xdr:to>
      <xdr:col>7</xdr:col>
      <xdr:colOff>0</xdr:colOff>
      <xdr:row>25</xdr:row>
      <xdr:rowOff>95249</xdr:rowOff>
    </xdr:to>
    <xdr:graphicFrame macro="">
      <xdr:nvGraphicFramePr>
        <xdr:cNvPr id="3" name="Chart 2">
          <a:extLst>
            <a:ext uri="{FF2B5EF4-FFF2-40B4-BE49-F238E27FC236}">
              <a16:creationId xmlns:a16="http://schemas.microsoft.com/office/drawing/2014/main" id="{B2621834-0FDB-665B-E15D-3789322F83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25</xdr:row>
      <xdr:rowOff>142875</xdr:rowOff>
    </xdr:from>
    <xdr:to>
      <xdr:col>7</xdr:col>
      <xdr:colOff>0</xdr:colOff>
      <xdr:row>36</xdr:row>
      <xdr:rowOff>0</xdr:rowOff>
    </xdr:to>
    <xdr:graphicFrame macro="">
      <xdr:nvGraphicFramePr>
        <xdr:cNvPr id="4" name="Chart 3">
          <a:extLst>
            <a:ext uri="{FF2B5EF4-FFF2-40B4-BE49-F238E27FC236}">
              <a16:creationId xmlns:a16="http://schemas.microsoft.com/office/drawing/2014/main" id="{ED9CB79C-105A-70FF-66AC-94AB57D23A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47625</xdr:colOff>
      <xdr:row>4</xdr:row>
      <xdr:rowOff>9525</xdr:rowOff>
    </xdr:from>
    <xdr:to>
      <xdr:col>17</xdr:col>
      <xdr:colOff>0</xdr:colOff>
      <xdr:row>14</xdr:row>
      <xdr:rowOff>33337</xdr:rowOff>
    </xdr:to>
    <xdr:graphicFrame macro="">
      <xdr:nvGraphicFramePr>
        <xdr:cNvPr id="9" name="Chart 8">
          <a:extLst>
            <a:ext uri="{FF2B5EF4-FFF2-40B4-BE49-F238E27FC236}">
              <a16:creationId xmlns:a16="http://schemas.microsoft.com/office/drawing/2014/main" id="{36806805-8328-AB0A-27BA-2D5B7D52B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47625</xdr:colOff>
      <xdr:row>14</xdr:row>
      <xdr:rowOff>66675</xdr:rowOff>
    </xdr:from>
    <xdr:to>
      <xdr:col>17</xdr:col>
      <xdr:colOff>0</xdr:colOff>
      <xdr:row>24</xdr:row>
      <xdr:rowOff>104775</xdr:rowOff>
    </xdr:to>
    <xdr:graphicFrame macro="">
      <xdr:nvGraphicFramePr>
        <xdr:cNvPr id="10" name="Chart 9">
          <a:extLst>
            <a:ext uri="{FF2B5EF4-FFF2-40B4-BE49-F238E27FC236}">
              <a16:creationId xmlns:a16="http://schemas.microsoft.com/office/drawing/2014/main" id="{2214AA08-E4B9-DC98-CCC1-388009C6CE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47625</xdr:colOff>
      <xdr:row>25</xdr:row>
      <xdr:rowOff>0</xdr:rowOff>
    </xdr:from>
    <xdr:to>
      <xdr:col>17</xdr:col>
      <xdr:colOff>0</xdr:colOff>
      <xdr:row>36</xdr:row>
      <xdr:rowOff>0</xdr:rowOff>
    </xdr:to>
    <xdr:graphicFrame macro="">
      <xdr:nvGraphicFramePr>
        <xdr:cNvPr id="12" name="Chart 11">
          <a:extLst>
            <a:ext uri="{FF2B5EF4-FFF2-40B4-BE49-F238E27FC236}">
              <a16:creationId xmlns:a16="http://schemas.microsoft.com/office/drawing/2014/main" id="{FEA4AE03-D4BD-2D3E-669F-AC2BF8C2A6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142875</xdr:colOff>
      <xdr:row>0</xdr:row>
      <xdr:rowOff>247650</xdr:rowOff>
    </xdr:from>
    <xdr:to>
      <xdr:col>2</xdr:col>
      <xdr:colOff>824307</xdr:colOff>
      <xdr:row>0</xdr:row>
      <xdr:rowOff>679650</xdr:rowOff>
    </xdr:to>
    <xdr:pic>
      <xdr:nvPicPr>
        <xdr:cNvPr id="2" name="Picture 1">
          <a:extLst>
            <a:ext uri="{FF2B5EF4-FFF2-40B4-BE49-F238E27FC236}">
              <a16:creationId xmlns:a16="http://schemas.microsoft.com/office/drawing/2014/main" id="{C92AE27D-3C5F-41D2-9239-06A637814D9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52475" y="247650"/>
          <a:ext cx="2643582" cy="43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123825</xdr:colOff>
      <xdr:row>0</xdr:row>
      <xdr:rowOff>238125</xdr:rowOff>
    </xdr:from>
    <xdr:to>
      <xdr:col>3</xdr:col>
      <xdr:colOff>309957</xdr:colOff>
      <xdr:row>0</xdr:row>
      <xdr:rowOff>670125</xdr:rowOff>
    </xdr:to>
    <xdr:pic>
      <xdr:nvPicPr>
        <xdr:cNvPr id="2" name="Picture 1">
          <a:extLst>
            <a:ext uri="{FF2B5EF4-FFF2-40B4-BE49-F238E27FC236}">
              <a16:creationId xmlns:a16="http://schemas.microsoft.com/office/drawing/2014/main" id="{8BB52CF9-6C07-436C-8B98-B447A7FB7E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5" y="238125"/>
          <a:ext cx="2643582" cy="43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xdr:colOff>
      <xdr:row>0</xdr:row>
      <xdr:rowOff>257175</xdr:rowOff>
    </xdr:from>
    <xdr:to>
      <xdr:col>3</xdr:col>
      <xdr:colOff>167082</xdr:colOff>
      <xdr:row>0</xdr:row>
      <xdr:rowOff>689175</xdr:rowOff>
    </xdr:to>
    <xdr:pic>
      <xdr:nvPicPr>
        <xdr:cNvPr id="2" name="Picture 1">
          <a:extLst>
            <a:ext uri="{FF2B5EF4-FFF2-40B4-BE49-F238E27FC236}">
              <a16:creationId xmlns:a16="http://schemas.microsoft.com/office/drawing/2014/main" id="{1280D287-5800-4E68-A6A8-9335D91A10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257175"/>
          <a:ext cx="2643582" cy="432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133350</xdr:colOff>
      <xdr:row>0</xdr:row>
      <xdr:rowOff>238125</xdr:rowOff>
    </xdr:from>
    <xdr:to>
      <xdr:col>5</xdr:col>
      <xdr:colOff>338532</xdr:colOff>
      <xdr:row>0</xdr:row>
      <xdr:rowOff>670125</xdr:rowOff>
    </xdr:to>
    <xdr:pic>
      <xdr:nvPicPr>
        <xdr:cNvPr id="2" name="Picture 1">
          <a:extLst>
            <a:ext uri="{FF2B5EF4-FFF2-40B4-BE49-F238E27FC236}">
              <a16:creationId xmlns:a16="http://schemas.microsoft.com/office/drawing/2014/main" id="{2F499DBA-6358-4200-B673-1DF1157902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950" y="238125"/>
          <a:ext cx="2643582" cy="432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123825</xdr:colOff>
      <xdr:row>0</xdr:row>
      <xdr:rowOff>238125</xdr:rowOff>
    </xdr:from>
    <xdr:to>
      <xdr:col>2</xdr:col>
      <xdr:colOff>81357</xdr:colOff>
      <xdr:row>0</xdr:row>
      <xdr:rowOff>670125</xdr:rowOff>
    </xdr:to>
    <xdr:pic>
      <xdr:nvPicPr>
        <xdr:cNvPr id="2" name="Picture 1">
          <a:extLst>
            <a:ext uri="{FF2B5EF4-FFF2-40B4-BE49-F238E27FC236}">
              <a16:creationId xmlns:a16="http://schemas.microsoft.com/office/drawing/2014/main" id="{8DC79897-5B37-41A8-94BA-18121859D4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0075" y="238125"/>
          <a:ext cx="2643582" cy="43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in/sheershp26/"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EFA6-C173-4BAC-9E60-0FBD148F4AD3}">
  <dimension ref="B1:V33"/>
  <sheetViews>
    <sheetView showGridLines="0" zoomScale="80" zoomScaleNormal="80" workbookViewId="0">
      <selection activeCell="F15" sqref="F15"/>
    </sheetView>
  </sheetViews>
  <sheetFormatPr defaultRowHeight="14.4"/>
  <cols>
    <col min="1" max="1" width="5" customWidth="1"/>
    <col min="2" max="2" width="4.6640625" customWidth="1"/>
    <col min="3" max="3" width="35.109375" customWidth="1"/>
    <col min="21" max="21" width="8.88671875" customWidth="1"/>
    <col min="22" max="22" width="4.44140625" customWidth="1"/>
  </cols>
  <sheetData>
    <row r="1" spans="2:22" ht="15" thickBot="1"/>
    <row r="2" spans="2:22" ht="15" thickTop="1">
      <c r="B2" s="244"/>
      <c r="C2" s="245"/>
      <c r="D2" s="245"/>
      <c r="E2" s="245"/>
      <c r="F2" s="245"/>
      <c r="G2" s="245"/>
      <c r="H2" s="245"/>
      <c r="I2" s="245"/>
      <c r="J2" s="245"/>
      <c r="K2" s="245"/>
      <c r="L2" s="245"/>
      <c r="M2" s="245"/>
      <c r="N2" s="245"/>
      <c r="O2" s="245"/>
      <c r="P2" s="245"/>
      <c r="Q2" s="245"/>
      <c r="R2" s="245"/>
      <c r="S2" s="245"/>
      <c r="T2" s="245"/>
      <c r="U2" s="245"/>
      <c r="V2" s="246"/>
    </row>
    <row r="3" spans="2:22">
      <c r="B3" s="247"/>
      <c r="C3" s="238"/>
      <c r="D3" s="238"/>
      <c r="E3" s="238"/>
      <c r="F3" s="238"/>
      <c r="G3" s="238"/>
      <c r="H3" s="238"/>
      <c r="I3" s="238"/>
      <c r="J3" s="238"/>
      <c r="K3" s="238"/>
      <c r="L3" s="238"/>
      <c r="M3" s="238"/>
      <c r="N3" s="238"/>
      <c r="O3" s="238"/>
      <c r="P3" s="238"/>
      <c r="Q3" s="238"/>
      <c r="R3" s="238"/>
      <c r="S3" s="238"/>
      <c r="T3" s="238"/>
      <c r="U3" s="238"/>
      <c r="V3" s="248"/>
    </row>
    <row r="4" spans="2:22">
      <c r="B4" s="247"/>
      <c r="C4" s="238"/>
      <c r="D4" s="238"/>
      <c r="E4" s="238"/>
      <c r="F4" s="238"/>
      <c r="G4" s="238"/>
      <c r="H4" s="238"/>
      <c r="I4" s="238"/>
      <c r="J4" s="238"/>
      <c r="K4" s="238"/>
      <c r="L4" s="238"/>
      <c r="M4" s="238"/>
      <c r="N4" s="238"/>
      <c r="O4" s="238"/>
      <c r="P4" s="238"/>
      <c r="Q4" s="238"/>
      <c r="R4" s="238"/>
      <c r="S4" s="238"/>
      <c r="T4" s="238"/>
      <c r="U4" s="238"/>
      <c r="V4" s="248"/>
    </row>
    <row r="5" spans="2:22">
      <c r="B5" s="247"/>
      <c r="C5" s="238"/>
      <c r="D5" s="238"/>
      <c r="E5" s="238"/>
      <c r="F5" s="238"/>
      <c r="G5" s="238"/>
      <c r="H5" s="238"/>
      <c r="I5" s="238"/>
      <c r="J5" s="238"/>
      <c r="K5" s="238"/>
      <c r="L5" s="238"/>
      <c r="M5" s="238"/>
      <c r="N5" s="238"/>
      <c r="O5" s="238"/>
      <c r="P5" s="238"/>
      <c r="Q5" s="238"/>
      <c r="R5" s="238"/>
      <c r="S5" s="238"/>
      <c r="T5" s="238"/>
      <c r="U5" s="238"/>
      <c r="V5" s="248"/>
    </row>
    <row r="6" spans="2:22">
      <c r="B6" s="247"/>
      <c r="C6" s="238"/>
      <c r="D6" s="238"/>
      <c r="E6" s="238"/>
      <c r="F6" s="238"/>
      <c r="G6" s="238"/>
      <c r="H6" s="238"/>
      <c r="I6" s="238"/>
      <c r="J6" s="238"/>
      <c r="K6" s="238"/>
      <c r="L6" s="238"/>
      <c r="M6" s="238"/>
      <c r="N6" s="238"/>
      <c r="O6" s="238"/>
      <c r="P6" s="238"/>
      <c r="Q6" s="238"/>
      <c r="R6" s="238"/>
      <c r="S6" s="238"/>
      <c r="T6" s="238"/>
      <c r="U6" s="238"/>
      <c r="V6" s="248"/>
    </row>
    <row r="7" spans="2:22">
      <c r="B7" s="247"/>
      <c r="C7" s="238"/>
      <c r="D7" s="238"/>
      <c r="E7" s="238"/>
      <c r="F7" s="238"/>
      <c r="G7" s="238"/>
      <c r="H7" s="238"/>
      <c r="I7" s="238"/>
      <c r="J7" s="238"/>
      <c r="K7" s="238"/>
      <c r="L7" s="238"/>
      <c r="M7" s="238"/>
      <c r="N7" s="238"/>
      <c r="O7" s="238"/>
      <c r="P7" s="238"/>
      <c r="Q7" s="238"/>
      <c r="R7" s="238"/>
      <c r="S7" s="238"/>
      <c r="T7" s="238"/>
      <c r="U7" s="238"/>
      <c r="V7" s="248"/>
    </row>
    <row r="8" spans="2:22">
      <c r="B8" s="249"/>
      <c r="V8" s="250"/>
    </row>
    <row r="9" spans="2:22">
      <c r="B9" s="249"/>
      <c r="V9" s="250"/>
    </row>
    <row r="10" spans="2:22" ht="25.8">
      <c r="B10" s="249"/>
      <c r="C10" s="239" t="s">
        <v>287</v>
      </c>
      <c r="V10" s="250"/>
    </row>
    <row r="11" spans="2:22" ht="16.8" customHeight="1">
      <c r="B11" s="249"/>
      <c r="V11" s="250"/>
    </row>
    <row r="12" spans="2:22">
      <c r="B12" s="249"/>
      <c r="V12" s="250"/>
    </row>
    <row r="13" spans="2:22" ht="16.95" customHeight="1">
      <c r="B13" s="249"/>
      <c r="C13" s="240" t="s">
        <v>291</v>
      </c>
      <c r="V13" s="250"/>
    </row>
    <row r="14" spans="2:22" ht="16.95" customHeight="1">
      <c r="B14" s="249"/>
      <c r="V14" s="250"/>
    </row>
    <row r="15" spans="2:22" ht="16.95" customHeight="1">
      <c r="B15" s="249"/>
      <c r="C15" s="241" t="s">
        <v>269</v>
      </c>
      <c r="V15" s="250"/>
    </row>
    <row r="16" spans="2:22" ht="16.95" customHeight="1">
      <c r="B16" s="249"/>
      <c r="C16" s="241" t="s">
        <v>205</v>
      </c>
      <c r="V16" s="250"/>
    </row>
    <row r="17" spans="2:22" ht="16.95" customHeight="1">
      <c r="B17" s="249"/>
      <c r="C17" s="241" t="s">
        <v>288</v>
      </c>
      <c r="V17" s="250"/>
    </row>
    <row r="18" spans="2:22">
      <c r="B18" s="249"/>
      <c r="C18" s="241" t="s">
        <v>289</v>
      </c>
      <c r="V18" s="250"/>
    </row>
    <row r="19" spans="2:22">
      <c r="B19" s="249"/>
      <c r="C19" s="241" t="s">
        <v>290</v>
      </c>
      <c r="U19" s="258" t="s">
        <v>293</v>
      </c>
      <c r="V19" s="250"/>
    </row>
    <row r="20" spans="2:22">
      <c r="B20" s="249"/>
      <c r="U20" s="259" t="s">
        <v>294</v>
      </c>
      <c r="V20" s="250"/>
    </row>
    <row r="21" spans="2:22">
      <c r="B21" s="249"/>
      <c r="U21" s="260" t="s">
        <v>295</v>
      </c>
      <c r="V21" s="250"/>
    </row>
    <row r="22" spans="2:22">
      <c r="B22" s="249"/>
      <c r="V22" s="250"/>
    </row>
    <row r="23" spans="2:22">
      <c r="B23" s="249"/>
      <c r="C23" s="243"/>
      <c r="D23" s="243"/>
      <c r="E23" s="243"/>
      <c r="F23" s="243"/>
      <c r="G23" s="243"/>
      <c r="H23" s="243"/>
      <c r="I23" s="243"/>
      <c r="J23" s="243"/>
      <c r="K23" s="243"/>
      <c r="L23" s="243"/>
      <c r="M23" s="243"/>
      <c r="N23" s="243"/>
      <c r="O23" s="243"/>
      <c r="P23" s="243"/>
      <c r="Q23" s="243"/>
      <c r="R23" s="243"/>
      <c r="S23" s="243"/>
      <c r="T23" s="243"/>
      <c r="U23" s="243"/>
      <c r="V23" s="250"/>
    </row>
    <row r="24" spans="2:22">
      <c r="B24" s="249"/>
      <c r="C24" s="243"/>
      <c r="D24" s="242"/>
      <c r="E24" s="242"/>
      <c r="F24" s="242"/>
      <c r="G24" s="242"/>
      <c r="H24" s="242"/>
      <c r="I24" s="242"/>
      <c r="J24" s="242"/>
      <c r="K24" s="242"/>
      <c r="L24" s="242"/>
      <c r="M24" s="242"/>
      <c r="N24" s="242"/>
      <c r="O24" s="242"/>
      <c r="P24" s="242"/>
      <c r="Q24" s="242"/>
      <c r="R24" s="242"/>
      <c r="S24" s="242"/>
      <c r="T24" s="242"/>
      <c r="U24" s="242"/>
      <c r="V24" s="250"/>
    </row>
    <row r="25" spans="2:22">
      <c r="B25" s="249"/>
      <c r="C25" s="242"/>
      <c r="D25" s="242"/>
      <c r="E25" s="242"/>
      <c r="F25" s="242"/>
      <c r="G25" s="242"/>
      <c r="H25" s="242"/>
      <c r="I25" s="242"/>
      <c r="J25" s="242"/>
      <c r="K25" s="242"/>
      <c r="L25" s="242"/>
      <c r="M25" s="242"/>
      <c r="N25" s="242"/>
      <c r="O25" s="242"/>
      <c r="P25" s="242"/>
      <c r="Q25" s="242"/>
      <c r="R25" s="242"/>
      <c r="S25" s="242"/>
      <c r="T25" s="242"/>
      <c r="U25" s="242"/>
      <c r="V25" s="250"/>
    </row>
    <row r="26" spans="2:22">
      <c r="B26" s="249"/>
      <c r="C26" s="242"/>
      <c r="D26" s="242"/>
      <c r="E26" s="242"/>
      <c r="F26" s="242"/>
      <c r="G26" s="242"/>
      <c r="H26" s="242"/>
      <c r="I26" s="242"/>
      <c r="J26" s="242"/>
      <c r="K26" s="242"/>
      <c r="L26" s="242"/>
      <c r="M26" s="242"/>
      <c r="N26" s="242"/>
      <c r="O26" s="242"/>
      <c r="P26" s="242"/>
      <c r="Q26" s="242"/>
      <c r="R26" s="242"/>
      <c r="S26" s="242"/>
      <c r="T26" s="242"/>
      <c r="U26" s="242"/>
      <c r="V26" s="250"/>
    </row>
    <row r="27" spans="2:22">
      <c r="B27" s="249"/>
      <c r="C27" s="242"/>
      <c r="D27" s="242"/>
      <c r="E27" s="242"/>
      <c r="F27" s="242"/>
      <c r="G27" s="242"/>
      <c r="H27" s="242"/>
      <c r="I27" s="242"/>
      <c r="J27" s="242"/>
      <c r="K27" s="242"/>
      <c r="L27" s="242"/>
      <c r="M27" s="242"/>
      <c r="N27" s="242"/>
      <c r="O27" s="242"/>
      <c r="P27" s="242"/>
      <c r="Q27" s="242"/>
      <c r="R27" s="242"/>
      <c r="S27" s="242"/>
      <c r="T27" s="242"/>
      <c r="U27" s="242"/>
      <c r="V27" s="250"/>
    </row>
    <row r="28" spans="2:22">
      <c r="B28" s="249"/>
      <c r="C28" s="242"/>
      <c r="D28" s="242"/>
      <c r="E28" s="242"/>
      <c r="F28" s="242"/>
      <c r="G28" s="242"/>
      <c r="H28" s="242"/>
      <c r="I28" s="242"/>
      <c r="J28" s="242"/>
      <c r="K28" s="242"/>
      <c r="L28" s="242"/>
      <c r="M28" s="242"/>
      <c r="N28" s="242"/>
      <c r="O28" s="242"/>
      <c r="P28" s="242"/>
      <c r="Q28" s="242"/>
      <c r="R28" s="242"/>
      <c r="S28" s="242"/>
      <c r="T28" s="242"/>
      <c r="U28" s="242"/>
      <c r="V28" s="250"/>
    </row>
    <row r="29" spans="2:22">
      <c r="B29" s="251"/>
      <c r="C29" s="242"/>
      <c r="D29" s="242"/>
      <c r="E29" s="242"/>
      <c r="F29" s="242"/>
      <c r="G29" s="242"/>
      <c r="H29" s="242"/>
      <c r="I29" s="242"/>
      <c r="J29" s="242"/>
      <c r="K29" s="242"/>
      <c r="L29" s="242"/>
      <c r="M29" s="242"/>
      <c r="N29" s="242"/>
      <c r="O29" s="242"/>
      <c r="P29" s="242"/>
      <c r="Q29" s="242"/>
      <c r="R29" s="242"/>
      <c r="S29" s="242"/>
      <c r="T29" s="242"/>
      <c r="U29" s="242"/>
      <c r="V29" s="252"/>
    </row>
    <row r="30" spans="2:22">
      <c r="B30" s="251"/>
      <c r="C30" s="242"/>
      <c r="D30" s="242"/>
      <c r="E30" s="242"/>
      <c r="F30" s="242"/>
      <c r="G30" s="242"/>
      <c r="H30" s="242"/>
      <c r="I30" s="242"/>
      <c r="J30" s="242"/>
      <c r="K30" s="242"/>
      <c r="L30" s="242"/>
      <c r="M30" s="242"/>
      <c r="N30" s="242"/>
      <c r="O30" s="242"/>
      <c r="P30" s="242"/>
      <c r="Q30" s="242"/>
      <c r="R30" s="242"/>
      <c r="S30" s="242"/>
      <c r="T30" s="242"/>
      <c r="U30" s="242"/>
      <c r="V30" s="252"/>
    </row>
    <row r="31" spans="2:22">
      <c r="B31" s="249"/>
      <c r="V31" s="250"/>
    </row>
    <row r="32" spans="2:22" ht="15" thickBot="1">
      <c r="B32" s="253"/>
      <c r="C32" s="254"/>
      <c r="D32" s="254"/>
      <c r="E32" s="254"/>
      <c r="F32" s="254"/>
      <c r="G32" s="254"/>
      <c r="H32" s="254"/>
      <c r="I32" s="254"/>
      <c r="J32" s="254"/>
      <c r="K32" s="254"/>
      <c r="L32" s="254"/>
      <c r="M32" s="254"/>
      <c r="N32" s="254"/>
      <c r="O32" s="254"/>
      <c r="P32" s="254"/>
      <c r="Q32" s="254"/>
      <c r="R32" s="254"/>
      <c r="S32" s="254"/>
      <c r="T32" s="254"/>
      <c r="U32" s="254"/>
      <c r="V32" s="255"/>
    </row>
    <row r="33" ht="15" thickTop="1"/>
  </sheetData>
  <sheetProtection algorithmName="SHA-512" hashValue="X7rGGGL+IcKVdUSXLPdLTM9zZQ5BEINKoCAH5/bLjgZycs4O/PyMNHulyVIxWGUGyG7UfhLm+atCjsTIDCgD9A==" saltValue="gmDA1safbVQE4zjfLPxDXQ==" spinCount="100000" sheet="1" objects="1" scenarios="1"/>
  <hyperlinks>
    <hyperlink ref="C15" location="Dashboard!A1" display="Dashboard" xr:uid="{85C88269-01CF-4B1F-B289-940E81C90147}"/>
    <hyperlink ref="C16" location="WACC!A1" display="WACC" xr:uid="{4011EC36-552E-4249-9866-89C678627693}"/>
    <hyperlink ref="C17" location="DCF!A1" display="DCF" xr:uid="{5D6CBC92-CB54-4277-8B8A-A2DC2E7E234C}"/>
    <hyperlink ref="C19" location="'Financial Model'!A1" display="Financial Model" xr:uid="{28FFF3B5-8CA1-444A-ABD2-61DF718CE417}"/>
    <hyperlink ref="C18" location="'Comparable Company Analysis'!A1" display="Comparable Company Analysis" xr:uid="{CB7FA839-BAAA-4F11-9B58-F3FA52FC346B}"/>
    <hyperlink ref="U21" r:id="rId1" xr:uid="{E2D648F3-DC14-4B05-8AEB-6E620D0492B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26B8D-E9B7-4D18-9596-35D32AA5B762}">
  <dimension ref="B1:Q102"/>
  <sheetViews>
    <sheetView showGridLines="0" zoomScale="80" zoomScaleNormal="80" workbookViewId="0">
      <pane ySplit="1" topLeftCell="A2" activePane="bottomLeft" state="frozen"/>
      <selection pane="bottomLeft" activeCell="S12" sqref="S12"/>
    </sheetView>
  </sheetViews>
  <sheetFormatPr defaultRowHeight="14.4" outlineLevelRow="1"/>
  <cols>
    <col min="2" max="2" width="28.5546875" customWidth="1"/>
    <col min="3" max="3" width="13.5546875" bestFit="1" customWidth="1"/>
    <col min="4" max="8" width="11.77734375" bestFit="1" customWidth="1"/>
    <col min="9" max="12" width="9.6640625" bestFit="1" customWidth="1"/>
    <col min="13" max="13" width="9.6640625" customWidth="1"/>
  </cols>
  <sheetData>
    <row r="1" spans="2:17" ht="71.400000000000006" customHeight="1">
      <c r="B1" s="238"/>
      <c r="C1" s="238"/>
      <c r="D1" s="238"/>
      <c r="E1" s="238"/>
      <c r="F1" s="238"/>
      <c r="G1" s="238"/>
      <c r="H1" s="238"/>
      <c r="I1" s="238"/>
      <c r="J1" s="238"/>
      <c r="K1" s="238"/>
      <c r="L1" s="238"/>
      <c r="M1" s="238"/>
      <c r="N1" s="238"/>
      <c r="O1" s="238"/>
      <c r="P1" s="238"/>
      <c r="Q1" s="238"/>
    </row>
    <row r="3" spans="2:17">
      <c r="B3" s="2" t="s">
        <v>279</v>
      </c>
      <c r="C3" s="2"/>
      <c r="D3" s="1"/>
      <c r="E3" s="1"/>
      <c r="F3" s="1"/>
      <c r="G3" s="1"/>
      <c r="H3" s="1"/>
      <c r="I3" s="1"/>
      <c r="J3" s="1"/>
      <c r="K3" s="1"/>
      <c r="L3" s="1"/>
      <c r="M3" s="1"/>
      <c r="N3" s="1"/>
      <c r="O3" s="1"/>
      <c r="P3" s="1"/>
      <c r="Q3" s="1"/>
    </row>
    <row r="5" spans="2:17" outlineLevel="1">
      <c r="B5" s="51" t="s">
        <v>277</v>
      </c>
      <c r="E5" s="222" t="s">
        <v>249</v>
      </c>
    </row>
    <row r="6" spans="2:17" outlineLevel="1">
      <c r="B6" s="51" t="s">
        <v>243</v>
      </c>
      <c r="E6" s="222" t="s">
        <v>250</v>
      </c>
    </row>
    <row r="7" spans="2:17" outlineLevel="1">
      <c r="B7" s="51" t="s">
        <v>235</v>
      </c>
      <c r="C7" s="223" t="s">
        <v>282</v>
      </c>
      <c r="E7" s="221">
        <v>6.89</v>
      </c>
    </row>
    <row r="8" spans="2:17" outlineLevel="1">
      <c r="B8" s="51" t="s">
        <v>278</v>
      </c>
      <c r="C8" s="223" t="s">
        <v>283</v>
      </c>
      <c r="E8" s="221">
        <v>16.07</v>
      </c>
    </row>
    <row r="9" spans="2:17" outlineLevel="1">
      <c r="B9" s="7"/>
    </row>
    <row r="10" spans="2:17" outlineLevel="1">
      <c r="B10" s="51" t="s">
        <v>285</v>
      </c>
      <c r="E10" s="85">
        <f>'Comparable Company Analysis'!M11</f>
        <v>-18.29</v>
      </c>
    </row>
    <row r="11" spans="2:17" outlineLevel="1">
      <c r="B11" s="51" t="s">
        <v>286</v>
      </c>
      <c r="E11" s="85">
        <f>'Comparable Company Analysis'!K11</f>
        <v>12.21</v>
      </c>
    </row>
    <row r="12" spans="2:17" outlineLevel="1">
      <c r="B12" s="7"/>
    </row>
    <row r="13" spans="2:17" outlineLevel="1">
      <c r="B13" s="51" t="s">
        <v>284</v>
      </c>
      <c r="E13" s="232">
        <f>('Financial Model'!J47/'Financial Model'!E47)^(1/6)-1</f>
        <v>-1.5818878395478242E-3</v>
      </c>
    </row>
    <row r="14" spans="2:17" outlineLevel="1">
      <c r="B14" s="51" t="s">
        <v>280</v>
      </c>
      <c r="C14" s="224" t="s">
        <v>281</v>
      </c>
      <c r="E14" s="27">
        <f>DCF!E57</f>
        <v>1303298.5835206106</v>
      </c>
    </row>
    <row r="15" spans="2:17" outlineLevel="1"/>
    <row r="16" spans="2:17" outlineLevel="1"/>
    <row r="17" outlineLevel="1"/>
    <row r="18" outlineLevel="1"/>
    <row r="19" outlineLevel="1"/>
    <row r="20" outlineLevel="1"/>
    <row r="21" outlineLevel="1"/>
    <row r="22" outlineLevel="1"/>
    <row r="23" outlineLevel="1"/>
    <row r="24" outlineLevel="1"/>
    <row r="25" outlineLevel="1"/>
    <row r="26" outlineLevel="1"/>
    <row r="27" outlineLevel="1"/>
    <row r="28" outlineLevel="1"/>
    <row r="29" outlineLevel="1"/>
    <row r="30" outlineLevel="1"/>
    <row r="31" outlineLevel="1"/>
    <row r="32" outlineLevel="1"/>
    <row r="33" spans="2:17" outlineLevel="1"/>
    <row r="34" spans="2:17" outlineLevel="1"/>
    <row r="35" spans="2:17" outlineLevel="1"/>
    <row r="36" spans="2:17" outlineLevel="1"/>
    <row r="37" spans="2:17" outlineLevel="1"/>
    <row r="39" spans="2:17">
      <c r="B39" s="2" t="s">
        <v>270</v>
      </c>
      <c r="C39" s="2"/>
      <c r="D39" s="1"/>
      <c r="E39" s="1"/>
      <c r="F39" s="1"/>
      <c r="G39" s="1"/>
      <c r="H39" s="1"/>
      <c r="I39" s="1"/>
      <c r="J39" s="1"/>
      <c r="K39" s="1"/>
      <c r="L39" s="1"/>
      <c r="M39" s="1"/>
      <c r="N39" s="1"/>
      <c r="O39" s="1"/>
      <c r="P39" s="1"/>
      <c r="Q39" s="1"/>
    </row>
    <row r="40" spans="2:17" outlineLevel="1"/>
    <row r="41" spans="2:17" ht="16.95" customHeight="1" outlineLevel="1" thickBot="1">
      <c r="B41" s="220" t="s">
        <v>268</v>
      </c>
      <c r="C41" s="219"/>
      <c r="D41" s="219"/>
      <c r="F41" s="15">
        <v>2019</v>
      </c>
      <c r="G41" s="15">
        <f>F41+1</f>
        <v>2020</v>
      </c>
      <c r="H41" s="15">
        <f t="shared" ref="H41:K41" si="0">G41+1</f>
        <v>2021</v>
      </c>
      <c r="I41" s="15">
        <f t="shared" si="0"/>
        <v>2022</v>
      </c>
      <c r="J41" s="15">
        <f t="shared" si="0"/>
        <v>2023</v>
      </c>
      <c r="K41" s="15">
        <f t="shared" si="0"/>
        <v>2024</v>
      </c>
      <c r="L41" s="15">
        <f t="shared" ref="L41" si="1">K41+1</f>
        <v>2025</v>
      </c>
      <c r="M41" s="15">
        <f t="shared" ref="M41" si="2">L41+1</f>
        <v>2026</v>
      </c>
      <c r="N41" s="15">
        <f t="shared" ref="N41" si="3">M41+1</f>
        <v>2027</v>
      </c>
      <c r="O41" s="15">
        <f t="shared" ref="O41" si="4">N41+1</f>
        <v>2028</v>
      </c>
      <c r="P41" s="15">
        <f t="shared" ref="P41" si="5">O41+1</f>
        <v>2029</v>
      </c>
    </row>
    <row r="42" spans="2:17" outlineLevel="1"/>
    <row r="43" spans="2:17" outlineLevel="1">
      <c r="B43" s="236" t="s">
        <v>9</v>
      </c>
      <c r="C43" s="100"/>
      <c r="D43" s="100"/>
      <c r="F43" s="231">
        <f>'Financial Model'!E49/'Financial Model'!E47</f>
        <v>0.61937866826193866</v>
      </c>
      <c r="G43" s="231">
        <f>'Financial Model'!F49/'Financial Model'!F47</f>
        <v>0.62265863386756659</v>
      </c>
      <c r="H43" s="231">
        <f>'Financial Model'!G49/'Financial Model'!G47</f>
        <v>0.60360539307782468</v>
      </c>
      <c r="I43" s="231">
        <f>'Financial Model'!H49/'Financial Model'!H47</f>
        <v>0.56865047814947478</v>
      </c>
      <c r="J43" s="231">
        <f>'Financial Model'!I49/'Financial Model'!I47</f>
        <v>0.57671013551387507</v>
      </c>
      <c r="K43" s="231">
        <f>'Financial Model'!J49/'Financial Model'!J47</f>
        <v>0.59607405593308194</v>
      </c>
      <c r="L43" s="231">
        <f>'Financial Model'!K49/'Financial Model'!K47</f>
        <v>0.59</v>
      </c>
      <c r="M43" s="231">
        <f>'Financial Model'!L49/'Financial Model'!L47</f>
        <v>0.59</v>
      </c>
      <c r="N43" s="231">
        <f>'Financial Model'!M49/'Financial Model'!M47</f>
        <v>0.59</v>
      </c>
      <c r="O43" s="231">
        <f>'Financial Model'!N49/'Financial Model'!N47</f>
        <v>0.59</v>
      </c>
      <c r="P43" s="231">
        <f>'Financial Model'!O49/'Financial Model'!O47</f>
        <v>0.59</v>
      </c>
    </row>
    <row r="44" spans="2:17" outlineLevel="1">
      <c r="B44" s="236" t="s">
        <v>266</v>
      </c>
      <c r="C44" s="100"/>
      <c r="D44" s="100"/>
      <c r="F44" s="231">
        <f>'Financial Model'!E58/'Financial Model'!E47</f>
        <v>6.6002218621345865E-2</v>
      </c>
      <c r="G44" s="231">
        <f>'Financial Model'!F58/'Financial Model'!F47</f>
        <v>9.9590908968492722E-2</v>
      </c>
      <c r="H44" s="231">
        <f>'Financial Model'!G58/'Financial Model'!G47</f>
        <v>8.8576895845166176E-2</v>
      </c>
      <c r="I44" s="231">
        <f>'Financial Model'!H58/'Financial Model'!H47</f>
        <v>3.2105234032872389E-2</v>
      </c>
      <c r="J44" s="231">
        <f>'Financial Model'!I58/'Financial Model'!I47</f>
        <v>1.2154817900250175E-2</v>
      </c>
      <c r="K44" s="231">
        <f>'Financial Model'!J58/'Financial Model'!J47</f>
        <v>1.3595704917565041E-2</v>
      </c>
      <c r="L44" s="231">
        <f>'Financial Model'!K58/'Financial Model'!K47</f>
        <v>1.7642770121442785E-2</v>
      </c>
      <c r="M44" s="231">
        <f>'Financial Model'!L58/'Financial Model'!L47</f>
        <v>2.0999999999999956E-2</v>
      </c>
      <c r="N44" s="231">
        <f>'Financial Model'!M58/'Financial Model'!M47</f>
        <v>2.2999999999999961E-2</v>
      </c>
      <c r="O44" s="231">
        <f>'Financial Model'!N58/'Financial Model'!N47</f>
        <v>2.3000000000000003E-2</v>
      </c>
      <c r="P44" s="231">
        <f>'Financial Model'!O58/'Financial Model'!O47</f>
        <v>2.3000000000000027E-2</v>
      </c>
    </row>
    <row r="45" spans="2:17" outlineLevel="1">
      <c r="B45" s="236" t="s">
        <v>267</v>
      </c>
      <c r="C45" s="100"/>
      <c r="D45" s="100"/>
      <c r="F45" s="231">
        <f>'Financial Model'!E64/'Financial Model'!E47</f>
        <v>4.8190834408885788E-2</v>
      </c>
      <c r="G45" s="231">
        <f>'Financial Model'!F64/'Financial Model'!F47</f>
        <v>7.4971654489094042E-2</v>
      </c>
      <c r="H45" s="231">
        <f>'Financial Model'!G64/'Financial Model'!G47</f>
        <v>7.0365944468269048E-2</v>
      </c>
      <c r="I45" s="231">
        <f>'Financial Model'!H64/'Financial Model'!H47</f>
        <v>1.7315448113486422E-2</v>
      </c>
      <c r="J45" s="231">
        <f>'Financial Model'!I64/'Financial Model'!I47</f>
        <v>-8.0991500846100788E-3</v>
      </c>
      <c r="K45" s="231">
        <f>'Financial Model'!J64/'Financial Model'!J47</f>
        <v>-1.2087052456880359E-2</v>
      </c>
      <c r="L45" s="231">
        <f>'Financial Model'!K64/'Financial Model'!K47</f>
        <v>-9.0858897767216486E-3</v>
      </c>
      <c r="M45" s="231">
        <f>'Financial Model'!L64/'Financial Model'!L47</f>
        <v>-2.3915477487070082E-3</v>
      </c>
      <c r="N45" s="231">
        <f>'Financial Model'!M64/'Financial Model'!M47</f>
        <v>1.0986971033481905E-2</v>
      </c>
      <c r="O45" s="231">
        <f>'Financial Model'!N64/'Financial Model'!N47</f>
        <v>1.4547434752374635E-2</v>
      </c>
      <c r="P45" s="231">
        <f>'Financial Model'!O64/'Financial Model'!O47</f>
        <v>1.4661214317568004E-2</v>
      </c>
    </row>
    <row r="46" spans="2:17" outlineLevel="1">
      <c r="F46" s="232"/>
      <c r="G46" s="232"/>
      <c r="H46" s="232"/>
      <c r="I46" s="232"/>
      <c r="J46" s="232"/>
      <c r="K46" s="232"/>
    </row>
    <row r="47" spans="2:17" outlineLevel="1">
      <c r="B47" s="220" t="s">
        <v>271</v>
      </c>
      <c r="C47" s="219"/>
      <c r="D47" s="219"/>
      <c r="F47" s="232"/>
      <c r="G47" s="232"/>
      <c r="H47" s="232"/>
      <c r="I47" s="232"/>
      <c r="J47" s="232"/>
      <c r="K47" s="232"/>
    </row>
    <row r="48" spans="2:17" outlineLevel="1">
      <c r="F48" s="232"/>
      <c r="G48" s="232"/>
      <c r="H48" s="232"/>
      <c r="I48" s="232"/>
      <c r="J48" s="232"/>
      <c r="K48" s="232"/>
    </row>
    <row r="49" spans="2:17" outlineLevel="1">
      <c r="B49" s="236" t="s">
        <v>273</v>
      </c>
      <c r="C49" s="100"/>
      <c r="D49" s="100"/>
      <c r="F49" s="231">
        <f>'Financial Model'!E77/'Financial Model'!E97</f>
        <v>0.26962846392074974</v>
      </c>
      <c r="G49" s="231">
        <f>'Financial Model'!F77/'Financial Model'!F97</f>
        <v>0.27716390423572745</v>
      </c>
      <c r="H49" s="231">
        <f>'Financial Model'!G77/'Financial Model'!G97</f>
        <v>0.22896563436695641</v>
      </c>
      <c r="I49" s="231">
        <f>'Financial Model'!H77/'Financial Model'!H97</f>
        <v>0.2126857766023921</v>
      </c>
      <c r="J49" s="231">
        <f>'Financial Model'!I77/'Financial Model'!I97</f>
        <v>0.22020551859848239</v>
      </c>
      <c r="K49" s="231">
        <f>'Financial Model'!J77/'Financial Model'!J97</f>
        <v>0.19964934384127081</v>
      </c>
      <c r="L49" s="231">
        <f ca="1">'Financial Model'!K77/'Financial Model'!K97</f>
        <v>0.15489026892416621</v>
      </c>
      <c r="M49" s="231">
        <f ca="1">'Financial Model'!L77/'Financial Model'!L97</f>
        <v>0.1773075766033235</v>
      </c>
      <c r="N49" s="231">
        <f ca="1">'Financial Model'!M77/'Financial Model'!M97</f>
        <v>0.16056008759443605</v>
      </c>
      <c r="O49" s="231">
        <f ca="1">'Financial Model'!N77/'Financial Model'!N97</f>
        <v>0.1430763788790583</v>
      </c>
      <c r="P49" s="231">
        <f ca="1">'Financial Model'!O77/'Financial Model'!O97</f>
        <v>0.13431071947616632</v>
      </c>
    </row>
    <row r="50" spans="2:17" outlineLevel="1">
      <c r="B50" s="236" t="s">
        <v>274</v>
      </c>
      <c r="C50" s="100"/>
      <c r="D50" s="100"/>
      <c r="F50" s="231">
        <f>SUM('Financial Model'!E72,'Financial Model'!E73,'Financial Model'!E76)/'Financial Model'!E97</f>
        <v>9.7462229350980367E-2</v>
      </c>
      <c r="G50" s="231">
        <f>SUM('Financial Model'!F72,'Financial Model'!F73,'Financial Model'!F76)/'Financial Model'!F97</f>
        <v>0.12135639627773102</v>
      </c>
      <c r="H50" s="231">
        <f>SUM('Financial Model'!G72,'Financial Model'!G73,'Financial Model'!G76)/'Financial Model'!G97</f>
        <v>9.1559345286277349E-2</v>
      </c>
      <c r="I50" s="231">
        <f>SUM('Financial Model'!H72,'Financial Model'!H73,'Financial Model'!H76)/'Financial Model'!H97</f>
        <v>7.2829698014547015E-2</v>
      </c>
      <c r="J50" s="231">
        <f>SUM('Financial Model'!I72,'Financial Model'!I73,'Financial Model'!I76)/'Financial Model'!I97</f>
        <v>7.9091222781177917E-2</v>
      </c>
      <c r="K50" s="231">
        <f>SUM('Financial Model'!J72,'Financial Model'!J73,'Financial Model'!J76)/'Financial Model'!J97</f>
        <v>7.0003480130218537E-2</v>
      </c>
      <c r="L50" s="231">
        <f ca="1">SUM('Financial Model'!K72,'Financial Model'!K73,'Financial Model'!K76)/'Financial Model'!K97</f>
        <v>1.8467394449052387E-2</v>
      </c>
      <c r="M50" s="231">
        <f ca="1">SUM('Financial Model'!L72,'Financial Model'!L73,'Financial Model'!L76)/'Financial Model'!L97</f>
        <v>3.789523737127564E-2</v>
      </c>
      <c r="N50" s="231">
        <f ca="1">SUM('Financial Model'!M72,'Financial Model'!M73,'Financial Model'!M76)/'Financial Model'!M97</f>
        <v>2.1599091015060048E-2</v>
      </c>
      <c r="O50" s="231">
        <f ca="1">SUM('Financial Model'!N72,'Financial Model'!N73,'Financial Model'!N76)/'Financial Model'!N97</f>
        <v>2.2538927996649345E-3</v>
      </c>
      <c r="P50" s="231">
        <f ca="1">SUM('Financial Model'!O72,'Financial Model'!O73,'Financial Model'!O76)/'Financial Model'!O97</f>
        <v>-1.7519186414387884E-2</v>
      </c>
    </row>
    <row r="51" spans="2:17" outlineLevel="1">
      <c r="F51" s="232"/>
      <c r="G51" s="232"/>
      <c r="H51" s="232"/>
      <c r="I51" s="232"/>
      <c r="J51" s="232"/>
      <c r="K51" s="232"/>
    </row>
    <row r="52" spans="2:17" outlineLevel="1">
      <c r="B52" s="220" t="s">
        <v>272</v>
      </c>
      <c r="C52" s="219"/>
      <c r="D52" s="219"/>
      <c r="F52" s="232"/>
      <c r="G52" s="232"/>
      <c r="H52" s="232"/>
      <c r="I52" s="232"/>
      <c r="J52" s="232"/>
      <c r="K52" s="232"/>
    </row>
    <row r="53" spans="2:17" outlineLevel="1">
      <c r="F53" s="232"/>
      <c r="G53" s="232"/>
      <c r="H53" s="232"/>
      <c r="I53" s="232"/>
      <c r="J53" s="232"/>
      <c r="K53" s="232"/>
    </row>
    <row r="54" spans="2:17" outlineLevel="1">
      <c r="B54" s="236" t="s">
        <v>276</v>
      </c>
      <c r="C54" s="100"/>
      <c r="D54" s="100"/>
      <c r="F54" s="231">
        <f>SUM('Financial Model'!E89,'Financial Model'!E95,'Financial Model'!E101,'Financial Model'!E102)/'Financial Model'!E85</f>
        <v>0.81565499607341052</v>
      </c>
      <c r="G54" s="231">
        <f>SUM('Financial Model'!F89,'Financial Model'!F95,'Financial Model'!F101,'Financial Model'!F102)/'Financial Model'!F85</f>
        <v>0.84261300578901588</v>
      </c>
      <c r="H54" s="231">
        <f>SUM('Financial Model'!G89,'Financial Model'!G95,'Financial Model'!G101,'Financial Model'!G102)/'Financial Model'!G85</f>
        <v>0.9699273549818388</v>
      </c>
      <c r="I54" s="231">
        <f>SUM('Financial Model'!H89,'Financial Model'!H95,'Financial Model'!H101,'Financial Model'!H102)/'Financial Model'!H85</f>
        <v>1.0497905519867161</v>
      </c>
      <c r="J54" s="231">
        <f>SUM('Financial Model'!I89,'Financial Model'!I95,'Financial Model'!I101,'Financial Model'!I102)/'Financial Model'!I85</f>
        <v>1.1336835352515564</v>
      </c>
      <c r="K54" s="231">
        <f>SUM('Financial Model'!J89,'Financial Model'!J95,'Financial Model'!J101,'Financial Model'!J102)/'Financial Model'!J85</f>
        <v>1.2003705811967798</v>
      </c>
      <c r="L54" s="231">
        <f ca="1">SUM('Financial Model'!K89,'Financial Model'!K95,'Financial Model'!K101,'Financial Model'!K102)/'Financial Model'!K85</f>
        <v>1.2425680255417293</v>
      </c>
      <c r="M54" s="231">
        <f ca="1">SUM('Financial Model'!L89,'Financial Model'!L95,'Financial Model'!L101,'Financial Model'!L102)/'Financial Model'!L85</f>
        <v>1.225316928477244</v>
      </c>
      <c r="N54" s="231">
        <f ca="1">SUM('Financial Model'!M89,'Financial Model'!M95,'Financial Model'!M101,'Financial Model'!M102)/'Financial Model'!M85</f>
        <v>1.1741824604664255</v>
      </c>
      <c r="O54" s="231">
        <f ca="1">SUM('Financial Model'!N89,'Financial Model'!N95,'Financial Model'!N101,'Financial Model'!N102)/'Financial Model'!N85</f>
        <v>1.1008099520837096</v>
      </c>
      <c r="P54" s="231">
        <f ca="1">SUM('Financial Model'!O89,'Financial Model'!O95,'Financial Model'!O101,'Financial Model'!O102)/'Financial Model'!O85</f>
        <v>1.0398218400279826</v>
      </c>
    </row>
    <row r="55" spans="2:17" outlineLevel="1">
      <c r="B55" s="236" t="s">
        <v>275</v>
      </c>
      <c r="C55" s="100"/>
      <c r="D55" s="100"/>
      <c r="F55" s="233">
        <f>'Financial Model'!E58/'Financial Model'!E60</f>
        <v>9.6742038491412785</v>
      </c>
      <c r="G55" s="233">
        <f>'Financial Model'!F58/'Financial Model'!F60</f>
        <v>20.718960107575079</v>
      </c>
      <c r="H55" s="233">
        <f>'Financial Model'!G58/'Financial Model'!G60</f>
        <v>30.990552441953565</v>
      </c>
      <c r="I55" s="233">
        <f>'Financial Model'!H58/'Financial Model'!H60</f>
        <v>3.5754543060310771</v>
      </c>
      <c r="J55" s="233">
        <f>'Financial Model'!I58/'Financial Model'!I60</f>
        <v>0.53734629347698792</v>
      </c>
      <c r="K55" s="233">
        <f>'Financial Model'!J58/'Financial Model'!J60</f>
        <v>0.47287462785312601</v>
      </c>
      <c r="L55" s="233">
        <f>'Financial Model'!K58/'Financial Model'!K60</f>
        <v>0.608371383498027</v>
      </c>
      <c r="M55" s="233">
        <f>'Financial Model'!L58/'Financial Model'!L60</f>
        <v>0.87499999999999811</v>
      </c>
      <c r="N55" s="233">
        <f>'Financial Model'!M58/'Financial Model'!M60</f>
        <v>2.5555555555555514</v>
      </c>
      <c r="O55" s="233">
        <f>'Financial Model'!N58/'Financial Model'!N60</f>
        <v>5.75</v>
      </c>
      <c r="P55" s="233">
        <f>'Financial Model'!O58/'Financial Model'!O60</f>
        <v>4.6000000000000059</v>
      </c>
    </row>
    <row r="57" spans="2:17">
      <c r="B57" s="2" t="s">
        <v>237</v>
      </c>
      <c r="C57" s="2"/>
      <c r="D57" s="1"/>
      <c r="E57" s="1"/>
      <c r="F57" s="1"/>
      <c r="G57" s="1"/>
      <c r="H57" s="1"/>
      <c r="I57" s="1"/>
      <c r="J57" s="1"/>
      <c r="K57" s="1"/>
      <c r="L57" s="1"/>
      <c r="M57" s="1"/>
      <c r="N57" s="1"/>
      <c r="O57" s="1"/>
      <c r="P57" s="1"/>
      <c r="Q57" s="1"/>
    </row>
    <row r="58" spans="2:17" outlineLevel="1"/>
    <row r="59" spans="2:17" outlineLevel="1">
      <c r="B59" s="129" t="s">
        <v>221</v>
      </c>
      <c r="C59" s="91"/>
      <c r="D59" s="33">
        <f>DCF!E57</f>
        <v>1303298.5835206106</v>
      </c>
      <c r="F59" s="129" t="s">
        <v>207</v>
      </c>
      <c r="G59" s="91"/>
      <c r="H59" s="91"/>
      <c r="I59" s="215">
        <f>WACC!C8</f>
        <v>0.02</v>
      </c>
    </row>
    <row r="60" spans="2:17" outlineLevel="1">
      <c r="B60" s="235" t="s">
        <v>222</v>
      </c>
      <c r="D60" s="35">
        <f>DCF!E63</f>
        <v>758648.58352061058</v>
      </c>
      <c r="F60" s="235" t="s">
        <v>205</v>
      </c>
      <c r="I60" s="216">
        <f>WACC!N16</f>
        <v>7.9853141201317535E-2</v>
      </c>
    </row>
    <row r="61" spans="2:17" outlineLevel="1">
      <c r="B61" s="93" t="s">
        <v>236</v>
      </c>
      <c r="C61" s="94"/>
      <c r="D61" s="234">
        <f>DCF!J63</f>
        <v>33.884880232284182</v>
      </c>
      <c r="F61" s="235" t="s">
        <v>226</v>
      </c>
      <c r="I61" s="35">
        <f>DCF!N58</f>
        <v>544650</v>
      </c>
    </row>
    <row r="62" spans="2:17" outlineLevel="1">
      <c r="F62" s="235" t="s">
        <v>229</v>
      </c>
      <c r="I62" s="35">
        <f>WACC!D13</f>
        <v>22389</v>
      </c>
    </row>
    <row r="63" spans="2:17" outlineLevel="1">
      <c r="F63" s="93" t="s">
        <v>235</v>
      </c>
      <c r="G63" s="94"/>
      <c r="H63" s="94"/>
      <c r="I63" s="234">
        <f>WACC!D12</f>
        <v>6.96</v>
      </c>
    </row>
    <row r="64" spans="2:17" outlineLevel="1"/>
    <row r="65" spans="2:16" outlineLevel="1"/>
    <row r="66" spans="2:16" outlineLevel="1">
      <c r="D66" s="134" t="s">
        <v>221</v>
      </c>
      <c r="E66" s="135"/>
      <c r="F66" s="135"/>
      <c r="G66" s="135"/>
      <c r="H66" s="135"/>
      <c r="L66" s="134" t="s">
        <v>236</v>
      </c>
      <c r="M66" s="135"/>
      <c r="N66" s="135"/>
      <c r="O66" s="135"/>
      <c r="P66" s="135"/>
    </row>
    <row r="67" spans="2:16" outlineLevel="1"/>
    <row r="68" spans="2:16" outlineLevel="1">
      <c r="D68" s="100" t="s">
        <v>214</v>
      </c>
      <c r="E68" s="100"/>
      <c r="F68" s="100"/>
      <c r="G68" s="100"/>
      <c r="H68" s="100"/>
      <c r="L68" s="100" t="s">
        <v>214</v>
      </c>
      <c r="M68" s="100"/>
      <c r="N68" s="100"/>
      <c r="O68" s="100"/>
      <c r="P68" s="100"/>
    </row>
    <row r="69" spans="2:16" outlineLevel="1">
      <c r="B69" s="148"/>
      <c r="C69" s="149">
        <f>DCF!E61</f>
        <v>1303298.5835206106</v>
      </c>
      <c r="D69" s="136">
        <f>E69-0.5%</f>
        <v>9.9999999999999985E-3</v>
      </c>
      <c r="E69" s="136">
        <f>F69-0.5%</f>
        <v>1.4999999999999999E-2</v>
      </c>
      <c r="F69" s="136">
        <f>WACC!C8</f>
        <v>0.02</v>
      </c>
      <c r="G69" s="136">
        <f>F69+0.5%</f>
        <v>2.5000000000000001E-2</v>
      </c>
      <c r="H69" s="136">
        <f>G69+0.5%</f>
        <v>3.0000000000000002E-2</v>
      </c>
      <c r="J69" s="148"/>
      <c r="L69" s="136">
        <f>M69-0.5%</f>
        <v>9.9999999999999985E-3</v>
      </c>
      <c r="M69" s="136">
        <f>N69-0.5%</f>
        <v>1.4999999999999999E-2</v>
      </c>
      <c r="N69" s="136">
        <f>WACC!C8</f>
        <v>0.02</v>
      </c>
      <c r="O69" s="136">
        <f>N69+0.5%</f>
        <v>2.5000000000000001E-2</v>
      </c>
      <c r="P69" s="136">
        <f>O69+0.5%</f>
        <v>3.0000000000000002E-2</v>
      </c>
    </row>
    <row r="70" spans="2:16" outlineLevel="1">
      <c r="B70" s="148"/>
      <c r="C70" s="136">
        <f>C71-1%</f>
        <v>5.9853141201317538E-2</v>
      </c>
      <c r="D70" s="137">
        <f t="dataTable" ref="D70:H74" dt2D="1" dtr="1" r1="I59" r2="I60"/>
        <v>1606076.8038013061</v>
      </c>
      <c r="E70" s="138">
        <v>1747345.8527987045</v>
      </c>
      <c r="F70" s="138">
        <v>1924062.3081332296</v>
      </c>
      <c r="G70" s="138">
        <v>2151481.9280157597</v>
      </c>
      <c r="H70" s="139">
        <v>2455081.0086622019</v>
      </c>
      <c r="J70" s="148"/>
      <c r="K70" s="136">
        <f>K71-1%</f>
        <v>5.9853141201317538E-2</v>
      </c>
      <c r="L70" s="150">
        <f t="shared" ref="L70:P74" si="6">D81/$I$62</f>
        <v>47.408406083402838</v>
      </c>
      <c r="M70" s="151">
        <f t="shared" si="6"/>
        <v>53.718158595681118</v>
      </c>
      <c r="N70" s="151">
        <f t="shared" si="6"/>
        <v>61.611162094476285</v>
      </c>
      <c r="O70" s="151">
        <f t="shared" si="6"/>
        <v>71.768811827940496</v>
      </c>
      <c r="P70" s="152">
        <f t="shared" si="6"/>
        <v>85.329001235526462</v>
      </c>
    </row>
    <row r="71" spans="2:16" outlineLevel="1">
      <c r="C71" s="136">
        <f>C72-1%</f>
        <v>6.985314120131754E-2</v>
      </c>
      <c r="D71" s="140">
        <v>1347795.7327696364</v>
      </c>
      <c r="E71" s="141">
        <v>1440461.4068019264</v>
      </c>
      <c r="F71" s="141">
        <v>1551714.8110753438</v>
      </c>
      <c r="G71" s="141">
        <v>1687772.1424079763</v>
      </c>
      <c r="H71" s="142">
        <v>1857969.1493675162</v>
      </c>
      <c r="K71" s="136">
        <f>K72-1%</f>
        <v>6.985314120131754E-2</v>
      </c>
      <c r="L71" s="153">
        <f t="shared" si="6"/>
        <v>35.872336092261222</v>
      </c>
      <c r="M71" s="154">
        <f t="shared" si="6"/>
        <v>40.011229032200028</v>
      </c>
      <c r="N71" s="154">
        <f t="shared" si="6"/>
        <v>44.980339053791759</v>
      </c>
      <c r="O71" s="154">
        <f t="shared" si="6"/>
        <v>51.057311287148885</v>
      </c>
      <c r="P71" s="155">
        <f t="shared" si="6"/>
        <v>58.659124988499535</v>
      </c>
    </row>
    <row r="72" spans="2:16" outlineLevel="1">
      <c r="B72" s="222" t="s">
        <v>205</v>
      </c>
      <c r="C72" s="136">
        <f>WACC!N16</f>
        <v>7.9853141201317535E-2</v>
      </c>
      <c r="D72" s="140">
        <v>1163084.6226222829</v>
      </c>
      <c r="E72" s="141">
        <v>1227786.5464195616</v>
      </c>
      <c r="F72" s="146">
        <v>1303298.5835206106</v>
      </c>
      <c r="G72" s="141">
        <v>1392576.8399205522</v>
      </c>
      <c r="H72" s="142">
        <v>1499763.3472849454</v>
      </c>
      <c r="J72" s="222" t="s">
        <v>205</v>
      </c>
      <c r="K72" s="136">
        <f>WACC!N16</f>
        <v>7.9853141201317535E-2</v>
      </c>
      <c r="L72" s="153">
        <f t="shared" si="6"/>
        <v>27.622253009168919</v>
      </c>
      <c r="M72" s="154">
        <f t="shared" si="6"/>
        <v>30.512150896402769</v>
      </c>
      <c r="N72" s="156">
        <f t="shared" si="6"/>
        <v>33.884880232284182</v>
      </c>
      <c r="O72" s="154">
        <f t="shared" si="6"/>
        <v>37.872474872506686</v>
      </c>
      <c r="P72" s="155">
        <f t="shared" si="6"/>
        <v>42.659937794673517</v>
      </c>
    </row>
    <row r="73" spans="2:16" outlineLevel="1">
      <c r="B73" s="148"/>
      <c r="C73" s="136">
        <f>C72+1%</f>
        <v>8.985314120131753E-2</v>
      </c>
      <c r="D73" s="140">
        <v>1024321.7580932151</v>
      </c>
      <c r="E73" s="141">
        <v>1071583.3135083546</v>
      </c>
      <c r="F73" s="141">
        <v>1125610.7143246243</v>
      </c>
      <c r="G73" s="141">
        <v>1187968.8451279821</v>
      </c>
      <c r="H73" s="142">
        <v>1260745.4985939371</v>
      </c>
      <c r="J73" s="148"/>
      <c r="K73" s="136">
        <f>K72+1%</f>
        <v>8.985314120131753E-2</v>
      </c>
      <c r="L73" s="153">
        <f t="shared" si="6"/>
        <v>21.424438701738133</v>
      </c>
      <c r="M73" s="154">
        <f t="shared" si="6"/>
        <v>23.535366184660084</v>
      </c>
      <c r="N73" s="154">
        <f t="shared" si="6"/>
        <v>25.948488736639611</v>
      </c>
      <c r="O73" s="154">
        <f t="shared" si="6"/>
        <v>28.733701600249322</v>
      </c>
      <c r="P73" s="155">
        <f t="shared" si="6"/>
        <v>31.984255598460724</v>
      </c>
    </row>
    <row r="74" spans="2:16" outlineLevel="1">
      <c r="B74" s="148"/>
      <c r="C74" s="136">
        <f>C73+1%</f>
        <v>9.9853141201317525E-2</v>
      </c>
      <c r="D74" s="143">
        <v>916180.82367207459</v>
      </c>
      <c r="E74" s="144">
        <v>951902.44087615039</v>
      </c>
      <c r="F74" s="144">
        <v>992097.47223359311</v>
      </c>
      <c r="G74" s="144">
        <v>1037662.3559061625</v>
      </c>
      <c r="H74" s="145">
        <v>1089750.1937206583</v>
      </c>
      <c r="J74" s="148"/>
      <c r="K74" s="136">
        <f>K73+1%</f>
        <v>9.9853141201317525E-2</v>
      </c>
      <c r="L74" s="157">
        <f t="shared" si="6"/>
        <v>16.594346494799883</v>
      </c>
      <c r="M74" s="158">
        <f t="shared" si="6"/>
        <v>18.189845052309188</v>
      </c>
      <c r="N74" s="158">
        <f t="shared" si="6"/>
        <v>19.985147716896382</v>
      </c>
      <c r="O74" s="158">
        <f t="shared" si="6"/>
        <v>22.020293711472711</v>
      </c>
      <c r="P74" s="159">
        <f t="shared" si="6"/>
        <v>24.346786087840382</v>
      </c>
    </row>
    <row r="75" spans="2:16" outlineLevel="1"/>
    <row r="76" spans="2:16" outlineLevel="1"/>
    <row r="77" spans="2:16" outlineLevel="1">
      <c r="D77" s="134" t="s">
        <v>222</v>
      </c>
      <c r="E77" s="135"/>
      <c r="F77" s="135"/>
      <c r="G77" s="135"/>
      <c r="H77" s="135"/>
      <c r="L77" s="134" t="s">
        <v>238</v>
      </c>
      <c r="M77" s="135"/>
      <c r="N77" s="135"/>
      <c r="O77" s="135"/>
      <c r="P77" s="135"/>
    </row>
    <row r="78" spans="2:16" outlineLevel="1"/>
    <row r="79" spans="2:16" outlineLevel="1">
      <c r="D79" s="100" t="s">
        <v>214</v>
      </c>
      <c r="E79" s="100"/>
      <c r="F79" s="100"/>
      <c r="G79" s="100"/>
      <c r="H79" s="100"/>
      <c r="L79" s="100" t="s">
        <v>214</v>
      </c>
      <c r="M79" s="100"/>
      <c r="N79" s="100"/>
      <c r="O79" s="100"/>
      <c r="P79" s="100"/>
    </row>
    <row r="80" spans="2:16" outlineLevel="1">
      <c r="B80" s="148"/>
      <c r="D80" s="136">
        <f>E80-0.5%</f>
        <v>9.9999999999999985E-3</v>
      </c>
      <c r="E80" s="136">
        <f>F80-0.5%</f>
        <v>1.4999999999999999E-2</v>
      </c>
      <c r="F80" s="136">
        <f>WACC!C8</f>
        <v>0.02</v>
      </c>
      <c r="G80" s="136">
        <f>F80+0.5%</f>
        <v>2.5000000000000001E-2</v>
      </c>
      <c r="H80" s="136">
        <f>G80+0.5%</f>
        <v>3.0000000000000002E-2</v>
      </c>
      <c r="J80" s="148"/>
      <c r="L80" s="136">
        <f>M80-0.5%</f>
        <v>9.9999999999999985E-3</v>
      </c>
      <c r="M80" s="136">
        <f>N80-0.5%</f>
        <v>1.4999999999999999E-2</v>
      </c>
      <c r="N80" s="136">
        <f>WACC!C8</f>
        <v>0.02</v>
      </c>
      <c r="O80" s="136">
        <f>N80+0.5%</f>
        <v>2.5000000000000001E-2</v>
      </c>
      <c r="P80" s="136">
        <f>O80+0.5%</f>
        <v>3.0000000000000002E-2</v>
      </c>
    </row>
    <row r="81" spans="2:17" outlineLevel="1">
      <c r="B81" s="148"/>
      <c r="C81" s="136">
        <f>C82-1%</f>
        <v>5.9853141201317538E-2</v>
      </c>
      <c r="D81" s="137">
        <f t="shared" ref="D81:H85" si="7">D70-$I$61</f>
        <v>1061426.8038013061</v>
      </c>
      <c r="E81" s="138">
        <f t="shared" si="7"/>
        <v>1202695.8527987045</v>
      </c>
      <c r="F81" s="138">
        <f t="shared" si="7"/>
        <v>1379412.3081332296</v>
      </c>
      <c r="G81" s="138">
        <f t="shared" si="7"/>
        <v>1606831.9280157597</v>
      </c>
      <c r="H81" s="139">
        <f t="shared" si="7"/>
        <v>1910431.0086622019</v>
      </c>
      <c r="J81" s="148"/>
      <c r="K81" s="136">
        <f>K82-1%</f>
        <v>5.9853141201317538E-2</v>
      </c>
      <c r="L81" s="160">
        <f t="shared" ref="L81:P85" si="8">L70/$I$63-1</f>
        <v>5.8115525981900626</v>
      </c>
      <c r="M81" s="161">
        <f t="shared" si="8"/>
        <v>6.7181262350116553</v>
      </c>
      <c r="N81" s="161">
        <f t="shared" si="8"/>
        <v>7.8521784618500412</v>
      </c>
      <c r="O81" s="161">
        <f t="shared" si="8"/>
        <v>9.3116108948190366</v>
      </c>
      <c r="P81" s="162">
        <f t="shared" si="8"/>
        <v>11.259913970621618</v>
      </c>
    </row>
    <row r="82" spans="2:17" outlineLevel="1">
      <c r="C82" s="136">
        <f>C83-1%</f>
        <v>6.985314120131754E-2</v>
      </c>
      <c r="D82" s="140">
        <f t="shared" si="7"/>
        <v>803145.73276963644</v>
      </c>
      <c r="E82" s="141">
        <f t="shared" si="7"/>
        <v>895811.40680192644</v>
      </c>
      <c r="F82" s="141">
        <f t="shared" si="7"/>
        <v>1007064.8110753438</v>
      </c>
      <c r="G82" s="141">
        <f t="shared" si="7"/>
        <v>1143122.1424079763</v>
      </c>
      <c r="H82" s="142">
        <f t="shared" si="7"/>
        <v>1313319.1493675162</v>
      </c>
      <c r="K82" s="136">
        <f>K83-1%</f>
        <v>6.985314120131754E-2</v>
      </c>
      <c r="L82" s="163">
        <f t="shared" si="8"/>
        <v>4.1540712776237392</v>
      </c>
      <c r="M82" s="164">
        <f t="shared" si="8"/>
        <v>4.7487398034770152</v>
      </c>
      <c r="N82" s="164">
        <f t="shared" si="8"/>
        <v>5.4626923927861721</v>
      </c>
      <c r="O82" s="164">
        <f t="shared" si="8"/>
        <v>6.3358205872340347</v>
      </c>
      <c r="P82" s="165">
        <f t="shared" si="8"/>
        <v>7.4280351994970601</v>
      </c>
    </row>
    <row r="83" spans="2:17" outlineLevel="1">
      <c r="B83" s="222" t="s">
        <v>205</v>
      </c>
      <c r="C83" s="136">
        <f>WACC!N16</f>
        <v>7.9853141201317535E-2</v>
      </c>
      <c r="D83" s="140">
        <f t="shared" si="7"/>
        <v>618434.62262228294</v>
      </c>
      <c r="E83" s="141">
        <f t="shared" si="7"/>
        <v>683136.54641956161</v>
      </c>
      <c r="F83" s="146">
        <f t="shared" si="7"/>
        <v>758648.58352061058</v>
      </c>
      <c r="G83" s="141">
        <f t="shared" si="7"/>
        <v>847926.83992055221</v>
      </c>
      <c r="H83" s="142">
        <f t="shared" si="7"/>
        <v>955113.34728494543</v>
      </c>
      <c r="J83" s="222" t="s">
        <v>205</v>
      </c>
      <c r="K83" s="136">
        <f>WACC!N16</f>
        <v>7.9853141201317535E-2</v>
      </c>
      <c r="L83" s="163">
        <f t="shared" si="8"/>
        <v>2.9687145128116263</v>
      </c>
      <c r="M83" s="164">
        <f t="shared" si="8"/>
        <v>3.3839297264946504</v>
      </c>
      <c r="N83" s="166">
        <f t="shared" si="8"/>
        <v>3.8685172747534748</v>
      </c>
      <c r="O83" s="164">
        <f t="shared" si="8"/>
        <v>4.4414475391532591</v>
      </c>
      <c r="P83" s="165">
        <f t="shared" si="8"/>
        <v>5.1293014072806775</v>
      </c>
    </row>
    <row r="84" spans="2:17" ht="16.05" customHeight="1" outlineLevel="1">
      <c r="B84" s="148"/>
      <c r="C84" s="136">
        <f>C83+1%</f>
        <v>8.985314120131753E-2</v>
      </c>
      <c r="D84" s="140">
        <f t="shared" si="7"/>
        <v>479671.75809321506</v>
      </c>
      <c r="E84" s="141">
        <f t="shared" si="7"/>
        <v>526933.31350835459</v>
      </c>
      <c r="F84" s="141">
        <f t="shared" si="7"/>
        <v>580960.71432462428</v>
      </c>
      <c r="G84" s="141">
        <f t="shared" si="7"/>
        <v>643318.84512798209</v>
      </c>
      <c r="H84" s="142">
        <f t="shared" si="7"/>
        <v>716095.49859393714</v>
      </c>
      <c r="J84" s="148"/>
      <c r="K84" s="136">
        <f>K83+1%</f>
        <v>8.985314120131753E-2</v>
      </c>
      <c r="L84" s="163">
        <f t="shared" si="8"/>
        <v>2.0782239513991572</v>
      </c>
      <c r="M84" s="164">
        <f t="shared" si="8"/>
        <v>2.3815181299798973</v>
      </c>
      <c r="N84" s="164">
        <f t="shared" si="8"/>
        <v>2.7282311403217832</v>
      </c>
      <c r="O84" s="164">
        <f t="shared" si="8"/>
        <v>3.128405402334673</v>
      </c>
      <c r="P84" s="165">
        <f t="shared" si="8"/>
        <v>3.5954390227673452</v>
      </c>
    </row>
    <row r="85" spans="2:17" outlineLevel="1">
      <c r="B85" s="148"/>
      <c r="C85" s="136">
        <f>C84+1%</f>
        <v>9.9853141201317525E-2</v>
      </c>
      <c r="D85" s="143">
        <f t="shared" si="7"/>
        <v>371530.82367207459</v>
      </c>
      <c r="E85" s="144">
        <f t="shared" si="7"/>
        <v>407252.44087615039</v>
      </c>
      <c r="F85" s="144">
        <f t="shared" si="7"/>
        <v>447447.47223359311</v>
      </c>
      <c r="G85" s="144">
        <f t="shared" si="7"/>
        <v>493012.35590616253</v>
      </c>
      <c r="H85" s="145">
        <f t="shared" si="7"/>
        <v>545100.19372065831</v>
      </c>
      <c r="J85" s="148"/>
      <c r="K85" s="136">
        <f>K84+1%</f>
        <v>9.9853141201317525E-2</v>
      </c>
      <c r="L85" s="167">
        <f t="shared" si="8"/>
        <v>1.384245186034466</v>
      </c>
      <c r="M85" s="168">
        <f t="shared" si="8"/>
        <v>1.6134834845271824</v>
      </c>
      <c r="N85" s="168">
        <f t="shared" si="8"/>
        <v>1.8714292696690205</v>
      </c>
      <c r="O85" s="168">
        <f t="shared" si="8"/>
        <v>2.1638353033725157</v>
      </c>
      <c r="P85" s="169">
        <f t="shared" si="8"/>
        <v>2.4981014494023537</v>
      </c>
    </row>
    <row r="87" spans="2:17">
      <c r="B87" s="2" t="s">
        <v>263</v>
      </c>
      <c r="C87" s="2"/>
      <c r="D87" s="1"/>
      <c r="E87" s="1"/>
      <c r="F87" s="1"/>
      <c r="G87" s="1"/>
      <c r="H87" s="1"/>
      <c r="I87" s="1"/>
      <c r="J87" s="1"/>
      <c r="K87" s="1"/>
      <c r="L87" s="1"/>
      <c r="M87" s="1"/>
      <c r="N87" s="1"/>
      <c r="O87" s="1"/>
      <c r="P87" s="1"/>
      <c r="Q87" s="1"/>
    </row>
    <row r="88" spans="2:17" outlineLevel="1"/>
    <row r="89" spans="2:17" outlineLevel="1">
      <c r="B89" s="3" t="s">
        <v>21</v>
      </c>
      <c r="C89" s="24"/>
    </row>
    <row r="90" spans="2:17" outlineLevel="1"/>
    <row r="91" spans="2:17" outlineLevel="1"/>
    <row r="92" spans="2:17" outlineLevel="1"/>
    <row r="93" spans="2:17" ht="15" outlineLevel="1" thickBot="1">
      <c r="C93" s="15">
        <v>2019</v>
      </c>
      <c r="D93" s="15">
        <f>C93+1</f>
        <v>2020</v>
      </c>
      <c r="E93" s="15">
        <f t="shared" ref="E93:M93" si="9">D93+1</f>
        <v>2021</v>
      </c>
      <c r="F93" s="15">
        <f t="shared" si="9"/>
        <v>2022</v>
      </c>
      <c r="G93" s="15">
        <f t="shared" si="9"/>
        <v>2023</v>
      </c>
      <c r="H93" s="15">
        <f t="shared" si="9"/>
        <v>2024</v>
      </c>
      <c r="I93" s="68">
        <f t="shared" si="9"/>
        <v>2025</v>
      </c>
      <c r="J93" s="68">
        <f t="shared" si="9"/>
        <v>2026</v>
      </c>
      <c r="K93" s="68">
        <f t="shared" si="9"/>
        <v>2027</v>
      </c>
      <c r="L93" s="68">
        <f t="shared" si="9"/>
        <v>2028</v>
      </c>
      <c r="M93" s="68">
        <f t="shared" si="9"/>
        <v>2029</v>
      </c>
    </row>
    <row r="94" spans="2:17" outlineLevel="1"/>
    <row r="95" spans="2:17" outlineLevel="1">
      <c r="B95" s="213" t="s">
        <v>264</v>
      </c>
    </row>
    <row r="96" spans="2:17" outlineLevel="1">
      <c r="B96" s="90" t="s">
        <v>27</v>
      </c>
      <c r="C96" s="32">
        <f>'Financial Model'!E47</f>
        <v>1698352</v>
      </c>
      <c r="D96" s="32">
        <f>'Financial Model'!F47</f>
        <v>1856555</v>
      </c>
      <c r="E96" s="32">
        <f>'Financial Model'!G47</f>
        <v>2184949</v>
      </c>
      <c r="F96" s="32">
        <f>'Financial Model'!H47</f>
        <v>2114297</v>
      </c>
      <c r="G96" s="32">
        <f>'Financial Model'!I47</f>
        <v>1887482</v>
      </c>
      <c r="H96" s="32">
        <f>'Financial Model'!J47</f>
        <v>1682296</v>
      </c>
      <c r="I96" s="32">
        <f>'Financial Model'!K47</f>
        <v>1615004.16</v>
      </c>
      <c r="J96" s="32">
        <f>'Financial Model'!L47</f>
        <v>1631154.2016</v>
      </c>
      <c r="K96" s="32">
        <f>'Financial Model'!M47</f>
        <v>1650728.0520192001</v>
      </c>
      <c r="L96" s="32">
        <f>'Financial Model'!N47</f>
        <v>1675488.9727994879</v>
      </c>
      <c r="M96" s="33">
        <f>'Financial Model'!O47</f>
        <v>1707323.2632826781</v>
      </c>
    </row>
    <row r="97" spans="2:13" outlineLevel="1">
      <c r="B97" s="117" t="s">
        <v>265</v>
      </c>
      <c r="C97" s="37">
        <f>'Financial Model'!E64</f>
        <v>81845</v>
      </c>
      <c r="D97" s="37">
        <f>'Financial Model'!F64</f>
        <v>139189</v>
      </c>
      <c r="E97" s="37">
        <f>'Financial Model'!G64</f>
        <v>153746</v>
      </c>
      <c r="F97" s="37">
        <f>'Financial Model'!H64</f>
        <v>36610</v>
      </c>
      <c r="G97" s="37">
        <f>'Financial Model'!I64</f>
        <v>-15287</v>
      </c>
      <c r="H97" s="37">
        <f>'Financial Model'!J64</f>
        <v>-20334</v>
      </c>
      <c r="I97" s="37">
        <f>'Financial Model'!K64</f>
        <v>-14673.749786706934</v>
      </c>
      <c r="J97" s="37">
        <f>'Financial Model'!L64</f>
        <v>-3900.9831586304572</v>
      </c>
      <c r="K97" s="37">
        <f>'Financial Model'!M64</f>
        <v>18136.501291690962</v>
      </c>
      <c r="L97" s="37">
        <f>'Financial Model'!N64</f>
        <v>24374.06651012375</v>
      </c>
      <c r="M97" s="38">
        <f>'Financial Model'!O64</f>
        <v>25031.432272356928</v>
      </c>
    </row>
    <row r="98" spans="2:13" outlineLevel="1"/>
    <row r="99" spans="2:13" outlineLevel="1">
      <c r="B99" s="213" t="s">
        <v>268</v>
      </c>
    </row>
    <row r="100" spans="2:13" outlineLevel="1">
      <c r="B100" s="90" t="s">
        <v>9</v>
      </c>
      <c r="C100" s="214">
        <f>'Financial Model'!E49/'Financial Model'!E47</f>
        <v>0.61937866826193866</v>
      </c>
      <c r="D100" s="214">
        <f>'Financial Model'!F49/'Financial Model'!F47</f>
        <v>0.62265863386756659</v>
      </c>
      <c r="E100" s="214">
        <f>'Financial Model'!G49/'Financial Model'!G47</f>
        <v>0.60360539307782468</v>
      </c>
      <c r="F100" s="214">
        <f>'Financial Model'!H49/'Financial Model'!H47</f>
        <v>0.56865047814947478</v>
      </c>
      <c r="G100" s="214">
        <f>'Financial Model'!I49/'Financial Model'!I47</f>
        <v>0.57671013551387507</v>
      </c>
      <c r="H100" s="214">
        <f>'Financial Model'!J49/'Financial Model'!J47</f>
        <v>0.59607405593308194</v>
      </c>
      <c r="I100" s="214">
        <f>'Financial Model'!K49/'Financial Model'!K47</f>
        <v>0.59</v>
      </c>
      <c r="J100" s="214">
        <f>'Financial Model'!L49/'Financial Model'!L47</f>
        <v>0.59</v>
      </c>
      <c r="K100" s="214">
        <f>'Financial Model'!M49/'Financial Model'!M47</f>
        <v>0.59</v>
      </c>
      <c r="L100" s="214">
        <f>'Financial Model'!N49/'Financial Model'!N47</f>
        <v>0.59</v>
      </c>
      <c r="M100" s="215">
        <f>'Financial Model'!O49/'Financial Model'!O47</f>
        <v>0.59</v>
      </c>
    </row>
    <row r="101" spans="2:13" outlineLevel="1">
      <c r="B101" s="88" t="s">
        <v>266</v>
      </c>
      <c r="C101" s="65">
        <f>'Financial Model'!E58/'Financial Model'!E47</f>
        <v>6.6002218621345865E-2</v>
      </c>
      <c r="D101" s="65">
        <f>'Financial Model'!F58/'Financial Model'!F47</f>
        <v>9.9590908968492722E-2</v>
      </c>
      <c r="E101" s="65">
        <f>'Financial Model'!G58/'Financial Model'!G47</f>
        <v>8.8576895845166176E-2</v>
      </c>
      <c r="F101" s="65">
        <f>'Financial Model'!H58/'Financial Model'!H47</f>
        <v>3.2105234032872389E-2</v>
      </c>
      <c r="G101" s="65">
        <f>'Financial Model'!I58/'Financial Model'!I47</f>
        <v>1.2154817900250175E-2</v>
      </c>
      <c r="H101" s="65">
        <f>'Financial Model'!J58/'Financial Model'!J47</f>
        <v>1.3595704917565041E-2</v>
      </c>
      <c r="I101" s="65">
        <f>'Financial Model'!K58/'Financial Model'!K47</f>
        <v>1.7642770121442785E-2</v>
      </c>
      <c r="J101" s="65">
        <f>'Financial Model'!L58/'Financial Model'!L47</f>
        <v>2.0999999999999956E-2</v>
      </c>
      <c r="K101" s="65">
        <f>'Financial Model'!M58/'Financial Model'!M47</f>
        <v>2.2999999999999961E-2</v>
      </c>
      <c r="L101" s="65">
        <f>'Financial Model'!N58/'Financial Model'!N47</f>
        <v>2.3000000000000003E-2</v>
      </c>
      <c r="M101" s="216">
        <f>'Financial Model'!O58/'Financial Model'!O47</f>
        <v>2.3000000000000027E-2</v>
      </c>
    </row>
    <row r="102" spans="2:13" outlineLevel="1">
      <c r="B102" s="117" t="s">
        <v>267</v>
      </c>
      <c r="C102" s="217">
        <f>'Financial Model'!E64/'Financial Model'!E47</f>
        <v>4.8190834408885788E-2</v>
      </c>
      <c r="D102" s="217">
        <f>'Financial Model'!F64/'Financial Model'!F47</f>
        <v>7.4971654489094042E-2</v>
      </c>
      <c r="E102" s="217">
        <f>'Financial Model'!G64/'Financial Model'!G47</f>
        <v>7.0365944468269048E-2</v>
      </c>
      <c r="F102" s="217">
        <f>'Financial Model'!H64/'Financial Model'!H47</f>
        <v>1.7315448113486422E-2</v>
      </c>
      <c r="G102" s="217">
        <f>'Financial Model'!I64/'Financial Model'!I47</f>
        <v>-8.0991500846100788E-3</v>
      </c>
      <c r="H102" s="217">
        <f>'Financial Model'!J64/'Financial Model'!J47</f>
        <v>-1.2087052456880359E-2</v>
      </c>
      <c r="I102" s="217">
        <f>'Financial Model'!K64/'Financial Model'!K47</f>
        <v>-9.0858897767216486E-3</v>
      </c>
      <c r="J102" s="217">
        <f>'Financial Model'!L64/'Financial Model'!L47</f>
        <v>-2.3915477487070082E-3</v>
      </c>
      <c r="K102" s="217">
        <f>'Financial Model'!M64/'Financial Model'!M47</f>
        <v>1.0986971033481905E-2</v>
      </c>
      <c r="L102" s="217">
        <f>'Financial Model'!N64/'Financial Model'!N47</f>
        <v>1.4547434752374635E-2</v>
      </c>
      <c r="M102" s="218">
        <f>'Financial Model'!O64/'Financial Model'!O47</f>
        <v>1.4661214317568004E-2</v>
      </c>
    </row>
  </sheetData>
  <sheetProtection algorithmName="SHA-512" hashValue="1YWRpINGoWQLw3dxXpQ7NJVssZ2Oz5YqJgnsB1m1JqyQ9pn6RaREvks4hCTKGt6cgvIOkShIDEbST6Msye0Y7w==" saltValue="j9f/hMZ7NJV/5kyDTFez+A==" spinCount="100000"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F5E7-DC4C-41BA-B867-E68B72E49F9D}">
  <dimension ref="B1:N20"/>
  <sheetViews>
    <sheetView showGridLines="0" zoomScale="80" zoomScaleNormal="80" workbookViewId="0">
      <pane ySplit="1" topLeftCell="A2" activePane="bottomLeft" state="frozen"/>
      <selection pane="bottomLeft" activeCell="Q13" sqref="Q13"/>
    </sheetView>
  </sheetViews>
  <sheetFormatPr defaultRowHeight="14.4"/>
  <cols>
    <col min="2" max="2" width="26.88671875" customWidth="1"/>
  </cols>
  <sheetData>
    <row r="1" spans="2:14" ht="71.400000000000006" customHeight="1">
      <c r="B1" s="238"/>
      <c r="C1" s="238"/>
      <c r="D1" s="238"/>
      <c r="E1" s="238"/>
      <c r="F1" s="238"/>
      <c r="G1" s="238"/>
      <c r="H1" s="238"/>
      <c r="I1" s="238"/>
      <c r="J1" s="238"/>
      <c r="K1" s="238"/>
      <c r="L1" s="238"/>
      <c r="M1" s="238"/>
      <c r="N1" s="238"/>
    </row>
    <row r="3" spans="2:14">
      <c r="B3" s="2" t="s">
        <v>186</v>
      </c>
      <c r="C3" s="2"/>
      <c r="D3" s="1"/>
      <c r="E3" s="1"/>
      <c r="F3" s="1"/>
      <c r="G3" s="1"/>
      <c r="H3" s="1"/>
      <c r="I3" s="1"/>
      <c r="J3" s="1"/>
      <c r="K3" s="1"/>
      <c r="L3" s="1"/>
      <c r="M3" s="1"/>
      <c r="N3" s="1"/>
    </row>
    <row r="5" spans="2:14">
      <c r="B5" s="3" t="s">
        <v>188</v>
      </c>
      <c r="C5" s="3"/>
      <c r="D5" s="3"/>
      <c r="E5" s="3"/>
    </row>
    <row r="7" spans="2:14">
      <c r="B7" s="90" t="s">
        <v>202</v>
      </c>
      <c r="C7" s="33">
        <f>D14+J13</f>
        <v>702427.44</v>
      </c>
    </row>
    <row r="8" spans="2:14">
      <c r="B8" s="117" t="s">
        <v>207</v>
      </c>
      <c r="C8" s="147">
        <v>0.02</v>
      </c>
    </row>
    <row r="10" spans="2:14" s="171" customFormat="1" ht="16.5" customHeight="1">
      <c r="B10" s="176" t="s">
        <v>239</v>
      </c>
      <c r="C10" s="177"/>
      <c r="D10" s="177"/>
      <c r="F10" s="176" t="s">
        <v>240</v>
      </c>
      <c r="G10" s="177"/>
      <c r="H10" s="177"/>
      <c r="I10" s="175" t="s">
        <v>191</v>
      </c>
      <c r="J10" s="178"/>
      <c r="L10" s="176" t="s">
        <v>205</v>
      </c>
      <c r="M10" s="177"/>
      <c r="N10" s="177"/>
    </row>
    <row r="11" spans="2:14">
      <c r="B11" s="83"/>
      <c r="F11" s="84"/>
    </row>
    <row r="12" spans="2:14">
      <c r="B12" s="82" t="s">
        <v>231</v>
      </c>
      <c r="C12" s="128" t="s">
        <v>232</v>
      </c>
      <c r="D12" s="85">
        <v>6.96</v>
      </c>
      <c r="F12" s="82" t="s">
        <v>119</v>
      </c>
      <c r="J12" s="27">
        <v>546600</v>
      </c>
      <c r="L12" s="90" t="s">
        <v>203</v>
      </c>
      <c r="M12" s="91"/>
      <c r="N12" s="96">
        <f>D14/C7</f>
        <v>0.22184133353332555</v>
      </c>
    </row>
    <row r="13" spans="2:14">
      <c r="B13" s="82" t="s">
        <v>187</v>
      </c>
      <c r="D13" s="27">
        <v>22389</v>
      </c>
      <c r="F13" s="81" t="s">
        <v>192</v>
      </c>
      <c r="J13" s="79">
        <f>SUM(J12:J12)</f>
        <v>546600</v>
      </c>
      <c r="L13" s="88" t="s">
        <v>197</v>
      </c>
      <c r="M13" s="89"/>
      <c r="N13" s="95">
        <f>D20</f>
        <v>0.12312499999999998</v>
      </c>
    </row>
    <row r="14" spans="2:14">
      <c r="B14" s="81" t="s">
        <v>189</v>
      </c>
      <c r="D14" s="21">
        <f>D12*D13</f>
        <v>155827.44</v>
      </c>
      <c r="L14" s="88" t="s">
        <v>204</v>
      </c>
      <c r="N14" s="95">
        <f>J13/C7</f>
        <v>0.77815866646667453</v>
      </c>
    </row>
    <row r="15" spans="2:14">
      <c r="F15" s="82" t="s">
        <v>198</v>
      </c>
      <c r="J15" s="27">
        <v>48368</v>
      </c>
      <c r="L15" s="88" t="s">
        <v>201</v>
      </c>
      <c r="N15" s="95">
        <f>J18</f>
        <v>6.7516984998170507E-2</v>
      </c>
    </row>
    <row r="16" spans="2:14">
      <c r="B16" s="82" t="s">
        <v>193</v>
      </c>
      <c r="D16" s="55">
        <v>4.2500000000000003E-2</v>
      </c>
      <c r="F16" s="82" t="s">
        <v>199</v>
      </c>
      <c r="J16" s="55">
        <f>J15/J13</f>
        <v>8.8488840102451519E-2</v>
      </c>
      <c r="L16" s="97" t="s">
        <v>205</v>
      </c>
      <c r="M16" s="98"/>
      <c r="N16" s="99">
        <f>(N12*N13)+(N14*N15)</f>
        <v>7.9853141201317535E-2</v>
      </c>
    </row>
    <row r="17" spans="2:10">
      <c r="B17" s="82" t="s">
        <v>194</v>
      </c>
      <c r="D17" s="123">
        <v>2.15</v>
      </c>
      <c r="F17" s="82" t="s">
        <v>200</v>
      </c>
      <c r="J17" s="75">
        <v>0.23699999999999999</v>
      </c>
    </row>
    <row r="18" spans="2:10">
      <c r="B18" s="82" t="s">
        <v>195</v>
      </c>
      <c r="D18" s="55">
        <v>0.08</v>
      </c>
      <c r="F18" s="81" t="s">
        <v>201</v>
      </c>
      <c r="J18" s="87">
        <f>J16*(1-J17)</f>
        <v>6.7516984998170507E-2</v>
      </c>
    </row>
    <row r="19" spans="2:10">
      <c r="B19" s="82" t="s">
        <v>196</v>
      </c>
      <c r="D19" s="55">
        <f>D18-D16</f>
        <v>3.7499999999999999E-2</v>
      </c>
    </row>
    <row r="20" spans="2:10">
      <c r="B20" s="81" t="s">
        <v>197</v>
      </c>
      <c r="D20" s="86">
        <f>D16+(D17*D19)</f>
        <v>0.12312499999999998</v>
      </c>
    </row>
  </sheetData>
  <sheetProtection algorithmName="SHA-512" hashValue="/wg3ORgRb3weeJ7Fc1eYi/cLOzoODfLmEEcIVnWmsAZlORY8MYoj+tcwn3fUxmBR5uoBqKfnjQ9oCTEJX5/bUg==" saltValue="pwGsadwTGkqH/epf1VF36Q==" spinCount="100000"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66675-C5A9-436B-AE57-D0FAF48A6E33}">
  <dimension ref="B1:N63"/>
  <sheetViews>
    <sheetView showGridLines="0" zoomScale="85" zoomScaleNormal="85" workbookViewId="0">
      <pane ySplit="1" topLeftCell="A2" activePane="bottomLeft" state="frozen"/>
      <selection pane="bottomLeft" activeCell="O45" sqref="O45"/>
    </sheetView>
  </sheetViews>
  <sheetFormatPr defaultRowHeight="14.4"/>
  <cols>
    <col min="1" max="1" width="10.88671875" customWidth="1"/>
    <col min="2" max="2" width="25.77734375" customWidth="1"/>
    <col min="3" max="3" width="12.109375" bestFit="1" customWidth="1"/>
    <col min="4" max="6" width="9.77734375" customWidth="1"/>
    <col min="7" max="14" width="10.77734375" customWidth="1"/>
  </cols>
  <sheetData>
    <row r="1" spans="2:14" ht="71.400000000000006" customHeight="1">
      <c r="B1" s="238"/>
      <c r="C1" s="238"/>
      <c r="D1" s="238"/>
      <c r="E1" s="238"/>
      <c r="F1" s="238"/>
      <c r="G1" s="238"/>
      <c r="H1" s="238"/>
      <c r="I1" s="238"/>
      <c r="J1" s="238"/>
      <c r="K1" s="238"/>
      <c r="L1" s="238"/>
      <c r="M1" s="238"/>
      <c r="N1" s="238"/>
    </row>
    <row r="3" spans="2:14">
      <c r="B3" s="2" t="s">
        <v>172</v>
      </c>
      <c r="C3" s="2"/>
      <c r="D3" s="1"/>
      <c r="E3" s="1"/>
      <c r="F3" s="1"/>
      <c r="G3" s="1"/>
      <c r="H3" s="1"/>
      <c r="I3" s="1"/>
      <c r="J3" s="1"/>
      <c r="K3" s="1"/>
      <c r="L3" s="1"/>
      <c r="M3" s="1"/>
      <c r="N3" s="1"/>
    </row>
    <row r="5" spans="2:14" ht="15" thickBot="1">
      <c r="D5" s="15">
        <v>2019</v>
      </c>
      <c r="E5" s="15">
        <f>D5+1</f>
        <v>2020</v>
      </c>
      <c r="F5" s="15">
        <f t="shared" ref="F5:N5" si="0">E5+1</f>
        <v>2021</v>
      </c>
      <c r="G5" s="15">
        <f t="shared" si="0"/>
        <v>2022</v>
      </c>
      <c r="H5" s="15">
        <f t="shared" si="0"/>
        <v>2023</v>
      </c>
      <c r="I5" s="15">
        <f t="shared" si="0"/>
        <v>2024</v>
      </c>
      <c r="J5" s="68">
        <f t="shared" si="0"/>
        <v>2025</v>
      </c>
      <c r="K5" s="68">
        <f t="shared" si="0"/>
        <v>2026</v>
      </c>
      <c r="L5" s="68">
        <f t="shared" si="0"/>
        <v>2027</v>
      </c>
      <c r="M5" s="68">
        <f t="shared" si="0"/>
        <v>2028</v>
      </c>
      <c r="N5" s="68">
        <f t="shared" si="0"/>
        <v>2029</v>
      </c>
    </row>
    <row r="7" spans="2:14">
      <c r="B7" s="82" t="s">
        <v>184</v>
      </c>
      <c r="D7" s="55">
        <f t="shared" ref="D7:I7" si="1">-D11/D9</f>
        <v>0.29471430483072392</v>
      </c>
      <c r="E7" s="55">
        <f t="shared" si="1"/>
        <v>0.26712854794046381</v>
      </c>
      <c r="F7" s="55">
        <f t="shared" si="1"/>
        <v>0.2728536292989418</v>
      </c>
      <c r="G7" s="55">
        <f t="shared" si="1"/>
        <v>0.34681791396582207</v>
      </c>
      <c r="H7" s="55">
        <f t="shared" si="1"/>
        <v>0.51656350797663675</v>
      </c>
      <c r="I7" s="55">
        <f t="shared" si="1"/>
        <v>0.52059286463798526</v>
      </c>
      <c r="J7" s="55">
        <v>0.52</v>
      </c>
      <c r="K7" s="55">
        <v>0.52</v>
      </c>
      <c r="L7" s="55">
        <v>0.52</v>
      </c>
      <c r="M7" s="55">
        <v>0.52</v>
      </c>
      <c r="N7" s="55">
        <v>0.52</v>
      </c>
    </row>
    <row r="8" spans="2:14">
      <c r="B8" s="82"/>
      <c r="D8" s="55"/>
      <c r="E8" s="55"/>
      <c r="F8" s="55"/>
      <c r="G8" s="55"/>
      <c r="H8" s="55"/>
      <c r="I8" s="55"/>
      <c r="J8" s="55"/>
      <c r="K8" s="55"/>
      <c r="L8" s="55"/>
      <c r="M8" s="55"/>
      <c r="N8" s="55"/>
    </row>
    <row r="9" spans="2:14">
      <c r="B9" s="82" t="s">
        <v>40</v>
      </c>
      <c r="D9" s="8">
        <f>'Financial Model'!E58</f>
        <v>112095</v>
      </c>
      <c r="E9" s="8">
        <f>'Financial Model'!F58</f>
        <v>184896</v>
      </c>
      <c r="F9" s="8">
        <f>'Financial Model'!G58</f>
        <v>193536</v>
      </c>
      <c r="G9" s="8">
        <f>'Financial Model'!H58</f>
        <v>67880</v>
      </c>
      <c r="H9" s="8">
        <f>'Financial Model'!I58</f>
        <v>22942</v>
      </c>
      <c r="I9" s="8">
        <f>'Financial Model'!J58</f>
        <v>22872</v>
      </c>
      <c r="J9" s="8">
        <f>'Financial Model'!K58</f>
        <v>28493.147140053799</v>
      </c>
      <c r="K9" s="8">
        <f>'Financial Model'!L58</f>
        <v>34254.238233599928</v>
      </c>
      <c r="L9" s="8">
        <f>'Financial Model'!M58</f>
        <v>37966.745196441538</v>
      </c>
      <c r="M9" s="8">
        <f>'Financial Model'!N58</f>
        <v>38536.246374388225</v>
      </c>
      <c r="N9" s="8">
        <f>'Financial Model'!O58</f>
        <v>39268.435055501643</v>
      </c>
    </row>
    <row r="10" spans="2:14">
      <c r="B10" s="82" t="s">
        <v>182</v>
      </c>
      <c r="D10" s="8">
        <v>25635</v>
      </c>
      <c r="E10" s="8">
        <v>24966</v>
      </c>
      <c r="F10" s="8">
        <v>24763</v>
      </c>
      <c r="G10" s="8">
        <v>25912</v>
      </c>
      <c r="H10" s="8">
        <v>27777</v>
      </c>
      <c r="I10" s="8">
        <v>26775</v>
      </c>
      <c r="J10" s="27">
        <f>AVERAGE(G10:I10)</f>
        <v>26821.333333333332</v>
      </c>
      <c r="K10" s="27">
        <f t="shared" ref="K10:N10" si="2">AVERAGE(H10:J10)</f>
        <v>27124.444444444442</v>
      </c>
      <c r="L10" s="27">
        <f t="shared" si="2"/>
        <v>26906.925925925923</v>
      </c>
      <c r="M10" s="27">
        <f t="shared" si="2"/>
        <v>26950.901234567897</v>
      </c>
      <c r="N10" s="27">
        <f t="shared" si="2"/>
        <v>26994.090534979419</v>
      </c>
    </row>
    <row r="11" spans="2:14">
      <c r="B11" s="82" t="s">
        <v>183</v>
      </c>
      <c r="D11" s="8">
        <v>-33036</v>
      </c>
      <c r="E11" s="8">
        <v>-49391</v>
      </c>
      <c r="F11" s="8">
        <v>-52807</v>
      </c>
      <c r="G11" s="8">
        <v>-23542</v>
      </c>
      <c r="H11" s="8">
        <v>-11851</v>
      </c>
      <c r="I11" s="8">
        <v>-11907</v>
      </c>
      <c r="J11" s="27">
        <f>-J7*J9</f>
        <v>-14816.436512827977</v>
      </c>
      <c r="K11" s="27">
        <f>-K7*K9</f>
        <v>-17812.203881471964</v>
      </c>
      <c r="L11" s="27">
        <f>-L7*L9</f>
        <v>-19742.707502149602</v>
      </c>
      <c r="M11" s="27">
        <f>-M7*M9</f>
        <v>-20038.848114681878</v>
      </c>
      <c r="N11" s="27">
        <f>-N7*N9</f>
        <v>-20419.586228860855</v>
      </c>
    </row>
    <row r="12" spans="2:14">
      <c r="B12" s="81" t="s">
        <v>173</v>
      </c>
      <c r="D12" s="79">
        <f>SUM(D9:D11)</f>
        <v>104694</v>
      </c>
      <c r="E12" s="79">
        <f t="shared" ref="E12:I12" si="3">SUM(E9:E11)</f>
        <v>160471</v>
      </c>
      <c r="F12" s="79">
        <f t="shared" si="3"/>
        <v>165492</v>
      </c>
      <c r="G12" s="79">
        <f t="shared" si="3"/>
        <v>70250</v>
      </c>
      <c r="H12" s="79">
        <f t="shared" si="3"/>
        <v>38868</v>
      </c>
      <c r="I12" s="79">
        <f t="shared" si="3"/>
        <v>37740</v>
      </c>
      <c r="J12" s="79">
        <f>SUM(J9:J11)</f>
        <v>40498.043960559153</v>
      </c>
      <c r="K12" s="79">
        <f t="shared" ref="K12:N12" si="4">SUM(K9:K11)</f>
        <v>43566.478796572403</v>
      </c>
      <c r="L12" s="79">
        <f t="shared" si="4"/>
        <v>45130.963620217866</v>
      </c>
      <c r="M12" s="79">
        <f t="shared" si="4"/>
        <v>45448.299494274237</v>
      </c>
      <c r="N12" s="79">
        <f t="shared" si="4"/>
        <v>45842.939361620207</v>
      </c>
    </row>
    <row r="14" spans="2:14">
      <c r="B14" s="17" t="s">
        <v>174</v>
      </c>
      <c r="D14" s="8">
        <f>'Financial Model'!E122</f>
        <v>61866</v>
      </c>
      <c r="E14" s="8">
        <f>'Financial Model'!F122</f>
        <v>61563</v>
      </c>
      <c r="F14" s="8">
        <f>'Financial Model'!G122</f>
        <v>60394</v>
      </c>
      <c r="G14" s="8">
        <f>'Financial Model'!H122</f>
        <v>67401</v>
      </c>
      <c r="H14" s="8">
        <f>'Financial Model'!I122</f>
        <v>74043</v>
      </c>
      <c r="I14" s="8">
        <f>'Financial Model'!J122</f>
        <v>66351</v>
      </c>
      <c r="J14" s="8">
        <f>'Financial Model'!K122</f>
        <v>67047.25</v>
      </c>
      <c r="K14" s="8">
        <f>'Financial Model'!L122</f>
        <v>68710.5625</v>
      </c>
      <c r="L14" s="8">
        <f>'Financial Model'!M122</f>
        <v>69037.953125</v>
      </c>
      <c r="M14" s="8">
        <f>'Financial Model'!N122</f>
        <v>67786.69140625</v>
      </c>
      <c r="N14" s="8">
        <f>'Financial Model'!O122</f>
        <v>68145.6142578125</v>
      </c>
    </row>
    <row r="15" spans="2:14">
      <c r="B15" s="17" t="s">
        <v>175</v>
      </c>
      <c r="D15" s="8">
        <f>'Financial Model'!E140</f>
        <v>-59239</v>
      </c>
      <c r="E15" s="8">
        <f>'Financial Model'!F140</f>
        <v>-37100</v>
      </c>
      <c r="F15" s="8">
        <f>'Financial Model'!G140</f>
        <v>-66900</v>
      </c>
      <c r="G15" s="8">
        <f>'Financial Model'!H140</f>
        <v>-69454</v>
      </c>
      <c r="H15" s="8">
        <f>'Financial Model'!I140</f>
        <v>-57056</v>
      </c>
      <c r="I15" s="8">
        <f>'Financial Model'!J140</f>
        <v>-23505</v>
      </c>
      <c r="J15" s="8">
        <f>'Financial Model'!K140</f>
        <v>-22610.058239999998</v>
      </c>
      <c r="K15" s="8">
        <f>'Financial Model'!L140</f>
        <v>-32623.084032000002</v>
      </c>
      <c r="L15" s="8">
        <f>'Financial Model'!M140</f>
        <v>-34665.289092403204</v>
      </c>
      <c r="M15" s="8">
        <f>'Financial Model'!N140</f>
        <v>-46913.691238385662</v>
      </c>
      <c r="N15" s="8">
        <f>'Financial Model'!O140</f>
        <v>-47805.051371914989</v>
      </c>
    </row>
    <row r="17" spans="2:14">
      <c r="B17" s="80" t="s">
        <v>176</v>
      </c>
    </row>
    <row r="18" spans="2:14">
      <c r="B18" s="82" t="s">
        <v>105</v>
      </c>
      <c r="D18" s="8">
        <f>'Financial Model'!E73</f>
        <v>19978</v>
      </c>
      <c r="E18" s="8">
        <f>'Financial Model'!F73</f>
        <v>31871</v>
      </c>
      <c r="F18" s="8">
        <f>'Financial Model'!G73</f>
        <v>25718</v>
      </c>
      <c r="G18" s="8">
        <f>'Financial Model'!H73</f>
        <v>26005</v>
      </c>
      <c r="H18" s="8">
        <f>'Financial Model'!I73</f>
        <v>26859</v>
      </c>
      <c r="I18" s="8">
        <f>'Financial Model'!J73</f>
        <v>17516</v>
      </c>
      <c r="J18" s="8">
        <f>'Financial Model'!K73</f>
        <v>17698.675726027395</v>
      </c>
      <c r="K18" s="8">
        <f>'Financial Model'!L73</f>
        <v>17875.662483287673</v>
      </c>
      <c r="L18" s="8">
        <f>'Financial Model'!M73</f>
        <v>18090.170433087125</v>
      </c>
      <c r="M18" s="8">
        <f>'Financial Model'!N73</f>
        <v>18361.522989583427</v>
      </c>
      <c r="N18" s="8">
        <f>'Financial Model'!O73</f>
        <v>18710.391926385513</v>
      </c>
    </row>
    <row r="19" spans="2:14">
      <c r="B19" s="82" t="s">
        <v>106</v>
      </c>
      <c r="D19" s="8">
        <f>'Financial Model'!E74</f>
        <v>87065</v>
      </c>
      <c r="E19" s="8">
        <f>'Financial Model'!F74</f>
        <v>81362</v>
      </c>
      <c r="F19" s="8">
        <f>'Financial Model'!G74</f>
        <v>105644</v>
      </c>
      <c r="G19" s="8">
        <f>'Financial Model'!H74</f>
        <v>114034</v>
      </c>
      <c r="H19" s="8">
        <f>'Financial Model'!I74</f>
        <v>115433</v>
      </c>
      <c r="I19" s="8">
        <f>'Financial Model'!J74</f>
        <v>103152</v>
      </c>
      <c r="J19" s="8">
        <f>'Financial Model'!K74</f>
        <v>99776.28440547944</v>
      </c>
      <c r="K19" s="8">
        <f>'Financial Model'!L74</f>
        <v>97109.536440460288</v>
      </c>
      <c r="L19" s="8">
        <f>'Financial Model'!M74</f>
        <v>92712.12346957151</v>
      </c>
      <c r="M19" s="8">
        <f>'Financial Model'!N74</f>
        <v>86574.580895885869</v>
      </c>
      <c r="N19" s="8">
        <f>'Financial Model'!O74</f>
        <v>88219.497932907689</v>
      </c>
    </row>
    <row r="20" spans="2:14">
      <c r="B20" s="82" t="s">
        <v>177</v>
      </c>
      <c r="D20" s="8">
        <f>'Financial Model'!E76</f>
        <v>36397</v>
      </c>
      <c r="E20" s="8">
        <f>'Financial Model'!F76</f>
        <v>43489</v>
      </c>
      <c r="F20" s="8">
        <f>'Financial Model'!G76</f>
        <v>54917</v>
      </c>
      <c r="G20" s="8">
        <f>'Financial Model'!H76</f>
        <v>39921</v>
      </c>
      <c r="H20" s="8">
        <f>'Financial Model'!I76</f>
        <v>44637</v>
      </c>
      <c r="I20" s="8">
        <f>'Financial Model'!J76</f>
        <v>44098</v>
      </c>
      <c r="J20" s="8">
        <f>'Financial Model'!K76</f>
        <v>32300.083199999997</v>
      </c>
      <c r="K20" s="8">
        <f>'Financial Model'!L76</f>
        <v>32623.084032000002</v>
      </c>
      <c r="L20" s="8">
        <f>'Financial Model'!M76</f>
        <v>31363.8329883648</v>
      </c>
      <c r="M20" s="8">
        <f>'Financial Model'!N76</f>
        <v>31834.290483190271</v>
      </c>
      <c r="N20" s="8">
        <f>'Financial Model'!O76</f>
        <v>30731.818739088205</v>
      </c>
    </row>
    <row r="21" spans="2:14">
      <c r="B21" s="81" t="s">
        <v>178</v>
      </c>
      <c r="D21" s="79">
        <f>SUM(D18:D20)</f>
        <v>143440</v>
      </c>
      <c r="E21" s="79">
        <f t="shared" ref="E21:N21" si="5">SUM(E18:E20)</f>
        <v>156722</v>
      </c>
      <c r="F21" s="79">
        <f t="shared" si="5"/>
        <v>186279</v>
      </c>
      <c r="G21" s="79">
        <f t="shared" si="5"/>
        <v>179960</v>
      </c>
      <c r="H21" s="79">
        <f t="shared" si="5"/>
        <v>186929</v>
      </c>
      <c r="I21" s="79">
        <f t="shared" si="5"/>
        <v>164766</v>
      </c>
      <c r="J21" s="79">
        <f t="shared" si="5"/>
        <v>149775.04333150684</v>
      </c>
      <c r="K21" s="79">
        <f t="shared" si="5"/>
        <v>147608.28295574797</v>
      </c>
      <c r="L21" s="79">
        <f t="shared" si="5"/>
        <v>142166.12689102345</v>
      </c>
      <c r="M21" s="79">
        <f t="shared" si="5"/>
        <v>136770.39436865956</v>
      </c>
      <c r="N21" s="79">
        <f t="shared" si="5"/>
        <v>137661.7085983814</v>
      </c>
    </row>
    <row r="23" spans="2:14">
      <c r="B23" s="82" t="s">
        <v>32</v>
      </c>
      <c r="D23" s="8">
        <f>'Financial Model'!E90</f>
        <v>134594</v>
      </c>
      <c r="E23" s="8">
        <f>'Financial Model'!F90</f>
        <v>91904</v>
      </c>
      <c r="F23" s="8">
        <f>'Financial Model'!G90</f>
        <v>162547</v>
      </c>
      <c r="G23" s="8">
        <f>'Financial Model'!H90</f>
        <v>176207</v>
      </c>
      <c r="H23" s="8">
        <f>'Financial Model'!I90</f>
        <v>135901</v>
      </c>
      <c r="I23" s="8">
        <f>'Financial Model'!J90</f>
        <v>107619</v>
      </c>
      <c r="J23" s="8">
        <f>'Financial Model'!K90</f>
        <v>107032.74145315069</v>
      </c>
      <c r="K23" s="8">
        <f>'Financial Model'!L90</f>
        <v>113599.83508129316</v>
      </c>
      <c r="L23" s="8">
        <f>'Financial Model'!M90</f>
        <v>114963.03310226867</v>
      </c>
      <c r="M23" s="8">
        <f>'Financial Model'!N90</f>
        <v>122333.64691809959</v>
      </c>
      <c r="N23" s="8">
        <f>'Financial Model'!O90</f>
        <v>124657.98620954348</v>
      </c>
    </row>
    <row r="24" spans="2:14">
      <c r="B24" s="82" t="s">
        <v>179</v>
      </c>
      <c r="D24" s="8">
        <f>'Financial Model'!E93+'Financial Model'!E94</f>
        <v>62492</v>
      </c>
      <c r="E24" s="8">
        <f>'Financial Model'!F93+'Financial Model'!F94</f>
        <v>100125</v>
      </c>
      <c r="F24" s="8">
        <f>'Financial Model'!G93+'Financial Model'!G94</f>
        <v>73327</v>
      </c>
      <c r="G24" s="8">
        <f>'Financial Model'!H93+'Financial Model'!H94</f>
        <v>54913</v>
      </c>
      <c r="H24" s="8">
        <f>'Financial Model'!I93+'Financial Model'!I94</f>
        <v>45407</v>
      </c>
      <c r="I24" s="8">
        <f>'Financial Model'!J93+'Financial Model'!J94</f>
        <v>49657</v>
      </c>
      <c r="J24" s="8">
        <f>'Financial Model'!K93+'Financial Model'!K94</f>
        <v>51034.131455999996</v>
      </c>
      <c r="K24" s="8">
        <f>'Financial Model'!L93+'Financial Model'!L94</f>
        <v>60352.705459200006</v>
      </c>
      <c r="L24" s="8">
        <f>'Financial Model'!M93+'Financial Model'!M94</f>
        <v>68175.06854839297</v>
      </c>
      <c r="M24" s="8">
        <f>'Financial Model'!N93+'Financial Model'!N94</f>
        <v>84612.193126374143</v>
      </c>
      <c r="N24" s="8">
        <f>'Financial Model'!O93+'Financial Model'!O94</f>
        <v>90488.132953981927</v>
      </c>
    </row>
    <row r="25" spans="2:14">
      <c r="B25" s="82" t="s">
        <v>180</v>
      </c>
      <c r="D25" s="8">
        <f>'Financial Model'!E96</f>
        <v>53070</v>
      </c>
      <c r="E25" s="8">
        <f>'Financial Model'!F96</f>
        <v>60856</v>
      </c>
      <c r="F25" s="8">
        <f>'Financial Model'!G96</f>
        <v>64177</v>
      </c>
      <c r="G25" s="8">
        <f>'Financial Model'!H96</f>
        <v>60785</v>
      </c>
      <c r="H25" s="8">
        <f>'Financial Model'!I96</f>
        <v>61958</v>
      </c>
      <c r="I25" s="8">
        <f>'Financial Model'!J96</f>
        <v>55804</v>
      </c>
      <c r="J25" s="8">
        <f>'Financial Model'!K96</f>
        <v>53295.137280000003</v>
      </c>
      <c r="K25" s="8">
        <f>'Financial Model'!L96</f>
        <v>53828.088652800005</v>
      </c>
      <c r="L25" s="8">
        <f>'Financial Model'!M96</f>
        <v>56124.753768652809</v>
      </c>
      <c r="M25" s="8">
        <f>'Financial Model'!N96</f>
        <v>58642.114047982082</v>
      </c>
      <c r="N25" s="8">
        <f>'Financial Model'!O96</f>
        <v>64878.284004741763</v>
      </c>
    </row>
    <row r="26" spans="2:14">
      <c r="B26" s="81" t="s">
        <v>178</v>
      </c>
      <c r="D26" s="79">
        <f>SUM(D23:D25)</f>
        <v>250156</v>
      </c>
      <c r="E26" s="79">
        <f t="shared" ref="E26:N26" si="6">SUM(E23:E25)</f>
        <v>252885</v>
      </c>
      <c r="F26" s="79">
        <f t="shared" si="6"/>
        <v>300051</v>
      </c>
      <c r="G26" s="79">
        <f t="shared" si="6"/>
        <v>291905</v>
      </c>
      <c r="H26" s="79">
        <f t="shared" si="6"/>
        <v>243266</v>
      </c>
      <c r="I26" s="79">
        <f t="shared" si="6"/>
        <v>213080</v>
      </c>
      <c r="J26" s="79">
        <f t="shared" si="6"/>
        <v>211362.01018915069</v>
      </c>
      <c r="K26" s="79">
        <f t="shared" si="6"/>
        <v>227780.62919329316</v>
      </c>
      <c r="L26" s="79">
        <f t="shared" si="6"/>
        <v>239262.85541931447</v>
      </c>
      <c r="M26" s="79">
        <f t="shared" si="6"/>
        <v>265587.9540924558</v>
      </c>
      <c r="N26" s="79">
        <f t="shared" si="6"/>
        <v>280024.40316826716</v>
      </c>
    </row>
    <row r="28" spans="2:14">
      <c r="B28" s="82" t="s">
        <v>181</v>
      </c>
      <c r="D28" s="27">
        <f>D21-D26</f>
        <v>-106716</v>
      </c>
      <c r="E28" s="27">
        <f t="shared" ref="E28:N28" si="7">E21-E26</f>
        <v>-96163</v>
      </c>
      <c r="F28" s="27">
        <f t="shared" si="7"/>
        <v>-113772</v>
      </c>
      <c r="G28" s="27">
        <f t="shared" si="7"/>
        <v>-111945</v>
      </c>
      <c r="H28" s="27">
        <f t="shared" si="7"/>
        <v>-56337</v>
      </c>
      <c r="I28" s="27">
        <f t="shared" si="7"/>
        <v>-48314</v>
      </c>
      <c r="J28" s="27">
        <f t="shared" si="7"/>
        <v>-61586.966857643856</v>
      </c>
      <c r="K28" s="27">
        <f t="shared" si="7"/>
        <v>-80172.346237545193</v>
      </c>
      <c r="L28" s="27">
        <f t="shared" si="7"/>
        <v>-97096.728528291016</v>
      </c>
      <c r="M28" s="27">
        <f t="shared" si="7"/>
        <v>-128817.55972379624</v>
      </c>
      <c r="N28" s="27">
        <f t="shared" si="7"/>
        <v>-142362.69456988576</v>
      </c>
    </row>
    <row r="29" spans="2:14">
      <c r="B29" s="81" t="s">
        <v>176</v>
      </c>
      <c r="D29" s="79"/>
      <c r="E29" s="79">
        <f>E28-D28</f>
        <v>10553</v>
      </c>
      <c r="F29" s="79">
        <f t="shared" ref="F29:N29" si="8">F28-E28</f>
        <v>-17609</v>
      </c>
      <c r="G29" s="79">
        <f t="shared" si="8"/>
        <v>1827</v>
      </c>
      <c r="H29" s="79">
        <f t="shared" si="8"/>
        <v>55608</v>
      </c>
      <c r="I29" s="79">
        <f t="shared" si="8"/>
        <v>8023</v>
      </c>
      <c r="J29" s="79">
        <f t="shared" si="8"/>
        <v>-13272.966857643856</v>
      </c>
      <c r="K29" s="79">
        <f t="shared" si="8"/>
        <v>-18585.379379901337</v>
      </c>
      <c r="L29" s="79">
        <f t="shared" si="8"/>
        <v>-16924.382290745823</v>
      </c>
      <c r="M29" s="79">
        <f t="shared" si="8"/>
        <v>-31720.83119550522</v>
      </c>
      <c r="N29" s="79">
        <f t="shared" si="8"/>
        <v>-13545.134846089524</v>
      </c>
    </row>
    <row r="31" spans="2:14">
      <c r="B31" s="81" t="s">
        <v>185</v>
      </c>
      <c r="D31" s="172">
        <v>0</v>
      </c>
      <c r="E31" s="173">
        <f>E12+E14+E15-E29</f>
        <v>174381</v>
      </c>
      <c r="F31" s="173">
        <f t="shared" ref="F31:N31" si="9">F12+F14+F15-F29</f>
        <v>176595</v>
      </c>
      <c r="G31" s="173">
        <f t="shared" si="9"/>
        <v>66370</v>
      </c>
      <c r="H31" s="173">
        <f t="shared" si="9"/>
        <v>247</v>
      </c>
      <c r="I31" s="173">
        <f t="shared" si="9"/>
        <v>72563</v>
      </c>
      <c r="J31" s="173">
        <f t="shared" si="9"/>
        <v>98208.20257820301</v>
      </c>
      <c r="K31" s="173">
        <f t="shared" si="9"/>
        <v>98239.336644473733</v>
      </c>
      <c r="L31" s="173">
        <f t="shared" si="9"/>
        <v>96428.009943560493</v>
      </c>
      <c r="M31" s="173">
        <f t="shared" si="9"/>
        <v>98042.130857643788</v>
      </c>
      <c r="N31" s="174">
        <f t="shared" si="9"/>
        <v>79728.637093607234</v>
      </c>
    </row>
    <row r="33" spans="2:14">
      <c r="B33" s="2" t="s">
        <v>206</v>
      </c>
      <c r="C33" s="2"/>
      <c r="D33" s="1"/>
      <c r="E33" s="1"/>
      <c r="F33" s="1"/>
      <c r="G33" s="1"/>
      <c r="H33" s="1"/>
      <c r="I33" s="1"/>
      <c r="J33" s="1"/>
      <c r="K33" s="1"/>
      <c r="L33" s="1"/>
      <c r="M33" s="1"/>
      <c r="N33" s="1"/>
    </row>
    <row r="35" spans="2:14" ht="16.05" customHeight="1">
      <c r="B35" s="3" t="s">
        <v>21</v>
      </c>
      <c r="C35" s="24"/>
      <c r="G35" s="109" t="s">
        <v>208</v>
      </c>
      <c r="H35" s="133" t="s">
        <v>209</v>
      </c>
      <c r="I35" s="133"/>
      <c r="J35" s="133"/>
      <c r="K35" s="133"/>
      <c r="L35" s="133"/>
      <c r="M35" s="110" t="s">
        <v>210</v>
      </c>
    </row>
    <row r="36" spans="2:14">
      <c r="G36" s="107" t="s">
        <v>211</v>
      </c>
      <c r="H36" s="105" t="s">
        <v>211</v>
      </c>
      <c r="I36" s="103" t="s">
        <v>211</v>
      </c>
      <c r="J36" s="103" t="s">
        <v>211</v>
      </c>
      <c r="K36" s="103" t="s">
        <v>211</v>
      </c>
      <c r="L36" s="101" t="s">
        <v>211</v>
      </c>
      <c r="M36" s="101" t="s">
        <v>211</v>
      </c>
    </row>
    <row r="37" spans="2:14" ht="16.05" customHeight="1">
      <c r="B37" s="129" t="s">
        <v>207</v>
      </c>
      <c r="C37" s="130">
        <f>Dashboard!I59</f>
        <v>0.02</v>
      </c>
      <c r="E37" s="132" t="s">
        <v>212</v>
      </c>
      <c r="F37" s="100"/>
      <c r="G37" s="108">
        <f>DATE(2024,12,30)</f>
        <v>45656</v>
      </c>
      <c r="H37" s="106">
        <f>EDATE(G37,12)</f>
        <v>46021</v>
      </c>
      <c r="I37" s="104">
        <f t="shared" ref="I37:M37" si="10">EDATE(H37,12)</f>
        <v>46386</v>
      </c>
      <c r="J37" s="104">
        <f t="shared" si="10"/>
        <v>46751</v>
      </c>
      <c r="K37" s="104">
        <f t="shared" si="10"/>
        <v>47117</v>
      </c>
      <c r="L37" s="102">
        <f t="shared" si="10"/>
        <v>47482</v>
      </c>
      <c r="M37" s="102">
        <f t="shared" si="10"/>
        <v>47847</v>
      </c>
    </row>
    <row r="38" spans="2:14">
      <c r="B38" s="93" t="s">
        <v>205</v>
      </c>
      <c r="C38" s="131">
        <f>Dashboard!I60</f>
        <v>7.9853141201317535E-2</v>
      </c>
    </row>
    <row r="40" spans="2:14">
      <c r="B40" s="81" t="s">
        <v>172</v>
      </c>
      <c r="G40" s="112">
        <v>0</v>
      </c>
      <c r="H40" s="113">
        <f>J31</f>
        <v>98208.20257820301</v>
      </c>
      <c r="I40" s="113">
        <f>K31</f>
        <v>98239.336644473733</v>
      </c>
      <c r="J40" s="113">
        <f>L31</f>
        <v>96428.009943560493</v>
      </c>
      <c r="K40" s="113">
        <f>M31</f>
        <v>98042.130857643788</v>
      </c>
      <c r="L40" s="113">
        <f>N31</f>
        <v>79728.637093607234</v>
      </c>
      <c r="M40" s="114">
        <f>L40*(1+C37)</f>
        <v>81323.209835479385</v>
      </c>
    </row>
    <row r="41" spans="2:14">
      <c r="B41" s="82"/>
      <c r="M41" s="111"/>
    </row>
    <row r="42" spans="2:14">
      <c r="B42" s="80" t="s">
        <v>233</v>
      </c>
      <c r="M42" s="111"/>
    </row>
    <row r="43" spans="2:14">
      <c r="B43" s="82" t="s">
        <v>209</v>
      </c>
      <c r="G43" s="116">
        <v>0</v>
      </c>
      <c r="H43" s="30">
        <f>H40</f>
        <v>98208.20257820301</v>
      </c>
      <c r="I43" s="30">
        <f t="shared" ref="I43:L43" si="11">I40</f>
        <v>98239.336644473733</v>
      </c>
      <c r="J43" s="30">
        <f t="shared" si="11"/>
        <v>96428.009943560493</v>
      </c>
      <c r="K43" s="30">
        <f t="shared" si="11"/>
        <v>98042.130857643788</v>
      </c>
      <c r="L43" s="30">
        <f t="shared" si="11"/>
        <v>79728.637093607234</v>
      </c>
      <c r="M43" s="111"/>
    </row>
    <row r="44" spans="2:14">
      <c r="B44" s="82" t="s">
        <v>214</v>
      </c>
      <c r="G44" s="116">
        <v>0</v>
      </c>
      <c r="H44" s="30">
        <v>0</v>
      </c>
      <c r="I44" s="30">
        <v>0</v>
      </c>
      <c r="J44" s="30">
        <v>0</v>
      </c>
      <c r="K44" s="30">
        <v>0</v>
      </c>
      <c r="L44" s="30">
        <f>M40/(C38-C37)</f>
        <v>1358712.4786307663</v>
      </c>
      <c r="M44" s="111"/>
    </row>
    <row r="45" spans="2:14">
      <c r="B45" s="82" t="s">
        <v>215</v>
      </c>
      <c r="G45" s="79">
        <f t="shared" ref="G45:L45" si="12">SUM(G43:G44)</f>
        <v>0</v>
      </c>
      <c r="H45" s="79">
        <f t="shared" si="12"/>
        <v>98208.20257820301</v>
      </c>
      <c r="I45" s="79">
        <f t="shared" si="12"/>
        <v>98239.336644473733</v>
      </c>
      <c r="J45" s="79">
        <f t="shared" si="12"/>
        <v>96428.009943560493</v>
      </c>
      <c r="K45" s="79">
        <f t="shared" si="12"/>
        <v>98042.130857643788</v>
      </c>
      <c r="L45" s="79">
        <f t="shared" si="12"/>
        <v>1438441.1157243736</v>
      </c>
      <c r="M45" s="111"/>
    </row>
    <row r="46" spans="2:14">
      <c r="B46" s="82"/>
      <c r="M46" s="111"/>
    </row>
    <row r="47" spans="2:14">
      <c r="B47" s="82" t="s">
        <v>213</v>
      </c>
      <c r="G47" s="116">
        <v>0</v>
      </c>
      <c r="H47" s="115">
        <f>YEARFRAC($G$37,H37)</f>
        <v>1</v>
      </c>
      <c r="I47" s="115">
        <f>YEARFRAC($G$37,I37)</f>
        <v>2</v>
      </c>
      <c r="J47" s="115">
        <f>YEARFRAC($G$37,J37)</f>
        <v>3</v>
      </c>
      <c r="K47" s="115">
        <f>YEARFRAC($G$37,K37)</f>
        <v>4</v>
      </c>
      <c r="L47" s="115">
        <f>YEARFRAC($G$37,L37)</f>
        <v>5</v>
      </c>
    </row>
    <row r="48" spans="2:14">
      <c r="B48" s="82"/>
    </row>
    <row r="49" spans="2:14">
      <c r="B49" s="80" t="s">
        <v>234</v>
      </c>
    </row>
    <row r="50" spans="2:14">
      <c r="B50" s="82" t="s">
        <v>209</v>
      </c>
      <c r="G50" s="116">
        <v>0</v>
      </c>
      <c r="H50" s="30">
        <f>H43/(1+$C$38)^H47</f>
        <v>90945.887761133999</v>
      </c>
      <c r="I50" s="30">
        <f>I43/(1+$C$38)^I47</f>
        <v>84247.307388131623</v>
      </c>
      <c r="J50" s="30">
        <f>J43/(1+$C$38)^J47</f>
        <v>76578.898663549277</v>
      </c>
      <c r="K50" s="30">
        <f>K43/(1+$C$38)^K47</f>
        <v>72103.103439956161</v>
      </c>
      <c r="L50" s="30">
        <f>L43/(1+$C$38)^L47</f>
        <v>54298.878597235365</v>
      </c>
    </row>
    <row r="51" spans="2:14">
      <c r="B51" s="82" t="s">
        <v>214</v>
      </c>
      <c r="G51" s="116">
        <v>0</v>
      </c>
      <c r="H51" s="30">
        <v>0</v>
      </c>
      <c r="I51" s="30">
        <v>0</v>
      </c>
      <c r="J51" s="30">
        <v>0</v>
      </c>
      <c r="K51" s="30">
        <v>0</v>
      </c>
      <c r="L51" s="30">
        <f>L44/(1+C38)^L47</f>
        <v>925345.85583222331</v>
      </c>
    </row>
    <row r="52" spans="2:14">
      <c r="B52" s="82" t="s">
        <v>215</v>
      </c>
      <c r="G52" s="79">
        <f>SUM(G50:G51)</f>
        <v>0</v>
      </c>
      <c r="H52" s="79">
        <f>SUM(H50:H51)</f>
        <v>90945.887761133999</v>
      </c>
      <c r="I52" s="79">
        <f t="shared" ref="I52:L52" si="13">SUM(I50:I51)</f>
        <v>84247.307388131623</v>
      </c>
      <c r="J52" s="79">
        <f t="shared" si="13"/>
        <v>76578.898663549277</v>
      </c>
      <c r="K52" s="79">
        <f t="shared" si="13"/>
        <v>72103.103439956161</v>
      </c>
      <c r="L52" s="79">
        <f t="shared" si="13"/>
        <v>979644.73442945862</v>
      </c>
    </row>
    <row r="53" spans="2:14">
      <c r="B53" s="82"/>
    </row>
    <row r="54" spans="2:14">
      <c r="B54" s="82"/>
    </row>
    <row r="55" spans="2:14" s="171" customFormat="1" ht="16.5" customHeight="1">
      <c r="B55" s="17"/>
      <c r="C55" s="170" t="s">
        <v>216</v>
      </c>
      <c r="G55" s="170" t="s">
        <v>216</v>
      </c>
      <c r="L55" s="170" t="s">
        <v>225</v>
      </c>
    </row>
    <row r="56" spans="2:14" s="122" customFormat="1" ht="16.95" customHeight="1">
      <c r="B56" s="121"/>
      <c r="C56" s="90" t="s">
        <v>217</v>
      </c>
      <c r="D56" s="91"/>
      <c r="E56" s="33">
        <f>SUM(G52:L52)</f>
        <v>1303519.9316822297</v>
      </c>
      <c r="F56"/>
      <c r="G56" s="90" t="s">
        <v>219</v>
      </c>
      <c r="H56" s="91"/>
      <c r="I56" s="92">
        <f>J56/$J$58</f>
        <v>0.2901176013181187</v>
      </c>
      <c r="J56" s="118">
        <f>SUM(H50:L50)</f>
        <v>378174.07585000643</v>
      </c>
      <c r="K56"/>
      <c r="L56" s="90" t="s">
        <v>190</v>
      </c>
      <c r="M56" s="91"/>
      <c r="N56" s="118">
        <f>WACC!J12</f>
        <v>546600</v>
      </c>
    </row>
    <row r="57" spans="2:14">
      <c r="C57" s="117" t="s">
        <v>218</v>
      </c>
      <c r="D57" s="94"/>
      <c r="E57" s="38">
        <f>XNPV(C38,G45:L45,G37:L37)</f>
        <v>1303298.5835206106</v>
      </c>
      <c r="G57" s="88" t="s">
        <v>220</v>
      </c>
      <c r="I57" s="119">
        <f>J57/$J$58</f>
        <v>0.7098823986818813</v>
      </c>
      <c r="J57" s="120">
        <f>L51</f>
        <v>925345.85583222331</v>
      </c>
      <c r="L57" s="88" t="s">
        <v>227</v>
      </c>
      <c r="N57" s="120">
        <v>1950</v>
      </c>
    </row>
    <row r="58" spans="2:14">
      <c r="G58" s="93" t="s">
        <v>221</v>
      </c>
      <c r="H58" s="124"/>
      <c r="I58" s="127">
        <f>SUM(I56:I57)</f>
        <v>1</v>
      </c>
      <c r="J58" s="125">
        <f>SUM(J56:J57)</f>
        <v>1303519.9316822297</v>
      </c>
      <c r="L58" s="93" t="s">
        <v>226</v>
      </c>
      <c r="M58" s="124"/>
      <c r="N58" s="125">
        <f>N56-N57</f>
        <v>544650</v>
      </c>
    </row>
    <row r="59" spans="2:14">
      <c r="E59" s="43"/>
    </row>
    <row r="60" spans="2:14">
      <c r="C60" s="170" t="s">
        <v>223</v>
      </c>
      <c r="D60" s="171"/>
      <c r="E60" s="171"/>
      <c r="F60" s="171"/>
      <c r="G60" s="170" t="s">
        <v>228</v>
      </c>
      <c r="H60" s="171"/>
      <c r="I60" s="171"/>
      <c r="J60" s="171"/>
    </row>
    <row r="61" spans="2:14" s="171" customFormat="1" ht="16.5" customHeight="1">
      <c r="C61" s="90" t="s">
        <v>221</v>
      </c>
      <c r="D61" s="91"/>
      <c r="E61" s="118">
        <f>E57</f>
        <v>1303298.5835206106</v>
      </c>
      <c r="F61"/>
      <c r="G61" s="90" t="s">
        <v>222</v>
      </c>
      <c r="H61" s="91"/>
      <c r="I61" s="91"/>
      <c r="J61" s="118">
        <f>E63</f>
        <v>758648.58352061058</v>
      </c>
    </row>
    <row r="62" spans="2:14">
      <c r="C62" s="88" t="s">
        <v>224</v>
      </c>
      <c r="E62" s="120">
        <f>-N58</f>
        <v>-544650</v>
      </c>
      <c r="G62" s="88" t="s">
        <v>229</v>
      </c>
      <c r="J62" s="120">
        <f>WACC!D13</f>
        <v>22389</v>
      </c>
    </row>
    <row r="63" spans="2:14">
      <c r="C63" s="93" t="s">
        <v>222</v>
      </c>
      <c r="D63" s="124"/>
      <c r="E63" s="125">
        <f>SUM(E61:E62)</f>
        <v>758648.58352061058</v>
      </c>
      <c r="G63" s="93" t="s">
        <v>230</v>
      </c>
      <c r="H63" s="124"/>
      <c r="I63" s="124"/>
      <c r="J63" s="126">
        <f>J61/J62</f>
        <v>33.884880232284182</v>
      </c>
    </row>
  </sheetData>
  <sheetProtection algorithmName="SHA-512" hashValue="s+iaUnLI1JFQ/fDYU02/Lq1UqqcDRkIPoDsQ4XoMluKqo0tGvXwvGvMCoccTcWrdznlxtQA5bXIFLpkCVVTJnA==" saltValue="6WoVvWllQv0PWd4UYOpXAw==" spinCount="100000" sheet="1" objects="1" scenarios="1"/>
  <pageMargins left="0.7" right="0.7" top="0.75" bottom="0.75" header="0.3" footer="0.3"/>
  <ignoredErrors>
    <ignoredError sqref="J10" formulaRange="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30A6-A3BB-4C59-B56A-8D0C5F6CCA48}">
  <dimension ref="B1:R30"/>
  <sheetViews>
    <sheetView showGridLines="0" zoomScale="80" zoomScaleNormal="80" workbookViewId="0">
      <pane ySplit="1" topLeftCell="A2" activePane="bottomLeft" state="frozen"/>
      <selection pane="bottomLeft" activeCell="I28" sqref="I28"/>
    </sheetView>
  </sheetViews>
  <sheetFormatPr defaultRowHeight="14.4"/>
  <cols>
    <col min="6" max="6" width="8.88671875" customWidth="1"/>
    <col min="8" max="8" width="9.21875" customWidth="1"/>
    <col min="9" max="9" width="12.21875" customWidth="1"/>
    <col min="10" max="11" width="8.88671875" customWidth="1"/>
  </cols>
  <sheetData>
    <row r="1" spans="2:18" ht="70.8" customHeight="1">
      <c r="B1" s="238"/>
      <c r="C1" s="238"/>
      <c r="D1" s="238"/>
      <c r="E1" s="238"/>
      <c r="F1" s="238"/>
      <c r="G1" s="238"/>
      <c r="H1" s="238"/>
      <c r="I1" s="238"/>
      <c r="J1" s="238"/>
      <c r="K1" s="238"/>
      <c r="L1" s="238"/>
      <c r="M1" s="238"/>
      <c r="N1" s="238"/>
      <c r="O1" s="238"/>
      <c r="P1" s="238"/>
      <c r="Q1" s="238"/>
      <c r="R1" s="238"/>
    </row>
    <row r="3" spans="2:18">
      <c r="B3" s="2" t="s">
        <v>241</v>
      </c>
      <c r="C3" s="2"/>
      <c r="D3" s="1"/>
      <c r="E3" s="1"/>
      <c r="F3" s="1"/>
      <c r="G3" s="1"/>
      <c r="H3" s="1"/>
      <c r="I3" s="1"/>
      <c r="J3" s="1"/>
      <c r="K3" s="1"/>
      <c r="L3" s="1"/>
      <c r="M3" s="1"/>
      <c r="N3" s="1"/>
      <c r="O3" s="1"/>
      <c r="P3" s="1"/>
      <c r="Q3" s="1"/>
      <c r="R3" s="1"/>
    </row>
    <row r="5" spans="2:18">
      <c r="B5" s="42" t="s">
        <v>21</v>
      </c>
      <c r="C5" s="42"/>
      <c r="D5" s="24"/>
      <c r="E5" s="24"/>
    </row>
    <row r="8" spans="2:18" ht="30" customHeight="1">
      <c r="B8" s="180" t="s">
        <v>242</v>
      </c>
      <c r="C8" s="179"/>
      <c r="D8" s="179"/>
      <c r="E8" s="179"/>
      <c r="F8" s="179"/>
      <c r="G8" s="183" t="s">
        <v>243</v>
      </c>
      <c r="H8" s="181" t="s">
        <v>244</v>
      </c>
      <c r="I8" s="181" t="s">
        <v>221</v>
      </c>
      <c r="J8" s="183" t="s">
        <v>245</v>
      </c>
      <c r="K8" s="184" t="s">
        <v>246</v>
      </c>
      <c r="L8" s="182" t="s">
        <v>247</v>
      </c>
      <c r="M8" s="181" t="s">
        <v>248</v>
      </c>
    </row>
    <row r="9" spans="2:18" s="171" customFormat="1" ht="16.5" customHeight="1">
      <c r="B9" s="84"/>
      <c r="C9" s="84"/>
      <c r="D9" s="84"/>
      <c r="E9" s="84"/>
      <c r="F9" s="84"/>
      <c r="G9" s="193"/>
      <c r="H9" s="194" t="s">
        <v>232</v>
      </c>
      <c r="I9" s="84"/>
      <c r="J9" s="193" t="s">
        <v>253</v>
      </c>
      <c r="K9" s="195" t="s">
        <v>253</v>
      </c>
      <c r="L9" s="193" t="s">
        <v>253</v>
      </c>
      <c r="M9" s="194" t="s">
        <v>253</v>
      </c>
    </row>
    <row r="10" spans="2:18" s="171" customFormat="1" ht="16.5" customHeight="1">
      <c r="B10" s="190"/>
      <c r="C10" s="190"/>
      <c r="D10" s="190"/>
      <c r="E10" s="190"/>
      <c r="F10" s="190"/>
      <c r="G10" s="191"/>
      <c r="H10" s="189"/>
      <c r="I10" s="190"/>
      <c r="J10" s="191"/>
      <c r="K10" s="192"/>
      <c r="L10" s="191"/>
      <c r="M10" s="189"/>
    </row>
    <row r="11" spans="2:18" s="171" customFormat="1" ht="16.5" customHeight="1">
      <c r="B11" s="199" t="s">
        <v>249</v>
      </c>
      <c r="G11" s="200" t="s">
        <v>250</v>
      </c>
      <c r="H11" s="237">
        <f>WACC!D12</f>
        <v>6.96</v>
      </c>
      <c r="I11" s="256">
        <v>1090000</v>
      </c>
      <c r="J11" s="257">
        <v>107290</v>
      </c>
      <c r="K11" s="198">
        <v>12.21</v>
      </c>
      <c r="L11" s="196">
        <v>-0.9</v>
      </c>
      <c r="M11" s="237">
        <v>-18.29</v>
      </c>
    </row>
    <row r="12" spans="2:18" s="171" customFormat="1" ht="16.5" customHeight="1">
      <c r="B12" s="199" t="s">
        <v>292</v>
      </c>
      <c r="G12" s="200" t="s">
        <v>256</v>
      </c>
      <c r="H12" s="237">
        <v>55.87</v>
      </c>
      <c r="I12" s="256">
        <v>16000000</v>
      </c>
      <c r="J12" s="257">
        <v>780400</v>
      </c>
      <c r="K12" s="198">
        <v>19.899999999999999</v>
      </c>
      <c r="L12" s="196">
        <v>2.16</v>
      </c>
      <c r="M12" s="237">
        <v>25.87</v>
      </c>
    </row>
    <row r="13" spans="2:18" s="171" customFormat="1" ht="16.5" customHeight="1">
      <c r="B13" s="199" t="s">
        <v>255</v>
      </c>
      <c r="G13" s="200" t="s">
        <v>251</v>
      </c>
      <c r="H13" s="237">
        <v>0.88</v>
      </c>
      <c r="I13" s="256">
        <v>223750</v>
      </c>
      <c r="J13" s="257">
        <v>-21410</v>
      </c>
      <c r="K13" s="198">
        <v>-30.56</v>
      </c>
      <c r="L13" s="196">
        <v>-0.91</v>
      </c>
      <c r="M13" s="237">
        <v>-1.54</v>
      </c>
    </row>
    <row r="14" spans="2:18" s="171" customFormat="1" ht="16.5" customHeight="1">
      <c r="B14" s="199" t="s">
        <v>254</v>
      </c>
      <c r="G14" s="200" t="s">
        <v>252</v>
      </c>
      <c r="H14" s="237">
        <v>38.42</v>
      </c>
      <c r="I14" s="256">
        <v>1760000</v>
      </c>
      <c r="J14" s="257">
        <v>206770</v>
      </c>
      <c r="K14" s="198">
        <v>5.91</v>
      </c>
      <c r="L14" s="196">
        <v>2.91</v>
      </c>
      <c r="M14" s="237">
        <v>12.89</v>
      </c>
    </row>
    <row r="15" spans="2:18" s="171" customFormat="1" ht="16.5" customHeight="1">
      <c r="B15" s="185"/>
      <c r="C15" s="185"/>
      <c r="D15" s="185"/>
      <c r="E15" s="185"/>
      <c r="F15" s="185"/>
      <c r="G15" s="186"/>
      <c r="H15" s="185"/>
      <c r="I15" s="185"/>
      <c r="J15" s="187"/>
      <c r="K15" s="188"/>
      <c r="L15" s="187"/>
      <c r="M15" s="185"/>
    </row>
    <row r="16" spans="2:18" s="171" customFormat="1" ht="16.5" customHeight="1">
      <c r="G16" s="201"/>
    </row>
    <row r="18" spans="2:18">
      <c r="B18" s="2" t="s">
        <v>257</v>
      </c>
      <c r="C18" s="2"/>
      <c r="D18" s="1"/>
      <c r="E18" s="1"/>
      <c r="F18" s="1"/>
      <c r="G18" s="1"/>
      <c r="H18" s="1"/>
      <c r="I18" s="1"/>
      <c r="J18" s="1"/>
      <c r="K18" s="1"/>
      <c r="L18" s="1"/>
      <c r="M18" s="1"/>
      <c r="N18" s="1"/>
      <c r="O18" s="1"/>
      <c r="P18" s="1"/>
      <c r="Q18" s="1"/>
      <c r="R18" s="1"/>
    </row>
    <row r="20" spans="2:18">
      <c r="B20" s="42" t="s">
        <v>21</v>
      </c>
      <c r="C20" s="42"/>
      <c r="D20" s="24"/>
      <c r="E20" s="24"/>
    </row>
    <row r="22" spans="2:18" ht="28.8">
      <c r="B22" s="180" t="s">
        <v>257</v>
      </c>
      <c r="C22" s="179"/>
      <c r="D22" s="179"/>
      <c r="E22" s="179"/>
      <c r="F22" s="179"/>
      <c r="G22" s="202"/>
      <c r="H22" s="181"/>
      <c r="I22" s="184" t="s">
        <v>221</v>
      </c>
      <c r="J22" s="202" t="s">
        <v>245</v>
      </c>
      <c r="K22" s="184" t="s">
        <v>246</v>
      </c>
    </row>
    <row r="23" spans="2:18">
      <c r="B23" s="84"/>
      <c r="C23" s="84"/>
      <c r="D23" s="84"/>
      <c r="E23" s="84"/>
      <c r="F23" s="84"/>
      <c r="G23" s="194"/>
      <c r="H23" s="194"/>
      <c r="I23" s="205"/>
      <c r="J23" s="194" t="s">
        <v>253</v>
      </c>
      <c r="K23" s="195" t="s">
        <v>253</v>
      </c>
    </row>
    <row r="24" spans="2:18">
      <c r="B24" s="199" t="s">
        <v>258</v>
      </c>
      <c r="C24" s="171"/>
      <c r="D24" s="171"/>
      <c r="E24" s="171"/>
      <c r="F24" s="171"/>
      <c r="G24" s="203"/>
      <c r="H24" s="197"/>
      <c r="I24" s="206">
        <f>K24*J24</f>
        <v>1665605.5066666666</v>
      </c>
      <c r="J24" s="204">
        <v>131426</v>
      </c>
      <c r="K24" s="198">
        <f>AVERAGE($K$11,$K$12,$K$14)</f>
        <v>12.673333333333332</v>
      </c>
    </row>
    <row r="25" spans="2:18">
      <c r="B25" s="199" t="s">
        <v>259</v>
      </c>
      <c r="C25" s="171"/>
      <c r="D25" s="171"/>
      <c r="E25" s="171"/>
      <c r="F25" s="171"/>
      <c r="G25" s="203"/>
      <c r="H25" s="197"/>
      <c r="I25" s="206">
        <f t="shared" ref="I25:I27" si="0">K25*J25</f>
        <v>1604711.4600000002</v>
      </c>
      <c r="J25" s="204">
        <v>131426</v>
      </c>
      <c r="K25" s="198">
        <f>MEDIAN($K$11,$K$12,$K$14)</f>
        <v>12.21</v>
      </c>
    </row>
    <row r="26" spans="2:18">
      <c r="B26" s="199" t="s">
        <v>261</v>
      </c>
      <c r="C26" s="171"/>
      <c r="D26" s="171"/>
      <c r="E26" s="171"/>
      <c r="F26" s="171"/>
      <c r="G26" s="203"/>
      <c r="H26" s="197"/>
      <c r="I26" s="206">
        <f t="shared" si="0"/>
        <v>2615377.4</v>
      </c>
      <c r="J26" s="204">
        <v>131426</v>
      </c>
      <c r="K26" s="198">
        <f>MAX($K$11,$K$12,$K$14)</f>
        <v>19.899999999999999</v>
      </c>
    </row>
    <row r="27" spans="2:18">
      <c r="B27" s="225" t="s">
        <v>260</v>
      </c>
      <c r="C27" s="185"/>
      <c r="D27" s="185"/>
      <c r="E27" s="185"/>
      <c r="F27" s="185"/>
      <c r="G27" s="226"/>
      <c r="H27" s="227"/>
      <c r="I27" s="228">
        <f t="shared" si="0"/>
        <v>776727.66</v>
      </c>
      <c r="J27" s="229">
        <v>131426</v>
      </c>
      <c r="K27" s="230">
        <f>MIN($K$11,$K$12,$K$14)</f>
        <v>5.91</v>
      </c>
    </row>
    <row r="30" spans="2:18">
      <c r="I30" s="43"/>
    </row>
  </sheetData>
  <sheetProtection algorithmName="SHA-512" hashValue="RcnzlI200jBoWm/tlhdKFMuVt0AfimyxhEDXjEy1LBtiDhVBC+J9x9wQrtZyxyehE+m+uuFVruDEzZyMHj4N3g==" saltValue="ozIqa7v7YKdecVSv/NZa3Q==" spinCount="100000" sheet="1" objects="1" scenario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D96A-BF68-438B-B038-B98CA1F2EF55}">
  <dimension ref="B1:T264"/>
  <sheetViews>
    <sheetView showGridLines="0" tabSelected="1" zoomScale="85" zoomScaleNormal="85" workbookViewId="0">
      <pane ySplit="1" topLeftCell="A63" activePane="bottomLeft" state="frozen"/>
      <selection pane="bottomLeft" activeCell="B66" sqref="B66"/>
    </sheetView>
  </sheetViews>
  <sheetFormatPr defaultRowHeight="14.4" outlineLevelRow="1"/>
  <cols>
    <col min="1" max="1" width="7" customWidth="1"/>
    <col min="2" max="2" width="39.109375" customWidth="1"/>
    <col min="3" max="3" width="9.6640625" customWidth="1"/>
    <col min="4" max="4" width="13.21875" customWidth="1"/>
    <col min="5" max="5" width="9.6640625" customWidth="1"/>
    <col min="6" max="10" width="9.77734375" customWidth="1"/>
    <col min="11" max="15" width="9.6640625" customWidth="1"/>
    <col min="16" max="17" width="9.77734375" customWidth="1"/>
  </cols>
  <sheetData>
    <row r="1" spans="2:17" ht="70.8" customHeight="1">
      <c r="B1" s="238"/>
      <c r="C1" s="238"/>
      <c r="D1" s="238"/>
      <c r="E1" s="238"/>
      <c r="F1" s="238"/>
      <c r="G1" s="238"/>
      <c r="H1" s="238"/>
      <c r="I1" s="238"/>
      <c r="J1" s="238"/>
      <c r="K1" s="238"/>
      <c r="L1" s="238"/>
      <c r="M1" s="238"/>
      <c r="N1" s="238"/>
      <c r="O1" s="238"/>
    </row>
    <row r="2" spans="2:17">
      <c r="H2" s="29" t="s">
        <v>31</v>
      </c>
    </row>
    <row r="3" spans="2:17">
      <c r="B3" s="2" t="s">
        <v>101</v>
      </c>
      <c r="C3" s="2"/>
      <c r="D3" s="1"/>
      <c r="E3" s="1"/>
      <c r="F3" s="1"/>
      <c r="G3" s="1"/>
      <c r="H3" s="1"/>
      <c r="I3" s="1"/>
      <c r="J3" s="1"/>
      <c r="K3" s="1"/>
      <c r="L3" s="1"/>
      <c r="M3" s="1"/>
      <c r="N3" s="1"/>
      <c r="O3" s="1"/>
    </row>
    <row r="4" spans="2:17" outlineLevel="1"/>
    <row r="5" spans="2:17" ht="15" outlineLevel="1" thickBot="1">
      <c r="E5" s="15">
        <v>2019</v>
      </c>
      <c r="F5" s="15">
        <f>E5+1</f>
        <v>2020</v>
      </c>
      <c r="G5" s="15">
        <f t="shared" ref="G5:O5" si="0">F5+1</f>
        <v>2021</v>
      </c>
      <c r="H5" s="15">
        <f t="shared" si="0"/>
        <v>2022</v>
      </c>
      <c r="I5" s="15">
        <f t="shared" si="0"/>
        <v>2023</v>
      </c>
      <c r="J5" s="15">
        <f t="shared" si="0"/>
        <v>2024</v>
      </c>
      <c r="K5" s="68">
        <f t="shared" si="0"/>
        <v>2025</v>
      </c>
      <c r="L5" s="68">
        <f t="shared" si="0"/>
        <v>2026</v>
      </c>
      <c r="M5" s="68">
        <f t="shared" si="0"/>
        <v>2027</v>
      </c>
      <c r="N5" s="68">
        <f t="shared" si="0"/>
        <v>2028</v>
      </c>
      <c r="O5" s="68">
        <f t="shared" si="0"/>
        <v>2029</v>
      </c>
    </row>
    <row r="6" spans="2:17" outlineLevel="1">
      <c r="E6" s="5"/>
      <c r="F6" s="5"/>
      <c r="G6" s="5"/>
      <c r="H6" s="5"/>
      <c r="I6" s="5"/>
      <c r="J6" s="53"/>
      <c r="K6" s="53"/>
      <c r="L6" s="53"/>
      <c r="M6" s="53"/>
      <c r="N6" s="53"/>
      <c r="O6" s="53"/>
    </row>
    <row r="7" spans="2:17" outlineLevel="1">
      <c r="B7" s="20" t="s">
        <v>24</v>
      </c>
      <c r="C7" s="20"/>
      <c r="E7" s="14">
        <v>365</v>
      </c>
      <c r="F7" s="14">
        <v>365</v>
      </c>
      <c r="G7" s="14">
        <v>365</v>
      </c>
      <c r="H7" s="14">
        <v>365</v>
      </c>
      <c r="I7" s="14">
        <v>365</v>
      </c>
      <c r="J7" s="14">
        <v>365</v>
      </c>
      <c r="K7" s="14">
        <v>365</v>
      </c>
      <c r="L7" s="14">
        <v>365</v>
      </c>
      <c r="M7" s="14">
        <v>365</v>
      </c>
      <c r="N7" s="14">
        <v>365</v>
      </c>
      <c r="O7" s="14">
        <v>365</v>
      </c>
    </row>
    <row r="8" spans="2:17" outlineLevel="1">
      <c r="E8" s="5"/>
      <c r="F8" s="5"/>
      <c r="G8" s="5"/>
      <c r="H8" s="5"/>
      <c r="I8" s="5"/>
      <c r="J8" s="53"/>
      <c r="K8" s="53"/>
      <c r="L8" s="53"/>
      <c r="M8" s="53"/>
      <c r="N8" s="53"/>
      <c r="O8" s="53"/>
    </row>
    <row r="9" spans="2:17" outlineLevel="1">
      <c r="B9" s="20" t="s">
        <v>6</v>
      </c>
      <c r="C9" s="20"/>
      <c r="M9" s="23"/>
    </row>
    <row r="10" spans="2:17" outlineLevel="1">
      <c r="B10" s="7" t="s">
        <v>17</v>
      </c>
      <c r="C10" s="7"/>
      <c r="E10" s="65">
        <f t="shared" ref="E10:J10" si="1">E47/D47-1</f>
        <v>0.10889247996343632</v>
      </c>
      <c r="F10" s="65">
        <f t="shared" si="1"/>
        <v>9.3150889803762738E-2</v>
      </c>
      <c r="G10" s="65">
        <f t="shared" si="1"/>
        <v>0.17688352890164838</v>
      </c>
      <c r="H10" s="65">
        <f t="shared" si="1"/>
        <v>-3.2335766189508286E-2</v>
      </c>
      <c r="I10" s="65">
        <f t="shared" si="1"/>
        <v>-0.10727679223874409</v>
      </c>
      <c r="J10" s="65">
        <f t="shared" si="1"/>
        <v>-0.10870885126321739</v>
      </c>
      <c r="K10" s="66">
        <v>-0.04</v>
      </c>
      <c r="L10" s="66">
        <v>0.01</v>
      </c>
      <c r="M10" s="66">
        <v>1.2E-2</v>
      </c>
      <c r="N10" s="66">
        <v>1.4999999999999999E-2</v>
      </c>
      <c r="O10" s="66">
        <v>1.9E-2</v>
      </c>
      <c r="Q10" s="40"/>
    </row>
    <row r="11" spans="2:17" outlineLevel="1">
      <c r="B11" s="7" t="s">
        <v>9</v>
      </c>
      <c r="C11" s="7"/>
      <c r="E11" s="65">
        <f t="shared" ref="E11:I11" si="2">E49/E47</f>
        <v>0.61937866826193866</v>
      </c>
      <c r="F11" s="65">
        <f t="shared" si="2"/>
        <v>0.62265863386756659</v>
      </c>
      <c r="G11" s="65">
        <f t="shared" si="2"/>
        <v>0.60360539307782468</v>
      </c>
      <c r="H11" s="65">
        <f t="shared" si="2"/>
        <v>0.56865047814947478</v>
      </c>
      <c r="I11" s="65">
        <f t="shared" si="2"/>
        <v>0.57671013551387507</v>
      </c>
      <c r="J11" s="65">
        <f t="shared" ref="J11" si="3">J49/J47</f>
        <v>0.59607405593308194</v>
      </c>
      <c r="K11" s="66">
        <v>0.59</v>
      </c>
      <c r="L11" s="66">
        <v>0.59</v>
      </c>
      <c r="M11" s="66">
        <v>0.59</v>
      </c>
      <c r="N11" s="66">
        <v>0.59</v>
      </c>
      <c r="O11" s="66">
        <v>0.59</v>
      </c>
    </row>
    <row r="12" spans="2:17" outlineLevel="1">
      <c r="B12" s="7" t="s">
        <v>19</v>
      </c>
      <c r="C12" s="7"/>
      <c r="E12" s="65">
        <f>E52/E47</f>
        <v>0.45156834390043998</v>
      </c>
      <c r="F12" s="65">
        <f t="shared" ref="F12:I12" si="4">F52/F47</f>
        <v>0.415390333170846</v>
      </c>
      <c r="G12" s="65">
        <f t="shared" si="4"/>
        <v>0.4143616166784671</v>
      </c>
      <c r="H12" s="65">
        <f t="shared" si="4"/>
        <v>0.43495734043041256</v>
      </c>
      <c r="I12" s="65">
        <f t="shared" si="4"/>
        <v>0.44898017570498683</v>
      </c>
      <c r="J12" s="65">
        <f t="shared" ref="J12" si="5">J52/J47</f>
        <v>0.45570101813236197</v>
      </c>
      <c r="K12" s="66">
        <v>0.45</v>
      </c>
      <c r="L12" s="66">
        <v>0.45</v>
      </c>
      <c r="M12" s="66">
        <v>0.45</v>
      </c>
      <c r="N12" s="66">
        <v>0.45</v>
      </c>
      <c r="O12" s="66">
        <v>0.45</v>
      </c>
    </row>
    <row r="13" spans="2:17" outlineLevel="1">
      <c r="B13" s="7" t="s">
        <v>20</v>
      </c>
      <c r="C13" s="7"/>
      <c r="E13" s="65">
        <f>E53/E47</f>
        <v>8.1229332906252644E-2</v>
      </c>
      <c r="F13" s="65">
        <f t="shared" ref="F13:I13" si="6">F53/F47</f>
        <v>8.5641955126565056E-2</v>
      </c>
      <c r="G13" s="65">
        <f t="shared" si="6"/>
        <v>7.3874493180390022E-2</v>
      </c>
      <c r="H13" s="65">
        <f t="shared" si="6"/>
        <v>7.249028873426959E-2</v>
      </c>
      <c r="I13" s="65">
        <f t="shared" si="6"/>
        <v>7.7680740796468528E-2</v>
      </c>
      <c r="J13" s="65">
        <f t="shared" ref="J13" si="7">J53/J47</f>
        <v>8.9137702283070275E-2</v>
      </c>
      <c r="K13" s="66">
        <v>8.8999999999999996E-2</v>
      </c>
      <c r="L13" s="66">
        <v>0.09</v>
      </c>
      <c r="M13" s="66">
        <v>0.09</v>
      </c>
      <c r="N13" s="66">
        <v>0.09</v>
      </c>
      <c r="O13" s="66">
        <v>0.09</v>
      </c>
    </row>
    <row r="14" spans="2:17" outlineLevel="1">
      <c r="B14" s="7" t="s">
        <v>18</v>
      </c>
      <c r="C14" s="7"/>
      <c r="E14" s="65">
        <f>E54/E47</f>
        <v>2.0578772833900156E-2</v>
      </c>
      <c r="F14" s="65">
        <f t="shared" ref="F14:I14" si="8">F54/F47</f>
        <v>2.2035436601662756E-2</v>
      </c>
      <c r="G14" s="65">
        <f t="shared" si="8"/>
        <v>2.6792387373801404E-2</v>
      </c>
      <c r="H14" s="65">
        <f t="shared" si="8"/>
        <v>2.9097614951920189E-2</v>
      </c>
      <c r="I14" s="65">
        <f t="shared" si="8"/>
        <v>2.9561606415319457E-2</v>
      </c>
      <c r="J14" s="65">
        <f t="shared" ref="J14" si="9">J54/J47</f>
        <v>2.6900735661262942E-2</v>
      </c>
      <c r="K14" s="66">
        <v>2.7E-2</v>
      </c>
      <c r="L14" s="66">
        <v>2.7E-2</v>
      </c>
      <c r="M14" s="66">
        <v>2.7E-2</v>
      </c>
      <c r="N14" s="66">
        <v>2.7E-2</v>
      </c>
      <c r="O14" s="66">
        <v>2.7E-2</v>
      </c>
    </row>
    <row r="15" spans="2:17" outlineLevel="1">
      <c r="B15" s="7" t="s">
        <v>102</v>
      </c>
      <c r="C15" s="7"/>
      <c r="E15" s="67">
        <f>IFERROR(E55/E47,"NA")</f>
        <v>0</v>
      </c>
      <c r="F15" s="67">
        <f t="shared" ref="F15:I15" si="10">IFERROR(F55/F47,"NA")</f>
        <v>0</v>
      </c>
      <c r="G15" s="67">
        <f t="shared" si="10"/>
        <v>0</v>
      </c>
      <c r="H15" s="67">
        <f t="shared" si="10"/>
        <v>0</v>
      </c>
      <c r="I15" s="67">
        <f t="shared" si="10"/>
        <v>8.3327946968500891E-3</v>
      </c>
      <c r="J15" s="65">
        <f t="shared" ref="J15" si="11">IFERROR(J55/J47,"NA")</f>
        <v>1.0738894938821705E-2</v>
      </c>
      <c r="K15" s="66">
        <f>AVERAGE(H15:J15)</f>
        <v>6.357229878557265E-3</v>
      </c>
      <c r="L15" s="66">
        <v>2E-3</v>
      </c>
      <c r="M15" s="66">
        <v>0</v>
      </c>
      <c r="N15" s="66">
        <v>0</v>
      </c>
      <c r="O15" s="66">
        <v>0</v>
      </c>
    </row>
    <row r="16" spans="2:17" outlineLevel="1">
      <c r="B16" s="7" t="s">
        <v>123</v>
      </c>
      <c r="C16" s="7"/>
      <c r="E16" s="67">
        <f>E60/E47</f>
        <v>6.8224961609842953E-3</v>
      </c>
      <c r="F16" s="67">
        <f t="shared" ref="F16:J16" si="12">F60/F47</f>
        <v>4.8067522912060238E-3</v>
      </c>
      <c r="G16" s="67">
        <f t="shared" si="12"/>
        <v>2.8581902827022505E-3</v>
      </c>
      <c r="H16" s="67">
        <f t="shared" si="12"/>
        <v>8.9793439616099348E-3</v>
      </c>
      <c r="I16" s="67">
        <f t="shared" si="12"/>
        <v>2.2620083264370202E-2</v>
      </c>
      <c r="J16" s="65">
        <f t="shared" si="12"/>
        <v>2.8751182907169725E-2</v>
      </c>
      <c r="K16" s="66">
        <v>2.9000000000000001E-2</v>
      </c>
      <c r="L16" s="66">
        <v>2.4E-2</v>
      </c>
      <c r="M16" s="66">
        <v>8.9999999999999993E-3</v>
      </c>
      <c r="N16" s="66">
        <v>4.0000000000000001E-3</v>
      </c>
      <c r="O16" s="66">
        <v>5.0000000000000001E-3</v>
      </c>
      <c r="P16" s="45"/>
    </row>
    <row r="17" spans="2:15" outlineLevel="1">
      <c r="B17" s="7" t="s">
        <v>144</v>
      </c>
      <c r="C17" s="7"/>
      <c r="E17" s="65">
        <f>E63/E47</f>
        <v>1.0988888051475784E-2</v>
      </c>
      <c r="F17" s="65">
        <f t="shared" ref="F17:J17" si="13">F63/F47</f>
        <v>1.9812502188192648E-2</v>
      </c>
      <c r="G17" s="65">
        <f t="shared" si="13"/>
        <v>1.5352761094194875E-2</v>
      </c>
      <c r="H17" s="65">
        <f t="shared" si="13"/>
        <v>5.810441957776036E-3</v>
      </c>
      <c r="I17" s="65">
        <f t="shared" si="13"/>
        <v>-2.3661152795099501E-3</v>
      </c>
      <c r="J17" s="65">
        <f t="shared" si="13"/>
        <v>-3.0684255327243243E-3</v>
      </c>
      <c r="K17" s="66">
        <f>AVERAGE(I17:J17)</f>
        <v>-2.7172704061171372E-3</v>
      </c>
      <c r="L17" s="66">
        <v>-1E-3</v>
      </c>
      <c r="M17" s="66">
        <v>3.0000000000000001E-3</v>
      </c>
      <c r="N17" s="66">
        <v>7.0000000000000001E-3</v>
      </c>
      <c r="O17" s="66">
        <v>1.2E-2</v>
      </c>
    </row>
    <row r="18" spans="2:15" outlineLevel="1">
      <c r="B18" s="7"/>
      <c r="C18" s="7"/>
      <c r="L18" s="25"/>
      <c r="M18" s="25"/>
      <c r="N18" s="25"/>
      <c r="O18" s="25"/>
    </row>
    <row r="19" spans="2:15" outlineLevel="1">
      <c r="B19" s="20" t="s">
        <v>4</v>
      </c>
      <c r="C19" s="20"/>
      <c r="L19" s="25"/>
      <c r="M19" s="25"/>
      <c r="N19" s="25"/>
      <c r="O19" s="25"/>
    </row>
    <row r="20" spans="2:15" outlineLevel="1">
      <c r="B20" s="7" t="s">
        <v>131</v>
      </c>
      <c r="E20" s="65">
        <f t="shared" ref="E20:J20" si="14">E75/E47</f>
        <v>9.029341385060341E-3</v>
      </c>
      <c r="F20" s="65">
        <f t="shared" si="14"/>
        <v>1.1224553002738944E-2</v>
      </c>
      <c r="G20" s="65">
        <f t="shared" si="14"/>
        <v>8.6743443439640921E-3</v>
      </c>
      <c r="H20" s="65">
        <f t="shared" si="14"/>
        <v>7.5703649960246833E-3</v>
      </c>
      <c r="I20" s="65">
        <f t="shared" si="14"/>
        <v>8.8265742401781849E-3</v>
      </c>
      <c r="J20" s="65">
        <f t="shared" si="14"/>
        <v>8.6595937932444703E-3</v>
      </c>
      <c r="K20" s="66">
        <v>8.9999999999999993E-3</v>
      </c>
      <c r="L20" s="66">
        <v>8.9999999999999993E-3</v>
      </c>
      <c r="M20" s="66">
        <v>8.0000000000000002E-3</v>
      </c>
      <c r="N20" s="66">
        <v>8.0000000000000002E-3</v>
      </c>
      <c r="O20" s="66">
        <v>8.0000000000000002E-3</v>
      </c>
    </row>
    <row r="21" spans="2:15" outlineLevel="1">
      <c r="B21" s="7" t="s">
        <v>127</v>
      </c>
      <c r="E21" s="65">
        <f t="shared" ref="E21:J21" si="15">E76/E47</f>
        <v>2.1430775245649902E-2</v>
      </c>
      <c r="F21" s="65">
        <f t="shared" si="15"/>
        <v>2.3424568623067993E-2</v>
      </c>
      <c r="G21" s="65">
        <f t="shared" si="15"/>
        <v>2.5134225100906245E-2</v>
      </c>
      <c r="H21" s="65">
        <f t="shared" si="15"/>
        <v>1.8881453267918367E-2</v>
      </c>
      <c r="I21" s="65">
        <f t="shared" si="15"/>
        <v>2.3648967248429388E-2</v>
      </c>
      <c r="J21" s="65">
        <f t="shared" si="15"/>
        <v>2.6212985110824729E-2</v>
      </c>
      <c r="K21" s="66">
        <v>0.02</v>
      </c>
      <c r="L21" s="66">
        <v>0.02</v>
      </c>
      <c r="M21" s="66">
        <v>1.9E-2</v>
      </c>
      <c r="N21" s="66">
        <v>1.9E-2</v>
      </c>
      <c r="O21" s="66">
        <v>1.7999999999999999E-2</v>
      </c>
    </row>
    <row r="22" spans="2:15" outlineLevel="1">
      <c r="B22" s="7" t="s">
        <v>132</v>
      </c>
      <c r="E22" s="65"/>
      <c r="F22" s="65">
        <f>F82/E82-1</f>
        <v>-4.8480048070357329E-3</v>
      </c>
      <c r="G22" s="65">
        <f t="shared" ref="G22:J22" si="16">G82/F82-1</f>
        <v>-3.2976081019884473E-2</v>
      </c>
      <c r="H22" s="65">
        <f t="shared" si="16"/>
        <v>-3.4100584662541844E-2</v>
      </c>
      <c r="I22" s="65">
        <f t="shared" si="16"/>
        <v>-2.1024021156247685E-2</v>
      </c>
      <c r="J22" s="65">
        <f t="shared" si="16"/>
        <v>-3.3316324999249636E-3</v>
      </c>
      <c r="K22" s="66">
        <f>AVERAGE(H22:J22)</f>
        <v>-1.9485412772904831E-2</v>
      </c>
      <c r="L22" s="66">
        <f t="shared" ref="L22:O22" si="17">AVERAGE(I22:K22)</f>
        <v>-1.4613688809692493E-2</v>
      </c>
      <c r="M22" s="66">
        <f t="shared" si="17"/>
        <v>-1.2476911360840762E-2</v>
      </c>
      <c r="N22" s="66">
        <f t="shared" si="17"/>
        <v>-1.5525337647812694E-2</v>
      </c>
      <c r="O22" s="66">
        <f t="shared" si="17"/>
        <v>-1.4205312606115315E-2</v>
      </c>
    </row>
    <row r="23" spans="2:15" outlineLevel="1">
      <c r="B23" s="7" t="s">
        <v>129</v>
      </c>
      <c r="E23" s="65"/>
      <c r="F23" s="65">
        <f>F84/E84-1</f>
        <v>0.16664930953323198</v>
      </c>
      <c r="G23" s="65">
        <f>G84/F84-1</f>
        <v>0.34239091623223605</v>
      </c>
      <c r="H23" s="65">
        <f>H84/G84-1</f>
        <v>8.7844128208538264E-2</v>
      </c>
      <c r="I23" s="65">
        <f>I84/H84-1</f>
        <v>1.4132893208631314E-2</v>
      </c>
      <c r="J23" s="65">
        <f>J84/I84-1</f>
        <v>0.12504972815276494</v>
      </c>
      <c r="K23" s="66">
        <v>0.01</v>
      </c>
      <c r="L23" s="66">
        <v>-1.4999999999999999E-2</v>
      </c>
      <c r="M23" s="66">
        <v>-1.4999999999999999E-2</v>
      </c>
      <c r="N23" s="66">
        <v>-0.02</v>
      </c>
      <c r="O23" s="66">
        <v>-2.5000000000000001E-2</v>
      </c>
    </row>
    <row r="24" spans="2:15" outlineLevel="1">
      <c r="B24" s="7"/>
      <c r="K24" s="56"/>
      <c r="L24" s="56"/>
      <c r="M24" s="56"/>
      <c r="N24" s="56"/>
      <c r="O24" s="56"/>
    </row>
    <row r="25" spans="2:15" outlineLevel="1">
      <c r="B25" s="7" t="s">
        <v>133</v>
      </c>
      <c r="E25" s="65">
        <f t="shared" ref="E25:J25" si="18">E91/E47</f>
        <v>2.0165430958953151E-2</v>
      </c>
      <c r="F25" s="65">
        <f t="shared" si="18"/>
        <v>3.8790663352284205E-2</v>
      </c>
      <c r="G25" s="65">
        <f t="shared" si="18"/>
        <v>5.9268660275365696E-2</v>
      </c>
      <c r="H25" s="65">
        <f t="shared" si="18"/>
        <v>3.461245037948784E-2</v>
      </c>
      <c r="I25" s="65">
        <f t="shared" si="18"/>
        <v>2.6036274783017798E-2</v>
      </c>
      <c r="J25" s="65">
        <f t="shared" si="18"/>
        <v>2.7898182008398047E-2</v>
      </c>
      <c r="K25" s="66">
        <v>2.896E-2</v>
      </c>
      <c r="L25" s="66">
        <v>3.1949999999999999E-2</v>
      </c>
      <c r="M25" s="66">
        <v>3.6799999999999999E-2</v>
      </c>
      <c r="N25" s="66">
        <v>4.172E-2</v>
      </c>
      <c r="O25" s="66">
        <v>4.41E-2</v>
      </c>
    </row>
    <row r="26" spans="2:15" outlineLevel="1">
      <c r="B26" s="7" t="s">
        <v>134</v>
      </c>
      <c r="E26" s="65">
        <f t="shared" ref="E26:J26" si="19">E92/E47</f>
        <v>1.1663659830235429E-2</v>
      </c>
      <c r="F26" s="65">
        <f t="shared" si="19"/>
        <v>1.3339222376929312E-2</v>
      </c>
      <c r="G26" s="65">
        <f t="shared" si="19"/>
        <v>1.0237309886866925E-2</v>
      </c>
      <c r="H26" s="65">
        <f t="shared" si="19"/>
        <v>1.2105205654645491E-2</v>
      </c>
      <c r="I26" s="65">
        <f t="shared" si="19"/>
        <v>1.1868722456690978E-2</v>
      </c>
      <c r="J26" s="65">
        <f t="shared" si="19"/>
        <v>1.1348775720800621E-2</v>
      </c>
      <c r="K26" s="66">
        <v>1.2999999999999999E-2</v>
      </c>
      <c r="L26" s="66">
        <v>1.2999999999999999E-2</v>
      </c>
      <c r="M26" s="66">
        <v>1.4999999999999999E-2</v>
      </c>
      <c r="N26" s="66">
        <v>1.4999999999999999E-2</v>
      </c>
      <c r="O26" s="66">
        <v>1.7000000000000001E-2</v>
      </c>
    </row>
    <row r="27" spans="2:15" outlineLevel="1">
      <c r="B27" s="7" t="s">
        <v>135</v>
      </c>
      <c r="E27" s="65">
        <f t="shared" ref="E27:J27" si="20">E93/E47</f>
        <v>2.3741250341507533E-2</v>
      </c>
      <c r="F27" s="65">
        <f t="shared" si="20"/>
        <v>4.1359399533006026E-2</v>
      </c>
      <c r="G27" s="65">
        <f t="shared" si="20"/>
        <v>2.3451348292340003E-2</v>
      </c>
      <c r="H27" s="65">
        <f t="shared" si="20"/>
        <v>1.4799718298800973E-2</v>
      </c>
      <c r="I27" s="65">
        <f t="shared" si="20"/>
        <v>1.4979215695831801E-2</v>
      </c>
      <c r="J27" s="65">
        <f t="shared" si="20"/>
        <v>1.8449785293432309E-2</v>
      </c>
      <c r="K27" s="66">
        <v>0.02</v>
      </c>
      <c r="L27" s="66">
        <v>2.5000000000000001E-2</v>
      </c>
      <c r="M27" s="66">
        <v>2.7E-2</v>
      </c>
      <c r="N27" s="66">
        <v>3.4000000000000002E-2</v>
      </c>
      <c r="O27" s="66">
        <v>3.7999999999999999E-2</v>
      </c>
    </row>
    <row r="28" spans="2:15" outlineLevel="1">
      <c r="B28" s="7" t="s">
        <v>136</v>
      </c>
      <c r="E28" s="65">
        <f t="shared" ref="E28:J28" si="21">E94/E47</f>
        <v>1.3054419814031484E-2</v>
      </c>
      <c r="F28" s="65">
        <f t="shared" si="21"/>
        <v>1.2571133093282989E-2</v>
      </c>
      <c r="G28" s="65">
        <f t="shared" si="21"/>
        <v>1.0108702766059985E-2</v>
      </c>
      <c r="H28" s="65">
        <f t="shared" si="21"/>
        <v>1.1172507930531992E-2</v>
      </c>
      <c r="I28" s="65">
        <f t="shared" si="21"/>
        <v>9.0777024628579239E-3</v>
      </c>
      <c r="J28" s="65">
        <f t="shared" si="21"/>
        <v>1.1067612358348352E-2</v>
      </c>
      <c r="K28" s="66">
        <v>1.1599999999999999E-2</v>
      </c>
      <c r="L28" s="66">
        <v>1.2E-2</v>
      </c>
      <c r="M28" s="66">
        <v>1.43E-2</v>
      </c>
      <c r="N28" s="66">
        <v>1.6500000000000001E-2</v>
      </c>
      <c r="O28" s="66">
        <v>1.4999999999999999E-2</v>
      </c>
    </row>
    <row r="29" spans="2:15" outlineLevel="1">
      <c r="B29" s="7" t="s">
        <v>128</v>
      </c>
      <c r="E29" s="65">
        <f t="shared" ref="E29:J29" si="22">E96/E47</f>
        <v>3.1247939178686162E-2</v>
      </c>
      <c r="F29" s="65">
        <f t="shared" si="22"/>
        <v>3.2778991196059371E-2</v>
      </c>
      <c r="G29" s="65">
        <f t="shared" si="22"/>
        <v>2.9372310291910703E-2</v>
      </c>
      <c r="H29" s="65">
        <f t="shared" si="22"/>
        <v>2.8749508701946792E-2</v>
      </c>
      <c r="I29" s="65">
        <f t="shared" si="22"/>
        <v>3.2825743503779106E-2</v>
      </c>
      <c r="J29" s="65">
        <f t="shared" si="22"/>
        <v>3.3171332512233281E-2</v>
      </c>
      <c r="K29" s="66">
        <v>3.3000000000000002E-2</v>
      </c>
      <c r="L29" s="66">
        <v>3.3000000000000002E-2</v>
      </c>
      <c r="M29" s="66">
        <v>3.4000000000000002E-2</v>
      </c>
      <c r="N29" s="66">
        <v>3.5000000000000003E-2</v>
      </c>
      <c r="O29" s="66">
        <v>3.7999999999999999E-2</v>
      </c>
    </row>
    <row r="30" spans="2:15" outlineLevel="1">
      <c r="B30" s="7" t="s">
        <v>130</v>
      </c>
      <c r="E30" s="65"/>
      <c r="F30" s="65">
        <f>F102/E102-1</f>
        <v>0.23316182669108465</v>
      </c>
      <c r="G30" s="65">
        <f>G102/F102-1</f>
        <v>0.18847531940974016</v>
      </c>
      <c r="H30" s="65">
        <f>H102/G102-1</f>
        <v>4.5480239996033234E-2</v>
      </c>
      <c r="I30" s="65">
        <f>I102/H102-1</f>
        <v>-7.3989053414402761E-4</v>
      </c>
      <c r="J30" s="65">
        <f>J102/I102-1</f>
        <v>-7.746124564517809E-2</v>
      </c>
      <c r="K30" s="66">
        <v>-0.06</v>
      </c>
      <c r="L30" s="66">
        <v>0.01</v>
      </c>
      <c r="M30" s="66">
        <v>2.7E-2</v>
      </c>
      <c r="N30" s="66">
        <v>3.5000000000000003E-2</v>
      </c>
      <c r="O30" s="66">
        <v>0.06</v>
      </c>
    </row>
    <row r="31" spans="2:15" outlineLevel="1"/>
    <row r="32" spans="2:15" outlineLevel="1">
      <c r="B32" s="20" t="s">
        <v>10</v>
      </c>
      <c r="K32" s="56"/>
      <c r="L32" s="56"/>
      <c r="M32" s="56"/>
      <c r="N32" s="56"/>
      <c r="O32" s="56"/>
    </row>
    <row r="33" spans="2:15" outlineLevel="1">
      <c r="B33" s="7" t="s">
        <v>137</v>
      </c>
      <c r="E33" s="65">
        <f t="shared" ref="E33:J33" si="23">E123/E47</f>
        <v>9.807743035601571E-3</v>
      </c>
      <c r="F33" s="65">
        <f t="shared" si="23"/>
        <v>1.1749180606014905E-2</v>
      </c>
      <c r="G33" s="65">
        <f t="shared" si="23"/>
        <v>1.0624504279047245E-2</v>
      </c>
      <c r="H33" s="65">
        <f t="shared" si="23"/>
        <v>6.2540882383127824E-3</v>
      </c>
      <c r="I33" s="65">
        <f t="shared" si="23"/>
        <v>7.8702737297627213E-3</v>
      </c>
      <c r="J33" s="65">
        <f t="shared" si="23"/>
        <v>6.8026078644899592E-3</v>
      </c>
      <c r="K33" s="66">
        <v>8.9999999999999993E-3</v>
      </c>
      <c r="L33" s="66">
        <v>8.9999999999999993E-3</v>
      </c>
      <c r="M33" s="66">
        <v>8.9999999999999993E-3</v>
      </c>
      <c r="N33" s="66">
        <v>8.9999999999999993E-3</v>
      </c>
      <c r="O33" s="66">
        <v>8.9999999999999993E-3</v>
      </c>
    </row>
    <row r="34" spans="2:15" outlineLevel="1">
      <c r="B34" s="7" t="s">
        <v>138</v>
      </c>
      <c r="E34" s="65">
        <f t="shared" ref="E34:J34" si="24">E124/E47</f>
        <v>-2.5318661855728376E-4</v>
      </c>
      <c r="F34" s="65">
        <f t="shared" si="24"/>
        <v>1.3304211294575167E-4</v>
      </c>
      <c r="G34" s="65">
        <f t="shared" si="24"/>
        <v>1.693403370055777E-5</v>
      </c>
      <c r="H34" s="65">
        <f t="shared" si="24"/>
        <v>1.3763440046502454E-4</v>
      </c>
      <c r="I34" s="65">
        <f t="shared" si="24"/>
        <v>1.5353788804343565E-3</v>
      </c>
      <c r="J34" s="65">
        <f t="shared" si="24"/>
        <v>2.5649469534493336E-3</v>
      </c>
      <c r="K34" s="66">
        <v>4.0000000000000001E-3</v>
      </c>
      <c r="L34" s="66">
        <v>3.0000000000000001E-3</v>
      </c>
      <c r="M34" s="66">
        <v>1E-3</v>
      </c>
      <c r="N34" s="66">
        <v>1E-3</v>
      </c>
      <c r="O34" s="66">
        <v>1E-4</v>
      </c>
    </row>
    <row r="35" spans="2:15" outlineLevel="1">
      <c r="B35" s="7" t="s">
        <v>139</v>
      </c>
      <c r="E35" s="65">
        <f t="shared" ref="E35:J35" si="25">E131/E56</f>
        <v>-1.4852717731329563E-2</v>
      </c>
      <c r="F35" s="65">
        <f t="shared" si="25"/>
        <v>-1.412516064190859E-2</v>
      </c>
      <c r="G35" s="65">
        <f t="shared" si="25"/>
        <v>-1.2295267708215773E-2</v>
      </c>
      <c r="H35" s="65">
        <f t="shared" si="25"/>
        <v>1.7082798550090973E-2</v>
      </c>
      <c r="I35" s="65">
        <f t="shared" si="25"/>
        <v>-4.8987038142321426E-3</v>
      </c>
      <c r="J35" s="65">
        <f t="shared" si="25"/>
        <v>-1.1089895816005902E-2</v>
      </c>
      <c r="K35" s="66">
        <v>-1.4E-2</v>
      </c>
      <c r="L35" s="66">
        <v>-1.2999999999999999E-2</v>
      </c>
      <c r="M35" s="66">
        <v>-1.2E-2</v>
      </c>
      <c r="N35" s="66">
        <v>-1.0999999999999999E-2</v>
      </c>
      <c r="O35" s="66">
        <v>-5.0000000000000001E-3</v>
      </c>
    </row>
    <row r="36" spans="2:15" outlineLevel="1">
      <c r="B36" s="7" t="s">
        <v>126</v>
      </c>
      <c r="E36" s="65">
        <f t="shared" ref="E36:J36" si="26">E133/E47</f>
        <v>4.2288053359963067E-3</v>
      </c>
      <c r="F36" s="65">
        <f t="shared" si="26"/>
        <v>2.0343593375903218E-2</v>
      </c>
      <c r="G36" s="65">
        <f t="shared" si="26"/>
        <v>2.6308165545282751E-2</v>
      </c>
      <c r="H36" s="65">
        <f t="shared" si="26"/>
        <v>-2.6636749709241417E-2</v>
      </c>
      <c r="I36" s="65">
        <f t="shared" si="26"/>
        <v>-1.2735485689399952E-2</v>
      </c>
      <c r="J36" s="65">
        <f t="shared" si="26"/>
        <v>-1.3136808266797282E-3</v>
      </c>
      <c r="K36" s="66">
        <v>2E-3</v>
      </c>
      <c r="L36" s="66">
        <v>5.0000000000000001E-3</v>
      </c>
      <c r="M36" s="66">
        <v>7.0000000000000001E-3</v>
      </c>
      <c r="N36" s="66">
        <v>0.01</v>
      </c>
      <c r="O36" s="66">
        <v>1.4999999999999999E-2</v>
      </c>
    </row>
    <row r="37" spans="2:15" outlineLevel="1">
      <c r="B37" s="7" t="s">
        <v>140</v>
      </c>
      <c r="E37" s="65">
        <f t="shared" ref="E37:J37" si="27">E134/E56</f>
        <v>1.3747196295492366E-2</v>
      </c>
      <c r="F37" s="65">
        <f t="shared" si="27"/>
        <v>3.7920758229808546E-2</v>
      </c>
      <c r="G37" s="65">
        <f t="shared" si="27"/>
        <v>-2.2029465632167462E-2</v>
      </c>
      <c r="H37" s="65">
        <f t="shared" si="27"/>
        <v>-1.7472426340954288E-2</v>
      </c>
      <c r="I37" s="65">
        <f t="shared" si="27"/>
        <v>-2.7618554262998458E-3</v>
      </c>
      <c r="J37" s="65">
        <f t="shared" si="27"/>
        <v>2.8115085095331057E-3</v>
      </c>
      <c r="K37" s="66">
        <v>8.0000000000000002E-3</v>
      </c>
      <c r="L37" s="66">
        <v>1.2999999999999999E-2</v>
      </c>
      <c r="M37" s="66">
        <v>1.7000000000000001E-2</v>
      </c>
      <c r="N37" s="66">
        <v>1.7999999999999999E-2</v>
      </c>
      <c r="O37" s="66">
        <v>1.9E-2</v>
      </c>
    </row>
    <row r="38" spans="2:15" outlineLevel="1">
      <c r="B38" s="7" t="s">
        <v>141</v>
      </c>
      <c r="E38" s="65">
        <f t="shared" ref="E38:J38" si="28">E135/E47</f>
        <v>4.268844150093738E-4</v>
      </c>
      <c r="F38" s="65">
        <f t="shared" si="28"/>
        <v>5.9788156020155614E-5</v>
      </c>
      <c r="G38" s="65">
        <f t="shared" si="28"/>
        <v>8.3022532791383235E-4</v>
      </c>
      <c r="H38" s="65">
        <f t="shared" si="28"/>
        <v>8.4661710251681763E-5</v>
      </c>
      <c r="I38" s="65">
        <f t="shared" si="28"/>
        <v>-2.7496950964300587E-4</v>
      </c>
      <c r="J38" s="65">
        <f t="shared" si="28"/>
        <v>-1.4872531350012127E-3</v>
      </c>
      <c r="K38" s="66">
        <v>-1.8E-3</v>
      </c>
      <c r="L38" s="66">
        <v>-5.0000000000000001E-4</v>
      </c>
      <c r="M38" s="66">
        <v>2.0000000000000001E-4</v>
      </c>
      <c r="N38" s="66">
        <v>4.0000000000000002E-4</v>
      </c>
      <c r="O38" s="66">
        <v>5.0000000000000001E-4</v>
      </c>
    </row>
    <row r="39" spans="2:15" outlineLevel="1">
      <c r="B39" s="7" t="s">
        <v>121</v>
      </c>
      <c r="E39" s="65">
        <f t="shared" ref="E39:J39" si="29">E136/E47</f>
        <v>4.1257642703043896E-3</v>
      </c>
      <c r="F39" s="65">
        <f t="shared" si="29"/>
        <v>1.1480941851978531E-2</v>
      </c>
      <c r="G39" s="65">
        <f t="shared" si="29"/>
        <v>3.7955119318574485E-3</v>
      </c>
      <c r="H39" s="65">
        <f t="shared" si="29"/>
        <v>-4.3797063515674478E-4</v>
      </c>
      <c r="I39" s="65">
        <f t="shared" si="29"/>
        <v>-1.7833282648523272E-3</v>
      </c>
      <c r="J39" s="65">
        <f t="shared" si="29"/>
        <v>-1.0811414875860135E-2</v>
      </c>
      <c r="K39" s="66">
        <v>-1.0800000000000001E-2</v>
      </c>
      <c r="L39" s="66">
        <v>-2.5000000000000001E-3</v>
      </c>
      <c r="M39" s="66">
        <v>-5.0000000000000001E-4</v>
      </c>
      <c r="N39" s="66">
        <v>1.5E-3</v>
      </c>
      <c r="O39" s="66">
        <v>3.0000000000000001E-3</v>
      </c>
    </row>
    <row r="40" spans="2:15" outlineLevel="1">
      <c r="B40" s="7" t="s">
        <v>142</v>
      </c>
      <c r="E40" s="65">
        <f t="shared" ref="E40:J40" si="30">-E142/E47</f>
        <v>0</v>
      </c>
      <c r="F40" s="65">
        <f t="shared" si="30"/>
        <v>0</v>
      </c>
      <c r="G40" s="65">
        <f t="shared" si="30"/>
        <v>0</v>
      </c>
      <c r="H40" s="65">
        <f t="shared" si="30"/>
        <v>0</v>
      </c>
      <c r="I40" s="65">
        <f t="shared" si="30"/>
        <v>6.9775499845826342E-4</v>
      </c>
      <c r="J40" s="65">
        <f t="shared" si="30"/>
        <v>1.7488004489102987E-3</v>
      </c>
      <c r="K40" s="66">
        <v>1.5E-3</v>
      </c>
      <c r="L40" s="66">
        <v>5.9999999999999995E-4</v>
      </c>
      <c r="M40" s="66">
        <v>0</v>
      </c>
      <c r="N40" s="66">
        <v>0</v>
      </c>
      <c r="O40" s="66">
        <v>0</v>
      </c>
    </row>
    <row r="41" spans="2:15" outlineLevel="1">
      <c r="B41" s="7" t="s">
        <v>143</v>
      </c>
      <c r="E41" s="65">
        <f t="shared" ref="E41:J41" si="31">E151/E47</f>
        <v>-6.0234862973046813E-4</v>
      </c>
      <c r="F41" s="65">
        <f t="shared" si="31"/>
        <v>-1.6805319529989685E-4</v>
      </c>
      <c r="G41" s="65">
        <f t="shared" si="31"/>
        <v>-1.2627297021578078E-3</v>
      </c>
      <c r="H41" s="65">
        <f t="shared" si="31"/>
        <v>-3.3959278190339392E-4</v>
      </c>
      <c r="I41" s="65">
        <f t="shared" si="31"/>
        <v>-1.0686194623312963E-3</v>
      </c>
      <c r="J41" s="65">
        <f t="shared" si="31"/>
        <v>0</v>
      </c>
      <c r="K41" s="66">
        <v>-2.0000000000000001E-4</v>
      </c>
      <c r="L41" s="66">
        <v>-2.9999999999999997E-4</v>
      </c>
      <c r="M41" s="66">
        <v>-1.1000000000000001E-3</v>
      </c>
      <c r="N41" s="66">
        <v>-1.1999999999999999E-3</v>
      </c>
      <c r="O41" s="66">
        <v>-1.2999999999999999E-3</v>
      </c>
    </row>
    <row r="42" spans="2:15">
      <c r="F42" s="43"/>
      <c r="G42" s="43"/>
      <c r="H42" s="43"/>
      <c r="I42" s="43"/>
      <c r="J42" s="43"/>
    </row>
    <row r="43" spans="2:15">
      <c r="B43" s="2" t="s">
        <v>6</v>
      </c>
      <c r="C43" s="2"/>
      <c r="D43" s="1"/>
      <c r="E43" s="1"/>
      <c r="F43" s="1"/>
      <c r="G43" s="1"/>
      <c r="H43" s="1"/>
      <c r="I43" s="1"/>
      <c r="J43" s="1"/>
      <c r="K43" s="1"/>
      <c r="L43" s="1"/>
      <c r="M43" s="1"/>
      <c r="N43" s="1"/>
      <c r="O43" s="1"/>
    </row>
    <row r="44" spans="2:15" outlineLevel="1"/>
    <row r="45" spans="2:15" ht="15" outlineLevel="1" thickBot="1">
      <c r="B45" s="3" t="s">
        <v>21</v>
      </c>
      <c r="D45" s="15">
        <v>2018</v>
      </c>
      <c r="E45" s="15">
        <v>2019</v>
      </c>
      <c r="F45" s="15">
        <f>E45+1</f>
        <v>2020</v>
      </c>
      <c r="G45" s="15">
        <f t="shared" ref="G45:O45" si="32">F45+1</f>
        <v>2021</v>
      </c>
      <c r="H45" s="15">
        <f t="shared" si="32"/>
        <v>2022</v>
      </c>
      <c r="I45" s="15">
        <f t="shared" si="32"/>
        <v>2023</v>
      </c>
      <c r="J45" s="15">
        <f t="shared" si="32"/>
        <v>2024</v>
      </c>
      <c r="K45" s="68">
        <f t="shared" si="32"/>
        <v>2025</v>
      </c>
      <c r="L45" s="68">
        <f t="shared" si="32"/>
        <v>2026</v>
      </c>
      <c r="M45" s="68">
        <f t="shared" si="32"/>
        <v>2027</v>
      </c>
      <c r="N45" s="68">
        <f t="shared" si="32"/>
        <v>2028</v>
      </c>
      <c r="O45" s="68">
        <f t="shared" si="32"/>
        <v>2029</v>
      </c>
    </row>
    <row r="46" spans="2:15" outlineLevel="1">
      <c r="H46" s="5"/>
    </row>
    <row r="47" spans="2:15" outlineLevel="1">
      <c r="B47" s="17" t="s">
        <v>5</v>
      </c>
      <c r="C47" s="17"/>
      <c r="D47" s="8">
        <v>1531575</v>
      </c>
      <c r="E47" s="8">
        <v>1698352</v>
      </c>
      <c r="F47" s="8">
        <v>1856555</v>
      </c>
      <c r="G47" s="8">
        <v>2184949</v>
      </c>
      <c r="H47" s="8">
        <v>2114297</v>
      </c>
      <c r="I47" s="8">
        <v>1887482</v>
      </c>
      <c r="J47" s="8">
        <v>1682296</v>
      </c>
      <c r="K47" s="27">
        <f>J47*(1+K10)</f>
        <v>1615004.16</v>
      </c>
      <c r="L47" s="27">
        <f>K47*(1+L10)</f>
        <v>1631154.2016</v>
      </c>
      <c r="M47" s="27">
        <f>L47*(1+M10)</f>
        <v>1650728.0520192001</v>
      </c>
      <c r="N47" s="27">
        <f>M47*(1+N10)</f>
        <v>1675488.9727994879</v>
      </c>
      <c r="O47" s="27">
        <f>N47*(1+O10)</f>
        <v>1707323.2632826781</v>
      </c>
    </row>
    <row r="48" spans="2:15" outlineLevel="1">
      <c r="B48" s="16" t="s">
        <v>34</v>
      </c>
      <c r="C48" s="16"/>
      <c r="E48" s="8">
        <v>646429</v>
      </c>
      <c r="F48" s="8">
        <v>700555</v>
      </c>
      <c r="G48" s="8">
        <v>866102</v>
      </c>
      <c r="H48" s="8">
        <v>912001</v>
      </c>
      <c r="I48" s="8">
        <v>798952</v>
      </c>
      <c r="J48" s="8">
        <v>679523</v>
      </c>
      <c r="K48" s="27">
        <f>K47*(1-K11)</f>
        <v>662151.70559999999</v>
      </c>
      <c r="L48" s="27">
        <f>L47*(1-L11)</f>
        <v>668773.22265600006</v>
      </c>
      <c r="M48" s="27">
        <f>M47*(1-M11)</f>
        <v>676798.50132787204</v>
      </c>
      <c r="N48" s="27">
        <f>N47*(1-N11)</f>
        <v>686950.47884779004</v>
      </c>
      <c r="O48" s="27">
        <f>O47*(1-O11)</f>
        <v>700002.53794589802</v>
      </c>
    </row>
    <row r="49" spans="2:19" outlineLevel="1">
      <c r="B49" s="20" t="s">
        <v>8</v>
      </c>
      <c r="C49" s="20"/>
      <c r="E49" s="21">
        <f>E47-E48</f>
        <v>1051923</v>
      </c>
      <c r="F49" s="21">
        <f t="shared" ref="F49:O49" si="33">F47-F48</f>
        <v>1156000</v>
      </c>
      <c r="G49" s="21">
        <f t="shared" si="33"/>
        <v>1318847</v>
      </c>
      <c r="H49" s="21">
        <f t="shared" si="33"/>
        <v>1202296</v>
      </c>
      <c r="I49" s="21">
        <f t="shared" si="33"/>
        <v>1088530</v>
      </c>
      <c r="J49" s="21">
        <f t="shared" si="33"/>
        <v>1002773</v>
      </c>
      <c r="K49" s="21">
        <f t="shared" si="33"/>
        <v>952852.45439999993</v>
      </c>
      <c r="L49" s="21">
        <f t="shared" si="33"/>
        <v>962380.97894399997</v>
      </c>
      <c r="M49" s="21">
        <f t="shared" si="33"/>
        <v>973929.55069132801</v>
      </c>
      <c r="N49" s="21">
        <f t="shared" si="33"/>
        <v>988538.49395169783</v>
      </c>
      <c r="O49" s="21">
        <f t="shared" si="33"/>
        <v>1007320.7253367801</v>
      </c>
      <c r="P49" s="64"/>
      <c r="Q49" s="64"/>
      <c r="R49" s="64"/>
      <c r="S49" s="64"/>
    </row>
    <row r="50" spans="2:19" outlineLevel="1">
      <c r="B50" s="16"/>
      <c r="C50" s="16"/>
      <c r="F50" s="18"/>
      <c r="G50" s="18"/>
      <c r="H50" s="18"/>
      <c r="I50" s="18"/>
      <c r="J50" s="18"/>
      <c r="K50" s="18"/>
    </row>
    <row r="51" spans="2:19" outlineLevel="1">
      <c r="B51" s="20" t="s">
        <v>42</v>
      </c>
      <c r="C51" s="20"/>
      <c r="F51" s="18"/>
      <c r="G51" s="18"/>
      <c r="H51" s="18"/>
      <c r="I51" s="18"/>
      <c r="J51" s="18"/>
      <c r="K51" s="18"/>
    </row>
    <row r="52" spans="2:19" outlineLevel="1">
      <c r="B52" s="7" t="s">
        <v>15</v>
      </c>
      <c r="C52" s="7"/>
      <c r="E52" s="8">
        <v>766922</v>
      </c>
      <c r="F52" s="8">
        <v>771195</v>
      </c>
      <c r="G52" s="8">
        <v>905359</v>
      </c>
      <c r="H52" s="8">
        <v>919629</v>
      </c>
      <c r="I52" s="8">
        <v>847442</v>
      </c>
      <c r="J52" s="8">
        <v>766624</v>
      </c>
      <c r="K52" s="27">
        <f t="shared" ref="K52:O54" si="34">K$47*K12</f>
        <v>726751.87199999997</v>
      </c>
      <c r="L52" s="27">
        <f t="shared" si="34"/>
        <v>734019.39072000002</v>
      </c>
      <c r="M52" s="27">
        <f t="shared" si="34"/>
        <v>742827.62340864004</v>
      </c>
      <c r="N52" s="27">
        <f t="shared" si="34"/>
        <v>753970.03775976959</v>
      </c>
      <c r="O52" s="27">
        <f t="shared" si="34"/>
        <v>768295.46847720514</v>
      </c>
    </row>
    <row r="53" spans="2:19" outlineLevel="1">
      <c r="B53" s="7" t="s">
        <v>16</v>
      </c>
      <c r="C53" s="7"/>
      <c r="E53" s="8">
        <v>137956</v>
      </c>
      <c r="F53" s="8">
        <v>158999</v>
      </c>
      <c r="G53" s="8">
        <v>161412</v>
      </c>
      <c r="H53" s="8">
        <v>153266</v>
      </c>
      <c r="I53" s="8">
        <v>146621</v>
      </c>
      <c r="J53" s="8">
        <v>149956</v>
      </c>
      <c r="K53" s="27">
        <f t="shared" si="34"/>
        <v>143735.37023999999</v>
      </c>
      <c r="L53" s="27">
        <f t="shared" si="34"/>
        <v>146803.87814399999</v>
      </c>
      <c r="M53" s="27">
        <f t="shared" si="34"/>
        <v>148565.52468172801</v>
      </c>
      <c r="N53" s="27">
        <f t="shared" si="34"/>
        <v>150794.0075519539</v>
      </c>
      <c r="O53" s="27">
        <f t="shared" si="34"/>
        <v>153659.09369544103</v>
      </c>
    </row>
    <row r="54" spans="2:19" outlineLevel="1">
      <c r="B54" s="7" t="s">
        <v>14</v>
      </c>
      <c r="C54" s="7"/>
      <c r="E54" s="8">
        <v>34950</v>
      </c>
      <c r="F54" s="8">
        <v>40910</v>
      </c>
      <c r="G54" s="8">
        <v>58540</v>
      </c>
      <c r="H54" s="8">
        <v>61521</v>
      </c>
      <c r="I54" s="8">
        <v>55797</v>
      </c>
      <c r="J54" s="8">
        <v>45255</v>
      </c>
      <c r="K54" s="27">
        <f t="shared" si="34"/>
        <v>43605.11232</v>
      </c>
      <c r="L54" s="27">
        <f t="shared" si="34"/>
        <v>44041.163443199999</v>
      </c>
      <c r="M54" s="27">
        <f t="shared" si="34"/>
        <v>44569.657404518402</v>
      </c>
      <c r="N54" s="27">
        <f t="shared" si="34"/>
        <v>45238.202265586173</v>
      </c>
      <c r="O54" s="27">
        <f t="shared" si="34"/>
        <v>46097.728108632306</v>
      </c>
    </row>
    <row r="55" spans="2:19" outlineLevel="1">
      <c r="B55" s="7" t="s">
        <v>35</v>
      </c>
      <c r="C55" s="7"/>
      <c r="E55" s="8">
        <v>0</v>
      </c>
      <c r="F55" s="8">
        <v>0</v>
      </c>
      <c r="G55" s="8">
        <v>0</v>
      </c>
      <c r="H55" s="8">
        <v>0</v>
      </c>
      <c r="I55" s="8">
        <v>15728</v>
      </c>
      <c r="J55" s="8">
        <v>18066</v>
      </c>
      <c r="K55" s="27">
        <f>K47*K15</f>
        <v>10266.952699946278</v>
      </c>
      <c r="L55" s="27">
        <f>L47*L15</f>
        <v>3262.3084032000002</v>
      </c>
      <c r="M55" s="27">
        <f>M47*M15</f>
        <v>0</v>
      </c>
      <c r="N55" s="27">
        <v>0</v>
      </c>
      <c r="O55" s="27">
        <v>0</v>
      </c>
    </row>
    <row r="56" spans="2:19" outlineLevel="1">
      <c r="B56" s="49" t="s">
        <v>36</v>
      </c>
      <c r="C56" s="49"/>
      <c r="E56" s="21">
        <f>SUM(E52:E55)</f>
        <v>939828</v>
      </c>
      <c r="F56" s="21">
        <f t="shared" ref="F56:O56" si="35">SUM(F52:F55)</f>
        <v>971104</v>
      </c>
      <c r="G56" s="21">
        <f t="shared" si="35"/>
        <v>1125311</v>
      </c>
      <c r="H56" s="21">
        <f t="shared" si="35"/>
        <v>1134416</v>
      </c>
      <c r="I56" s="21">
        <f t="shared" si="35"/>
        <v>1065588</v>
      </c>
      <c r="J56" s="21">
        <f t="shared" si="35"/>
        <v>979901</v>
      </c>
      <c r="K56" s="21">
        <f t="shared" si="35"/>
        <v>924359.30725994613</v>
      </c>
      <c r="L56" s="21">
        <f t="shared" si="35"/>
        <v>928126.74071040004</v>
      </c>
      <c r="M56" s="21">
        <f t="shared" si="35"/>
        <v>935962.80549488647</v>
      </c>
      <c r="N56" s="21">
        <f t="shared" si="35"/>
        <v>950002.24757730961</v>
      </c>
      <c r="O56" s="21">
        <f t="shared" si="35"/>
        <v>968052.29028127843</v>
      </c>
    </row>
    <row r="57" spans="2:19" outlineLevel="1">
      <c r="B57" s="7"/>
      <c r="C57" s="7"/>
      <c r="F57" s="8"/>
      <c r="G57" s="8"/>
      <c r="H57" s="8"/>
      <c r="I57" s="8"/>
      <c r="J57" s="8"/>
      <c r="K57" s="8"/>
      <c r="L57" s="27"/>
      <c r="M57" s="27"/>
      <c r="N57" s="27"/>
      <c r="O57" s="27"/>
    </row>
    <row r="58" spans="2:19" outlineLevel="1">
      <c r="B58" s="20" t="s">
        <v>40</v>
      </c>
      <c r="C58" s="20"/>
      <c r="E58" s="21">
        <f>E49-E56</f>
        <v>112095</v>
      </c>
      <c r="F58" s="21">
        <f t="shared" ref="F58:O58" si="36">F49-F56</f>
        <v>184896</v>
      </c>
      <c r="G58" s="21">
        <f t="shared" si="36"/>
        <v>193536</v>
      </c>
      <c r="H58" s="21">
        <f t="shared" si="36"/>
        <v>67880</v>
      </c>
      <c r="I58" s="21">
        <f t="shared" si="36"/>
        <v>22942</v>
      </c>
      <c r="J58" s="21">
        <f t="shared" si="36"/>
        <v>22872</v>
      </c>
      <c r="K58" s="21">
        <f t="shared" si="36"/>
        <v>28493.147140053799</v>
      </c>
      <c r="L58" s="21">
        <f t="shared" si="36"/>
        <v>34254.238233599928</v>
      </c>
      <c r="M58" s="21">
        <f t="shared" si="36"/>
        <v>37966.745196441538</v>
      </c>
      <c r="N58" s="21">
        <f t="shared" si="36"/>
        <v>38536.246374388225</v>
      </c>
      <c r="O58" s="21">
        <f t="shared" si="36"/>
        <v>39268.435055501643</v>
      </c>
    </row>
    <row r="59" spans="2:19" outlineLevel="1">
      <c r="B59" s="16"/>
      <c r="C59" s="16"/>
      <c r="F59" s="18"/>
      <c r="G59" s="18"/>
      <c r="H59" s="18"/>
      <c r="I59" s="18"/>
      <c r="J59" s="18"/>
      <c r="K59" s="18"/>
    </row>
    <row r="60" spans="2:19" outlineLevel="1">
      <c r="B60" s="16" t="s">
        <v>37</v>
      </c>
      <c r="C60" s="16"/>
      <c r="E60" s="50">
        <v>11587</v>
      </c>
      <c r="F60" s="8">
        <v>8924</v>
      </c>
      <c r="G60" s="8">
        <v>6245</v>
      </c>
      <c r="H60" s="8">
        <v>18985</v>
      </c>
      <c r="I60" s="8">
        <v>42695</v>
      </c>
      <c r="J60" s="8">
        <v>48368</v>
      </c>
      <c r="K60" s="27">
        <f>K47*K16</f>
        <v>46835.120640000001</v>
      </c>
      <c r="L60" s="27">
        <f>L47*L16</f>
        <v>39147.7008384</v>
      </c>
      <c r="M60" s="27">
        <f>M47*M16</f>
        <v>14856.5524681728</v>
      </c>
      <c r="N60" s="27">
        <f>N47*N16</f>
        <v>6701.955891197952</v>
      </c>
      <c r="O60" s="27">
        <f>O47*O16</f>
        <v>8536.6163164133905</v>
      </c>
    </row>
    <row r="61" spans="2:19" outlineLevel="1">
      <c r="B61" s="20" t="s">
        <v>38</v>
      </c>
      <c r="C61" s="20"/>
      <c r="E61" s="21">
        <f>E58-E60</f>
        <v>100508</v>
      </c>
      <c r="F61" s="21">
        <f t="shared" ref="F61:O61" si="37">F58-F60</f>
        <v>175972</v>
      </c>
      <c r="G61" s="21">
        <f t="shared" si="37"/>
        <v>187291</v>
      </c>
      <c r="H61" s="21">
        <f t="shared" si="37"/>
        <v>48895</v>
      </c>
      <c r="I61" s="21">
        <f t="shared" si="37"/>
        <v>-19753</v>
      </c>
      <c r="J61" s="21">
        <f t="shared" si="37"/>
        <v>-25496</v>
      </c>
      <c r="K61" s="21">
        <f t="shared" si="37"/>
        <v>-18341.973499946202</v>
      </c>
      <c r="L61" s="21">
        <f t="shared" si="37"/>
        <v>-4893.4626048000719</v>
      </c>
      <c r="M61" s="21">
        <f t="shared" si="37"/>
        <v>23110.192728268739</v>
      </c>
      <c r="N61" s="21">
        <f t="shared" si="37"/>
        <v>31834.290483190274</v>
      </c>
      <c r="O61" s="21">
        <f t="shared" si="37"/>
        <v>30731.818739088252</v>
      </c>
    </row>
    <row r="62" spans="2:19" outlineLevel="1">
      <c r="B62" s="16"/>
      <c r="C62" s="16"/>
      <c r="E62" s="8"/>
      <c r="F62" s="8"/>
      <c r="G62" s="8"/>
      <c r="H62" s="8"/>
      <c r="I62" s="8"/>
      <c r="J62" s="8"/>
      <c r="K62" s="8"/>
      <c r="L62" s="27"/>
      <c r="M62" s="27"/>
      <c r="N62" s="27"/>
      <c r="O62" s="27"/>
    </row>
    <row r="63" spans="2:19" ht="15" outlineLevel="1" thickBot="1">
      <c r="B63" s="16" t="s">
        <v>39</v>
      </c>
      <c r="C63" s="16"/>
      <c r="E63" s="50">
        <v>18663</v>
      </c>
      <c r="F63" s="8">
        <v>36783</v>
      </c>
      <c r="G63" s="8">
        <v>33545</v>
      </c>
      <c r="H63" s="8">
        <v>12285</v>
      </c>
      <c r="I63" s="8">
        <v>-4466</v>
      </c>
      <c r="J63" s="8">
        <v>-5162</v>
      </c>
      <c r="K63" s="27">
        <f>K237</f>
        <v>-3668.2237132392675</v>
      </c>
      <c r="L63" s="27">
        <f>L237</f>
        <v>-992.47944616961445</v>
      </c>
      <c r="M63" s="27">
        <f>M237</f>
        <v>4973.6914365777793</v>
      </c>
      <c r="N63" s="27">
        <f>N237</f>
        <v>7460.2239730665242</v>
      </c>
      <c r="O63" s="27">
        <f>O237</f>
        <v>5700.3864667313264</v>
      </c>
    </row>
    <row r="64" spans="2:19" ht="15" outlineLevel="1" thickBot="1">
      <c r="B64" s="20" t="s">
        <v>41</v>
      </c>
      <c r="C64" s="20"/>
      <c r="E64" s="11">
        <f>E61-E63</f>
        <v>81845</v>
      </c>
      <c r="F64" s="11">
        <f t="shared" ref="F64:O64" si="38">F61-F63</f>
        <v>139189</v>
      </c>
      <c r="G64" s="11">
        <f t="shared" si="38"/>
        <v>153746</v>
      </c>
      <c r="H64" s="11">
        <f t="shared" si="38"/>
        <v>36610</v>
      </c>
      <c r="I64" s="11">
        <f t="shared" si="38"/>
        <v>-15287</v>
      </c>
      <c r="J64" s="11">
        <f t="shared" si="38"/>
        <v>-20334</v>
      </c>
      <c r="K64" s="11">
        <f t="shared" si="38"/>
        <v>-14673.749786706934</v>
      </c>
      <c r="L64" s="11">
        <f t="shared" si="38"/>
        <v>-3900.9831586304572</v>
      </c>
      <c r="M64" s="11">
        <f t="shared" si="38"/>
        <v>18136.501291690962</v>
      </c>
      <c r="N64" s="11">
        <f t="shared" si="38"/>
        <v>24374.06651012375</v>
      </c>
      <c r="O64" s="11">
        <f t="shared" si="38"/>
        <v>25031.432272356928</v>
      </c>
    </row>
    <row r="65" spans="2:17">
      <c r="B65" s="16"/>
      <c r="C65" s="16"/>
      <c r="E65" s="18"/>
      <c r="F65" s="18"/>
      <c r="G65" s="18"/>
      <c r="H65" s="18"/>
      <c r="I65" s="18"/>
      <c r="J65" s="18"/>
      <c r="K65" s="18"/>
    </row>
    <row r="66" spans="2:17">
      <c r="B66" s="2" t="s">
        <v>4</v>
      </c>
      <c r="C66" s="2"/>
      <c r="D66" s="1"/>
      <c r="E66" s="1"/>
      <c r="F66" s="1"/>
      <c r="G66" s="1"/>
      <c r="H66" s="1"/>
      <c r="I66" s="1"/>
      <c r="J66" s="1"/>
      <c r="K66" s="1"/>
      <c r="L66" s="1"/>
      <c r="M66" s="1"/>
      <c r="N66" s="1"/>
      <c r="O66" s="1"/>
    </row>
    <row r="67" spans="2:17" outlineLevel="1"/>
    <row r="68" spans="2:17" ht="15" outlineLevel="1" thickBot="1">
      <c r="B68" s="42" t="s">
        <v>21</v>
      </c>
      <c r="C68" s="42"/>
      <c r="D68" s="4"/>
      <c r="E68" s="15">
        <v>2019</v>
      </c>
      <c r="F68" s="15">
        <v>2020</v>
      </c>
      <c r="G68" s="15">
        <v>2021</v>
      </c>
      <c r="H68" s="15">
        <v>2022</v>
      </c>
      <c r="I68" s="15">
        <v>2023</v>
      </c>
      <c r="J68" s="15">
        <v>2024</v>
      </c>
      <c r="K68" s="68">
        <f>J68+1</f>
        <v>2025</v>
      </c>
      <c r="L68" s="68">
        <f>K68+1</f>
        <v>2026</v>
      </c>
      <c r="M68" s="68">
        <f>L68+1</f>
        <v>2027</v>
      </c>
      <c r="N68" s="68">
        <f>M68+1</f>
        <v>2028</v>
      </c>
      <c r="O68" s="68">
        <f>N68+1</f>
        <v>2029</v>
      </c>
    </row>
    <row r="69" spans="2:17" outlineLevel="1">
      <c r="B69" s="4"/>
      <c r="C69" s="4"/>
      <c r="D69" s="4"/>
      <c r="E69" s="5"/>
      <c r="F69" s="5"/>
      <c r="G69" s="5"/>
      <c r="H69" s="5"/>
      <c r="I69" s="5"/>
      <c r="J69" s="53"/>
      <c r="K69" s="53"/>
      <c r="L69" s="53"/>
      <c r="M69" s="53"/>
      <c r="N69" s="53"/>
      <c r="O69" s="53"/>
    </row>
    <row r="70" spans="2:17" outlineLevel="1">
      <c r="B70" s="6" t="s">
        <v>0</v>
      </c>
      <c r="C70" s="6"/>
      <c r="D70" s="4"/>
      <c r="F70" s="4"/>
      <c r="G70" s="4"/>
      <c r="H70" s="4"/>
    </row>
    <row r="71" spans="2:17" outlineLevel="1">
      <c r="B71" s="6" t="s">
        <v>7</v>
      </c>
      <c r="C71" s="6"/>
      <c r="D71" s="4"/>
      <c r="F71" s="4"/>
      <c r="G71" s="4"/>
      <c r="H71" s="4"/>
      <c r="Q71" s="23"/>
    </row>
    <row r="72" spans="2:17" outlineLevel="1">
      <c r="B72" s="7" t="s">
        <v>1</v>
      </c>
      <c r="C72" s="7"/>
      <c r="D72" s="4"/>
      <c r="E72" s="8">
        <v>1593</v>
      </c>
      <c r="F72" s="8">
        <v>4243</v>
      </c>
      <c r="G72" s="8">
        <v>2389</v>
      </c>
      <c r="H72" s="8">
        <v>1792</v>
      </c>
      <c r="I72" s="8">
        <v>2539</v>
      </c>
      <c r="J72" s="8">
        <v>1950</v>
      </c>
      <c r="K72" s="27">
        <f ca="1">K156</f>
        <v>-34524.577791556861</v>
      </c>
      <c r="L72" s="27">
        <f t="shared" ref="L72:O72" ca="1" si="39">L156</f>
        <v>-20111.868720319719</v>
      </c>
      <c r="M72" s="27">
        <f t="shared" ca="1" si="39"/>
        <v>-32990.88461238821</v>
      </c>
      <c r="N72" s="27">
        <f t="shared" ca="1" si="39"/>
        <v>-48595.637172506642</v>
      </c>
      <c r="O72" s="27">
        <f t="shared" ca="1" si="39"/>
        <v>-61197.609810023394</v>
      </c>
      <c r="Q72" s="23"/>
    </row>
    <row r="73" spans="2:17" outlineLevel="1">
      <c r="B73" s="7" t="s">
        <v>12</v>
      </c>
      <c r="C73" s="7"/>
      <c r="D73" s="4"/>
      <c r="E73" s="8">
        <v>19978</v>
      </c>
      <c r="F73" s="8">
        <v>31871</v>
      </c>
      <c r="G73" s="8">
        <v>25718</v>
      </c>
      <c r="H73" s="8">
        <v>26005</v>
      </c>
      <c r="I73" s="8">
        <v>26859</v>
      </c>
      <c r="J73" s="8">
        <v>17516</v>
      </c>
      <c r="K73" s="27">
        <f>K171</f>
        <v>17698.675726027395</v>
      </c>
      <c r="L73" s="27">
        <f t="shared" ref="L73:O73" si="40">L171</f>
        <v>17875.662483287673</v>
      </c>
      <c r="M73" s="27">
        <f t="shared" si="40"/>
        <v>18090.170433087125</v>
      </c>
      <c r="N73" s="27">
        <f t="shared" si="40"/>
        <v>18361.522989583427</v>
      </c>
      <c r="O73" s="27">
        <f t="shared" si="40"/>
        <v>18710.391926385513</v>
      </c>
      <c r="Q73" s="22"/>
    </row>
    <row r="74" spans="2:17" outlineLevel="1">
      <c r="B74" s="7" t="s">
        <v>49</v>
      </c>
      <c r="C74" s="7"/>
      <c r="D74" s="4"/>
      <c r="E74" s="8">
        <v>87065</v>
      </c>
      <c r="F74" s="8">
        <v>81362</v>
      </c>
      <c r="G74" s="8">
        <v>105644</v>
      </c>
      <c r="H74" s="8">
        <v>114034</v>
      </c>
      <c r="I74" s="8">
        <v>115433</v>
      </c>
      <c r="J74" s="8">
        <v>103152</v>
      </c>
      <c r="K74" s="27">
        <f>K172</f>
        <v>99776.28440547944</v>
      </c>
      <c r="L74" s="27">
        <f t="shared" ref="L74:O74" si="41">L172</f>
        <v>97109.536440460288</v>
      </c>
      <c r="M74" s="27">
        <f t="shared" si="41"/>
        <v>92712.12346957151</v>
      </c>
      <c r="N74" s="27">
        <f t="shared" si="41"/>
        <v>86574.580895885869</v>
      </c>
      <c r="O74" s="27">
        <f t="shared" si="41"/>
        <v>88219.497932907689</v>
      </c>
      <c r="Q74" s="22"/>
    </row>
    <row r="75" spans="2:17" outlineLevel="1">
      <c r="B75" s="7" t="s">
        <v>70</v>
      </c>
      <c r="C75" s="7"/>
      <c r="D75" s="4"/>
      <c r="E75" s="8">
        <v>15335</v>
      </c>
      <c r="F75" s="8">
        <v>20839</v>
      </c>
      <c r="G75" s="8">
        <v>18953</v>
      </c>
      <c r="H75" s="8">
        <v>16006</v>
      </c>
      <c r="I75" s="8">
        <v>16660</v>
      </c>
      <c r="J75" s="8">
        <v>14568</v>
      </c>
      <c r="K75" s="27">
        <f>K20*K47</f>
        <v>14535.037439999998</v>
      </c>
      <c r="L75" s="27">
        <f>L20*L47</f>
        <v>14680.387814399999</v>
      </c>
      <c r="M75" s="27">
        <f>M20*M47</f>
        <v>13205.8244161536</v>
      </c>
      <c r="N75" s="27">
        <f>N20*N47</f>
        <v>13403.911782395904</v>
      </c>
      <c r="O75" s="27">
        <f>O20*O47</f>
        <v>13658.586106261426</v>
      </c>
      <c r="Q75" s="22"/>
    </row>
    <row r="76" spans="2:17" outlineLevel="1">
      <c r="B76" s="7" t="s">
        <v>71</v>
      </c>
      <c r="C76" s="7"/>
      <c r="D76" s="4"/>
      <c r="E76" s="8">
        <v>36397</v>
      </c>
      <c r="F76" s="8">
        <v>43489</v>
      </c>
      <c r="G76" s="8">
        <v>54917</v>
      </c>
      <c r="H76" s="8">
        <v>39921</v>
      </c>
      <c r="I76" s="8">
        <v>44637</v>
      </c>
      <c r="J76" s="8">
        <v>44098</v>
      </c>
      <c r="K76" s="27">
        <f>K21*K47</f>
        <v>32300.083199999997</v>
      </c>
      <c r="L76" s="27">
        <f>L21*L47</f>
        <v>32623.084032000002</v>
      </c>
      <c r="M76" s="27">
        <f>M21*M47</f>
        <v>31363.8329883648</v>
      </c>
      <c r="N76" s="27">
        <f>N21*N47</f>
        <v>31834.290483190271</v>
      </c>
      <c r="O76" s="27">
        <f>O21*O47</f>
        <v>30731.818739088205</v>
      </c>
      <c r="Q76" s="22"/>
    </row>
    <row r="77" spans="2:17" outlineLevel="1">
      <c r="B77" s="9" t="s">
        <v>72</v>
      </c>
      <c r="C77" s="9"/>
      <c r="D77" s="4"/>
      <c r="E77" s="21">
        <f>SUM(E72:E76)</f>
        <v>160368</v>
      </c>
      <c r="F77" s="21">
        <f>SUM(F72:F76)</f>
        <v>181804</v>
      </c>
      <c r="G77" s="21">
        <f>SUM(G72:G76)</f>
        <v>207621</v>
      </c>
      <c r="H77" s="21">
        <f>SUM(H72:H76)</f>
        <v>197758</v>
      </c>
      <c r="I77" s="21">
        <f>SUM(I72:I76)</f>
        <v>206128</v>
      </c>
      <c r="J77" s="21">
        <f t="shared" ref="J77:O77" si="42">SUM(J72:J76)</f>
        <v>181284</v>
      </c>
      <c r="K77" s="21">
        <f t="shared" ca="1" si="42"/>
        <v>129785.50297994998</v>
      </c>
      <c r="L77" s="21">
        <f t="shared" ca="1" si="42"/>
        <v>142176.80204982826</v>
      </c>
      <c r="M77" s="21">
        <f t="shared" ca="1" si="42"/>
        <v>122381.06669478882</v>
      </c>
      <c r="N77" s="21">
        <f t="shared" ca="1" si="42"/>
        <v>101578.66897854883</v>
      </c>
      <c r="O77" s="21">
        <f t="shared" ca="1" si="42"/>
        <v>90122.684894619437</v>
      </c>
      <c r="P77" s="28"/>
      <c r="Q77" s="28"/>
    </row>
    <row r="78" spans="2:17" outlineLevel="1">
      <c r="B78" s="9"/>
      <c r="C78" s="9"/>
      <c r="D78" s="4"/>
      <c r="E78" s="44"/>
      <c r="F78" s="44"/>
      <c r="G78" s="44"/>
      <c r="H78" s="44"/>
      <c r="I78" s="44"/>
      <c r="J78" s="44"/>
      <c r="K78" s="44"/>
      <c r="L78" s="44"/>
      <c r="M78" s="44"/>
      <c r="N78" s="44"/>
      <c r="O78" s="44"/>
    </row>
    <row r="79" spans="2:17" outlineLevel="1">
      <c r="B79" s="6" t="s">
        <v>73</v>
      </c>
      <c r="C79" s="6"/>
      <c r="D79" s="4"/>
      <c r="E79" s="8"/>
      <c r="F79" s="8"/>
      <c r="G79" s="10"/>
      <c r="H79" s="10"/>
      <c r="I79" s="8"/>
      <c r="J79" s="8"/>
      <c r="K79" s="27"/>
      <c r="L79" s="27"/>
      <c r="M79" s="27"/>
      <c r="N79" s="27"/>
      <c r="O79" s="27"/>
    </row>
    <row r="80" spans="2:17" outlineLevel="1">
      <c r="B80" s="4" t="s">
        <v>74</v>
      </c>
      <c r="C80" s="4"/>
      <c r="D80" s="4"/>
      <c r="E80" s="8">
        <v>197421</v>
      </c>
      <c r="F80" s="8">
        <v>175223</v>
      </c>
      <c r="G80" s="10">
        <v>195128</v>
      </c>
      <c r="H80" s="10">
        <v>200605</v>
      </c>
      <c r="I80" s="8">
        <v>179503</v>
      </c>
      <c r="J80" s="8">
        <v>129574</v>
      </c>
      <c r="K80" s="27">
        <f>K181</f>
        <v>121125.31199999999</v>
      </c>
      <c r="L80" s="27">
        <f t="shared" ref="L80:O80" si="43">L181</f>
        <v>122336.56512</v>
      </c>
      <c r="M80" s="27">
        <f t="shared" si="43"/>
        <v>127106.0600054784</v>
      </c>
      <c r="N80" s="27">
        <f t="shared" si="43"/>
        <v>129012.65090556057</v>
      </c>
      <c r="O80" s="27">
        <f t="shared" si="43"/>
        <v>131463.89127276622</v>
      </c>
      <c r="Q80" s="43"/>
    </row>
    <row r="81" spans="2:17" outlineLevel="1">
      <c r="B81" s="4" t="s">
        <v>75</v>
      </c>
      <c r="C81" s="4"/>
      <c r="D81" s="4"/>
      <c r="E81" s="8">
        <v>327017</v>
      </c>
      <c r="F81" s="8">
        <v>314226</v>
      </c>
      <c r="G81" s="10">
        <v>371133</v>
      </c>
      <c r="H81" s="10">
        <v>397755</v>
      </c>
      <c r="I81" s="8">
        <v>395411</v>
      </c>
      <c r="J81" s="8">
        <v>356641</v>
      </c>
      <c r="K81" s="27">
        <f>K197</f>
        <v>331075.85279999994</v>
      </c>
      <c r="L81" s="27">
        <f t="shared" ref="L81:O81" si="44">L197</f>
        <v>334386.61132799997</v>
      </c>
      <c r="M81" s="27">
        <f t="shared" si="44"/>
        <v>338399.25066393596</v>
      </c>
      <c r="N81" s="27">
        <f t="shared" si="44"/>
        <v>343475.23942389502</v>
      </c>
      <c r="O81" s="27">
        <f t="shared" si="44"/>
        <v>350001.26897294901</v>
      </c>
    </row>
    <row r="82" spans="2:17" outlineLevel="1">
      <c r="B82" s="4" t="s">
        <v>76</v>
      </c>
      <c r="C82" s="4"/>
      <c r="D82" s="4"/>
      <c r="E82" s="8">
        <v>73226</v>
      </c>
      <c r="F82" s="8">
        <v>72871</v>
      </c>
      <c r="G82" s="10">
        <v>70468</v>
      </c>
      <c r="H82" s="10">
        <v>68065</v>
      </c>
      <c r="I82" s="8">
        <v>66634</v>
      </c>
      <c r="J82" s="8">
        <v>66412</v>
      </c>
      <c r="K82" s="27">
        <f>J82*(1+K22)</f>
        <v>65117.934766925842</v>
      </c>
      <c r="L82" s="27">
        <f>K82*(1+L22)</f>
        <v>64166.321532312133</v>
      </c>
      <c r="M82" s="27">
        <f>L82*(1+M22)</f>
        <v>63365.724026202268</v>
      </c>
      <c r="N82" s="27">
        <f>M82*(1+N22)</f>
        <v>62381.949765397359</v>
      </c>
      <c r="O82" s="27">
        <f>N82*(1+O22)</f>
        <v>61495.794668000904</v>
      </c>
    </row>
    <row r="83" spans="2:17" outlineLevel="1">
      <c r="B83" s="4" t="s">
        <v>98</v>
      </c>
      <c r="C83" s="4"/>
      <c r="D83" s="4"/>
      <c r="E83" s="8">
        <v>0</v>
      </c>
      <c r="F83" s="8">
        <v>0</v>
      </c>
      <c r="G83" s="10">
        <v>0</v>
      </c>
      <c r="H83" s="10">
        <v>7958</v>
      </c>
      <c r="I83" s="8">
        <v>20253</v>
      </c>
      <c r="J83" s="8">
        <v>33575</v>
      </c>
      <c r="K83" s="27">
        <f>K243</f>
        <v>27512.960249919302</v>
      </c>
      <c r="L83" s="27">
        <f t="shared" ref="L83:O83" si="45">L243</f>
        <v>-1027.6271470080151</v>
      </c>
      <c r="M83" s="27">
        <f t="shared" si="45"/>
        <v>5777.5481820671848</v>
      </c>
      <c r="N83" s="27">
        <f t="shared" si="45"/>
        <v>0</v>
      </c>
      <c r="O83" s="27">
        <f t="shared" si="45"/>
        <v>0</v>
      </c>
    </row>
    <row r="84" spans="2:17" outlineLevel="1">
      <c r="B84" s="4" t="s">
        <v>77</v>
      </c>
      <c r="C84" s="4"/>
      <c r="D84" s="4"/>
      <c r="E84" s="8">
        <v>48011</v>
      </c>
      <c r="F84" s="8">
        <v>56012</v>
      </c>
      <c r="G84" s="10">
        <v>75190</v>
      </c>
      <c r="H84" s="10">
        <v>81795</v>
      </c>
      <c r="I84" s="8">
        <v>82951</v>
      </c>
      <c r="J84" s="8">
        <v>93324</v>
      </c>
      <c r="K84" s="27">
        <f>J84*(1+K23)</f>
        <v>94257.24</v>
      </c>
      <c r="L84" s="27">
        <f>K84*(1+L23)</f>
        <v>92843.381399999998</v>
      </c>
      <c r="M84" s="27">
        <f>L84*(1+M23)</f>
        <v>91450.730679</v>
      </c>
      <c r="N84" s="27">
        <f>M84*(1+N23)</f>
        <v>89621.716065419998</v>
      </c>
      <c r="O84" s="27">
        <f>N84*(1+O23)</f>
        <v>87381.173163784493</v>
      </c>
    </row>
    <row r="85" spans="2:17" outlineLevel="1">
      <c r="B85" s="4" t="s">
        <v>78</v>
      </c>
      <c r="C85" s="4"/>
      <c r="D85" s="4"/>
      <c r="E85" s="21">
        <f t="shared" ref="E85:O85" si="46">E77+SUM(E80:E84)</f>
        <v>806043</v>
      </c>
      <c r="F85" s="21">
        <f t="shared" si="46"/>
        <v>800136</v>
      </c>
      <c r="G85" s="21">
        <f t="shared" si="46"/>
        <v>919540</v>
      </c>
      <c r="H85" s="21">
        <f t="shared" si="46"/>
        <v>953936</v>
      </c>
      <c r="I85" s="21">
        <f t="shared" si="46"/>
        <v>950880</v>
      </c>
      <c r="J85" s="21">
        <f t="shared" si="46"/>
        <v>860810</v>
      </c>
      <c r="K85" s="21">
        <f t="shared" ca="1" si="46"/>
        <v>768874.80279679503</v>
      </c>
      <c r="L85" s="21">
        <f t="shared" ca="1" si="46"/>
        <v>754882.05428313231</v>
      </c>
      <c r="M85" s="21">
        <f t="shared" ca="1" si="46"/>
        <v>748480.3802514727</v>
      </c>
      <c r="N85" s="21">
        <f t="shared" ca="1" si="46"/>
        <v>726070.22513882176</v>
      </c>
      <c r="O85" s="21">
        <f t="shared" ca="1" si="46"/>
        <v>720464.81297212013</v>
      </c>
    </row>
    <row r="86" spans="2:17" outlineLevel="1">
      <c r="B86" s="4"/>
      <c r="C86" s="4"/>
      <c r="D86" s="4"/>
      <c r="E86" s="8"/>
      <c r="F86" s="8"/>
      <c r="G86" s="10"/>
      <c r="H86" s="10"/>
      <c r="I86" s="8"/>
      <c r="J86" s="8"/>
      <c r="K86" s="27"/>
      <c r="L86" s="27"/>
      <c r="M86" s="27"/>
      <c r="N86" s="27"/>
      <c r="O86" s="27"/>
    </row>
    <row r="87" spans="2:17" outlineLevel="1">
      <c r="B87" s="6" t="s">
        <v>79</v>
      </c>
      <c r="C87" s="6"/>
      <c r="D87" s="4"/>
      <c r="E87" s="8"/>
      <c r="F87" s="8"/>
      <c r="G87" s="10"/>
      <c r="H87" s="10"/>
      <c r="I87" s="8"/>
      <c r="J87" s="8"/>
      <c r="K87" s="27"/>
      <c r="L87" s="27"/>
      <c r="M87" s="27"/>
      <c r="N87" s="27"/>
      <c r="O87" s="27"/>
    </row>
    <row r="88" spans="2:17" outlineLevel="1">
      <c r="B88" s="20" t="s">
        <v>80</v>
      </c>
      <c r="C88" s="20"/>
      <c r="D88" s="4"/>
      <c r="E88" s="8"/>
      <c r="F88" s="8"/>
      <c r="G88" s="8"/>
      <c r="H88" s="8"/>
      <c r="I88" s="8"/>
      <c r="J88" s="8"/>
      <c r="K88" s="8"/>
      <c r="L88" s="8"/>
      <c r="M88" s="8"/>
      <c r="N88" s="8"/>
      <c r="O88" s="8"/>
    </row>
    <row r="89" spans="2:17" outlineLevel="1">
      <c r="B89" s="16" t="s">
        <v>81</v>
      </c>
      <c r="C89" s="16"/>
      <c r="D89" s="4"/>
      <c r="E89" s="8">
        <v>231000</v>
      </c>
      <c r="F89" s="8">
        <v>244200</v>
      </c>
      <c r="G89" s="8">
        <v>382500</v>
      </c>
      <c r="H89" s="8">
        <v>459600</v>
      </c>
      <c r="I89" s="8">
        <v>539500</v>
      </c>
      <c r="J89" s="8">
        <v>546600</v>
      </c>
      <c r="K89" s="27">
        <f>K208</f>
        <v>478041.23135999998</v>
      </c>
      <c r="L89" s="27">
        <f>L208</f>
        <v>411050.85880320001</v>
      </c>
      <c r="M89" s="27">
        <f>M208</f>
        <v>338399.25066393596</v>
      </c>
      <c r="N89" s="27">
        <f>N208</f>
        <v>248810.11246072393</v>
      </c>
      <c r="O89" s="27">
        <f>O208</f>
        <v>184220.18010820096</v>
      </c>
    </row>
    <row r="90" spans="2:17" outlineLevel="1">
      <c r="B90" s="16" t="s">
        <v>2</v>
      </c>
      <c r="C90" s="16"/>
      <c r="D90" s="4"/>
      <c r="E90" s="8">
        <v>134594</v>
      </c>
      <c r="F90" s="8">
        <v>91904</v>
      </c>
      <c r="G90" s="8">
        <v>162547</v>
      </c>
      <c r="H90" s="10">
        <v>176207</v>
      </c>
      <c r="I90" s="8">
        <v>135901</v>
      </c>
      <c r="J90" s="8">
        <v>107619</v>
      </c>
      <c r="K90" s="27">
        <f>K173</f>
        <v>107032.74145315069</v>
      </c>
      <c r="L90" s="27">
        <f t="shared" ref="L90:O90" si="47">L173</f>
        <v>113599.83508129316</v>
      </c>
      <c r="M90" s="27">
        <f t="shared" si="47"/>
        <v>114963.03310226867</v>
      </c>
      <c r="N90" s="27">
        <f t="shared" si="47"/>
        <v>122333.64691809959</v>
      </c>
      <c r="O90" s="27">
        <f t="shared" si="47"/>
        <v>124657.98620954348</v>
      </c>
      <c r="Q90" s="43"/>
    </row>
    <row r="91" spans="2:17" outlineLevel="1">
      <c r="B91" s="16" t="s">
        <v>52</v>
      </c>
      <c r="C91" s="16"/>
      <c r="D91" s="4"/>
      <c r="E91" s="8">
        <v>34248</v>
      </c>
      <c r="F91" s="8">
        <v>72017</v>
      </c>
      <c r="G91" s="8">
        <v>129499</v>
      </c>
      <c r="H91" s="10">
        <v>73181</v>
      </c>
      <c r="I91" s="8">
        <v>49143</v>
      </c>
      <c r="J91" s="8">
        <v>46933</v>
      </c>
      <c r="K91" s="27">
        <f>K47*K25</f>
        <v>46770.520473599994</v>
      </c>
      <c r="L91" s="27">
        <f>L47*L25</f>
        <v>52115.376741120002</v>
      </c>
      <c r="M91" s="27">
        <f>M47*M25</f>
        <v>60746.792314306564</v>
      </c>
      <c r="N91" s="27">
        <f>N47*N25</f>
        <v>69901.399945194629</v>
      </c>
      <c r="O91" s="27">
        <f>O47*O25</f>
        <v>75292.955910766104</v>
      </c>
    </row>
    <row r="92" spans="2:17" outlineLevel="1">
      <c r="B92" s="16" t="s">
        <v>82</v>
      </c>
      <c r="C92" s="16"/>
      <c r="D92" s="4"/>
      <c r="E92" s="8">
        <v>19809</v>
      </c>
      <c r="F92" s="8">
        <v>24765</v>
      </c>
      <c r="G92" s="8">
        <v>22368</v>
      </c>
      <c r="H92" s="10">
        <v>25594</v>
      </c>
      <c r="I92" s="10">
        <v>22402</v>
      </c>
      <c r="J92" s="8">
        <v>19092</v>
      </c>
      <c r="K92" s="27">
        <f>K26*K47</f>
        <v>20995.054079999998</v>
      </c>
      <c r="L92" s="27">
        <f>L26*L47</f>
        <v>21205.004620799999</v>
      </c>
      <c r="M92" s="27">
        <f>M26*M47</f>
        <v>24760.920780288001</v>
      </c>
      <c r="N92" s="27">
        <f>N26*N47</f>
        <v>25132.334591992316</v>
      </c>
      <c r="O92" s="27">
        <f>O26*O47</f>
        <v>29024.495475805528</v>
      </c>
    </row>
    <row r="93" spans="2:17" outlineLevel="1">
      <c r="B93" s="16" t="s">
        <v>83</v>
      </c>
      <c r="C93" s="16"/>
      <c r="D93" s="4"/>
      <c r="E93" s="8">
        <v>40321</v>
      </c>
      <c r="F93" s="8">
        <v>76786</v>
      </c>
      <c r="G93" s="8">
        <v>51240</v>
      </c>
      <c r="H93" s="10">
        <v>31291</v>
      </c>
      <c r="I93" s="10">
        <v>28273</v>
      </c>
      <c r="J93" s="8">
        <v>31038</v>
      </c>
      <c r="K93" s="27">
        <f>K27*K47</f>
        <v>32300.083199999997</v>
      </c>
      <c r="L93" s="27">
        <f>L27*L47</f>
        <v>40778.855040000002</v>
      </c>
      <c r="M93" s="27">
        <f>M27*M47</f>
        <v>44569.657404518402</v>
      </c>
      <c r="N93" s="27">
        <f>N27*N47</f>
        <v>56966.625075182594</v>
      </c>
      <c r="O93" s="27">
        <f>O27*O47</f>
        <v>64878.284004741763</v>
      </c>
    </row>
    <row r="94" spans="2:17" outlineLevel="1">
      <c r="B94" s="16" t="s">
        <v>84</v>
      </c>
      <c r="C94" s="16"/>
      <c r="D94" s="4"/>
      <c r="E94" s="8">
        <v>22171</v>
      </c>
      <c r="F94" s="8">
        <v>23339</v>
      </c>
      <c r="G94" s="8">
        <v>22087</v>
      </c>
      <c r="H94" s="10">
        <v>23622</v>
      </c>
      <c r="I94" s="10">
        <v>17134</v>
      </c>
      <c r="J94" s="8">
        <v>18619</v>
      </c>
      <c r="K94" s="27">
        <f>K28*K47</f>
        <v>18734.048255999998</v>
      </c>
      <c r="L94" s="27">
        <f>L28*L47</f>
        <v>19573.8504192</v>
      </c>
      <c r="M94" s="27">
        <f>M28*M47</f>
        <v>23605.41114387456</v>
      </c>
      <c r="N94" s="27">
        <f>N28*N47</f>
        <v>27645.568051191553</v>
      </c>
      <c r="O94" s="27">
        <f>O28*O47</f>
        <v>25609.848949240171</v>
      </c>
    </row>
    <row r="95" spans="2:17" outlineLevel="1">
      <c r="B95" s="16" t="s">
        <v>85</v>
      </c>
      <c r="C95" s="16"/>
      <c r="D95" s="4"/>
      <c r="E95" s="8">
        <v>59561</v>
      </c>
      <c r="F95" s="8">
        <v>62077</v>
      </c>
      <c r="G95" s="8">
        <v>72360</v>
      </c>
      <c r="H95" s="8">
        <v>79533</v>
      </c>
      <c r="I95" s="8">
        <v>81760</v>
      </c>
      <c r="J95" s="8">
        <v>82307</v>
      </c>
      <c r="K95" s="18">
        <f>K198</f>
        <v>80750.207999999999</v>
      </c>
      <c r="L95" s="18">
        <f t="shared" ref="L95:O95" si="48">L198</f>
        <v>89713.481088</v>
      </c>
      <c r="M95" s="18">
        <f t="shared" si="48"/>
        <v>99043.683121152004</v>
      </c>
      <c r="N95" s="18">
        <f t="shared" si="48"/>
        <v>100529.33836796926</v>
      </c>
      <c r="O95" s="18">
        <f t="shared" si="48"/>
        <v>102439.39579696069</v>
      </c>
    </row>
    <row r="96" spans="2:17" outlineLevel="1">
      <c r="B96" s="16" t="s">
        <v>86</v>
      </c>
      <c r="C96" s="16"/>
      <c r="D96" s="4"/>
      <c r="E96" s="8">
        <v>53070</v>
      </c>
      <c r="F96" s="8">
        <v>60856</v>
      </c>
      <c r="G96" s="8">
        <v>64177</v>
      </c>
      <c r="H96" s="10">
        <v>60785</v>
      </c>
      <c r="I96" s="10">
        <v>61958</v>
      </c>
      <c r="J96" s="8">
        <v>55804</v>
      </c>
      <c r="K96" s="18">
        <f>K29*K47</f>
        <v>53295.137280000003</v>
      </c>
      <c r="L96" s="18">
        <f>L29*L47</f>
        <v>53828.088652800005</v>
      </c>
      <c r="M96" s="18">
        <f>M29*M47</f>
        <v>56124.753768652809</v>
      </c>
      <c r="N96" s="18">
        <f>N29*N47</f>
        <v>58642.114047982082</v>
      </c>
      <c r="O96" s="18">
        <f>O29*O47</f>
        <v>64878.284004741763</v>
      </c>
    </row>
    <row r="97" spans="2:19" outlineLevel="1">
      <c r="B97" s="9" t="s">
        <v>87</v>
      </c>
      <c r="C97" s="9"/>
      <c r="D97" s="4"/>
      <c r="E97" s="21">
        <f t="shared" ref="E97:O97" si="49">SUM(E89:E96)</f>
        <v>594774</v>
      </c>
      <c r="F97" s="21">
        <f t="shared" si="49"/>
        <v>655944</v>
      </c>
      <c r="G97" s="21">
        <f t="shared" si="49"/>
        <v>906778</v>
      </c>
      <c r="H97" s="21">
        <f t="shared" si="49"/>
        <v>929813</v>
      </c>
      <c r="I97" s="21">
        <f t="shared" si="49"/>
        <v>936071</v>
      </c>
      <c r="J97" s="21">
        <f t="shared" si="49"/>
        <v>908012</v>
      </c>
      <c r="K97" s="21">
        <f t="shared" si="49"/>
        <v>837919.0241027507</v>
      </c>
      <c r="L97" s="21">
        <f t="shared" si="49"/>
        <v>801865.35044641327</v>
      </c>
      <c r="M97" s="21">
        <f t="shared" si="49"/>
        <v>762213.5022989969</v>
      </c>
      <c r="N97" s="21">
        <f t="shared" si="49"/>
        <v>709961.13945833594</v>
      </c>
      <c r="O97" s="21">
        <f t="shared" si="49"/>
        <v>671001.43046000041</v>
      </c>
    </row>
    <row r="98" spans="2:19" outlineLevel="1">
      <c r="B98" s="16"/>
      <c r="C98" s="16"/>
      <c r="D98" s="4"/>
      <c r="E98" s="8"/>
      <c r="F98" s="8"/>
      <c r="G98" s="10"/>
      <c r="H98" s="10"/>
      <c r="I98" s="10"/>
      <c r="J98" s="10"/>
      <c r="K98" s="27"/>
      <c r="L98" s="27"/>
      <c r="M98" s="27"/>
      <c r="N98" s="27"/>
      <c r="O98" s="27"/>
    </row>
    <row r="99" spans="2:19" outlineLevel="1">
      <c r="B99" s="20" t="s">
        <v>88</v>
      </c>
      <c r="C99" s="20"/>
      <c r="D99" s="4"/>
      <c r="E99" s="8"/>
      <c r="F99" s="8"/>
      <c r="G99" s="10"/>
      <c r="H99" s="10"/>
      <c r="I99" s="10"/>
      <c r="J99" s="10"/>
      <c r="K99" s="27"/>
      <c r="L99" s="27"/>
      <c r="M99" s="27"/>
      <c r="N99" s="27"/>
      <c r="O99" s="27"/>
    </row>
    <row r="100" spans="2:19" outlineLevel="1">
      <c r="B100" s="16" t="s">
        <v>48</v>
      </c>
      <c r="C100" s="16"/>
      <c r="D100" s="4"/>
      <c r="E100" s="8">
        <v>3808</v>
      </c>
      <c r="F100" s="8">
        <v>242</v>
      </c>
      <c r="G100" s="8">
        <v>688</v>
      </c>
      <c r="H100" s="8">
        <v>0</v>
      </c>
      <c r="I100" s="8">
        <v>0</v>
      </c>
      <c r="J100" s="8">
        <f ca="1">J244</f>
        <v>0</v>
      </c>
      <c r="K100" s="18">
        <f>K244</f>
        <v>0</v>
      </c>
      <c r="L100" s="18">
        <f t="shared" ref="L100:O100" si="50">L244</f>
        <v>0</v>
      </c>
      <c r="M100" s="18">
        <f t="shared" si="50"/>
        <v>0</v>
      </c>
      <c r="N100" s="18">
        <f t="shared" si="50"/>
        <v>318.34290483190273</v>
      </c>
      <c r="O100" s="18">
        <f t="shared" si="50"/>
        <v>768.29546847720633</v>
      </c>
    </row>
    <row r="101" spans="2:19" outlineLevel="1">
      <c r="B101" s="16" t="s">
        <v>85</v>
      </c>
      <c r="C101" s="16"/>
      <c r="E101" s="8">
        <v>298090</v>
      </c>
      <c r="F101" s="8">
        <v>283084</v>
      </c>
      <c r="G101" s="8">
        <v>336192</v>
      </c>
      <c r="H101" s="8">
        <v>356879</v>
      </c>
      <c r="I101" s="8">
        <v>351394</v>
      </c>
      <c r="J101" s="8">
        <v>307201</v>
      </c>
      <c r="K101" s="18">
        <f>K199</f>
        <v>305235.78623999999</v>
      </c>
      <c r="L101" s="18">
        <f t="shared" ref="L101:O101" si="51">L199</f>
        <v>331939.88002559997</v>
      </c>
      <c r="M101" s="18">
        <f t="shared" si="51"/>
        <v>346652.89092403202</v>
      </c>
      <c r="N101" s="18">
        <f t="shared" si="51"/>
        <v>351852.68428789242</v>
      </c>
      <c r="O101" s="18">
        <f t="shared" si="51"/>
        <v>358537.8852893624</v>
      </c>
    </row>
    <row r="102" spans="2:19" outlineLevel="1">
      <c r="B102" s="16" t="s">
        <v>89</v>
      </c>
      <c r="C102" s="16"/>
      <c r="D102" s="4"/>
      <c r="E102" s="8">
        <v>68802</v>
      </c>
      <c r="F102" s="8">
        <v>84844</v>
      </c>
      <c r="G102" s="8">
        <v>100835</v>
      </c>
      <c r="H102" s="8">
        <v>105421</v>
      </c>
      <c r="I102" s="8">
        <v>105343</v>
      </c>
      <c r="J102" s="8">
        <v>97183</v>
      </c>
      <c r="K102" s="18">
        <f>J102*(1+K30)</f>
        <v>91352.01999999999</v>
      </c>
      <c r="L102" s="18">
        <f>K102*(1+L30)</f>
        <v>92265.540199999989</v>
      </c>
      <c r="M102" s="18">
        <f>L102*(1+M30)</f>
        <v>94756.709785399973</v>
      </c>
      <c r="N102" s="18">
        <f>M102*(1+N30)</f>
        <v>98073.194627888966</v>
      </c>
      <c r="O102" s="18">
        <f>N102*(1+O30)</f>
        <v>103957.5863055623</v>
      </c>
    </row>
    <row r="103" spans="2:19" outlineLevel="1">
      <c r="B103" s="9" t="s">
        <v>90</v>
      </c>
      <c r="C103" s="9"/>
      <c r="E103" s="21">
        <f>E97+SUM(E100:E102)</f>
        <v>965474</v>
      </c>
      <c r="F103" s="21">
        <f t="shared" ref="F103:O103" si="52">F97+SUM(F100:F102)</f>
        <v>1024114</v>
      </c>
      <c r="G103" s="21">
        <f t="shared" si="52"/>
        <v>1344493</v>
      </c>
      <c r="H103" s="21">
        <f t="shared" si="52"/>
        <v>1392113</v>
      </c>
      <c r="I103" s="21">
        <f t="shared" si="52"/>
        <v>1392808</v>
      </c>
      <c r="J103" s="21">
        <f t="shared" ca="1" si="52"/>
        <v>1312396</v>
      </c>
      <c r="K103" s="21">
        <f t="shared" si="52"/>
        <v>1234506.8303427505</v>
      </c>
      <c r="L103" s="21">
        <f t="shared" si="52"/>
        <v>1226070.7706720133</v>
      </c>
      <c r="M103" s="21">
        <f t="shared" si="52"/>
        <v>1203623.1030084288</v>
      </c>
      <c r="N103" s="21">
        <f t="shared" si="52"/>
        <v>1160205.3612789493</v>
      </c>
      <c r="O103" s="21">
        <f t="shared" si="52"/>
        <v>1134265.1975234023</v>
      </c>
    </row>
    <row r="104" spans="2:19" outlineLevel="1">
      <c r="B104" s="7"/>
      <c r="C104" s="7"/>
      <c r="E104" s="8"/>
      <c r="F104" s="8"/>
      <c r="G104" s="10"/>
      <c r="H104" s="10"/>
      <c r="I104" s="10"/>
      <c r="J104" s="10"/>
      <c r="K104" s="27"/>
      <c r="L104" s="27"/>
      <c r="M104" s="27"/>
      <c r="N104" s="27"/>
      <c r="O104" s="27"/>
    </row>
    <row r="105" spans="2:19" outlineLevel="1">
      <c r="B105" s="20" t="s">
        <v>91</v>
      </c>
      <c r="C105" s="20"/>
      <c r="E105" s="8"/>
      <c r="F105" s="8"/>
      <c r="G105" s="10"/>
      <c r="H105" s="10"/>
      <c r="I105" s="10"/>
      <c r="J105" s="10"/>
    </row>
    <row r="106" spans="2:19" outlineLevel="1">
      <c r="B106" s="4" t="s">
        <v>99</v>
      </c>
      <c r="C106" s="4"/>
      <c r="E106" s="8">
        <v>0</v>
      </c>
      <c r="F106" s="8">
        <v>0</v>
      </c>
      <c r="G106" s="10">
        <v>0</v>
      </c>
      <c r="H106" s="10">
        <v>0</v>
      </c>
      <c r="I106" s="10">
        <v>0</v>
      </c>
      <c r="J106" s="8">
        <v>0</v>
      </c>
      <c r="K106" s="18">
        <v>0</v>
      </c>
      <c r="L106" s="18">
        <v>0</v>
      </c>
      <c r="M106" s="18">
        <v>0</v>
      </c>
      <c r="N106" s="18">
        <v>0</v>
      </c>
      <c r="O106" s="18">
        <v>0</v>
      </c>
    </row>
    <row r="107" spans="2:19" outlineLevel="1">
      <c r="B107" s="4" t="s">
        <v>100</v>
      </c>
      <c r="C107" s="4"/>
      <c r="D107" s="6"/>
      <c r="E107" s="8">
        <v>280</v>
      </c>
      <c r="F107" s="8">
        <v>254</v>
      </c>
      <c r="G107" s="10">
        <v>227</v>
      </c>
      <c r="H107" s="10">
        <v>220</v>
      </c>
      <c r="I107" s="10">
        <v>222</v>
      </c>
      <c r="J107" s="8">
        <v>224</v>
      </c>
      <c r="K107" s="18">
        <f>K221</f>
        <v>226.01599999999996</v>
      </c>
      <c r="L107" s="18">
        <f t="shared" ref="L107:O107" si="53">L221</f>
        <v>228.05014399999993</v>
      </c>
      <c r="M107" s="18">
        <f t="shared" si="53"/>
        <v>230.10259529599992</v>
      </c>
      <c r="N107" s="18">
        <f t="shared" si="53"/>
        <v>232.86382643955193</v>
      </c>
      <c r="O107" s="18">
        <f t="shared" si="53"/>
        <v>236.35678383614518</v>
      </c>
    </row>
    <row r="108" spans="2:19" outlineLevel="1">
      <c r="B108" s="4" t="s">
        <v>3</v>
      </c>
      <c r="C108" s="4"/>
      <c r="D108" s="4"/>
      <c r="E108" s="8">
        <v>0</v>
      </c>
      <c r="F108" s="8">
        <v>0</v>
      </c>
      <c r="G108" s="10">
        <v>3971</v>
      </c>
      <c r="H108" s="10">
        <v>5182</v>
      </c>
      <c r="I108" s="10">
        <v>16716</v>
      </c>
      <c r="J108" s="8">
        <v>27390</v>
      </c>
      <c r="K108" s="18">
        <f>K224</f>
        <v>27988.437660704032</v>
      </c>
      <c r="L108" s="18">
        <f t="shared" ref="L108:O108" si="54">L224</f>
        <v>26329.534348969046</v>
      </c>
      <c r="M108" s="18">
        <f t="shared" si="54"/>
        <v>24231.924876072084</v>
      </c>
      <c r="N108" s="18">
        <f t="shared" si="54"/>
        <v>20867.274286619275</v>
      </c>
      <c r="O108" s="18">
        <f t="shared" si="54"/>
        <v>16192.71515205634</v>
      </c>
    </row>
    <row r="109" spans="2:19" outlineLevel="1">
      <c r="B109" s="4" t="s">
        <v>92</v>
      </c>
      <c r="C109" s="4"/>
      <c r="D109" s="4"/>
      <c r="E109" s="10">
        <v>-159711</v>
      </c>
      <c r="F109" s="10">
        <v>-224232</v>
      </c>
      <c r="G109" s="10">
        <v>-429151</v>
      </c>
      <c r="H109" s="10">
        <v>-443579</v>
      </c>
      <c r="I109" s="10">
        <v>-458866</v>
      </c>
      <c r="J109" s="8">
        <v>-479200</v>
      </c>
      <c r="K109" s="18">
        <f>K264</f>
        <v>-493873.74978670693</v>
      </c>
      <c r="L109" s="18">
        <f t="shared" ref="L109:O109" si="55">L264</f>
        <v>-497774.73294533737</v>
      </c>
      <c r="M109" s="18">
        <f t="shared" si="55"/>
        <v>-479638.23165364639</v>
      </c>
      <c r="N109" s="18">
        <f t="shared" si="55"/>
        <v>-455264.16514352267</v>
      </c>
      <c r="O109" s="18">
        <f t="shared" si="55"/>
        <v>-430232.73287116573</v>
      </c>
    </row>
    <row r="110" spans="2:19" ht="15" outlineLevel="1" thickBot="1">
      <c r="B110" s="51" t="s">
        <v>93</v>
      </c>
      <c r="C110" s="51"/>
      <c r="D110" s="4"/>
      <c r="E110" s="52">
        <f>SUM(E106:E109)</f>
        <v>-159431</v>
      </c>
      <c r="F110" s="52">
        <f t="shared" ref="F110:I110" si="56">SUM(F106:F109)</f>
        <v>-223978</v>
      </c>
      <c r="G110" s="52">
        <f t="shared" si="56"/>
        <v>-424953</v>
      </c>
      <c r="H110" s="52">
        <f t="shared" si="56"/>
        <v>-438177</v>
      </c>
      <c r="I110" s="52">
        <f t="shared" si="56"/>
        <v>-441928</v>
      </c>
      <c r="J110" s="52">
        <f t="shared" ref="J110:O110" si="57">SUM(J106:J109)</f>
        <v>-451586</v>
      </c>
      <c r="K110" s="52">
        <f t="shared" si="57"/>
        <v>-465659.29612600291</v>
      </c>
      <c r="L110" s="52">
        <f t="shared" si="57"/>
        <v>-471217.14845236833</v>
      </c>
      <c r="M110" s="52">
        <f t="shared" si="57"/>
        <v>-455176.20418227831</v>
      </c>
      <c r="N110" s="52">
        <f t="shared" si="57"/>
        <v>-434164.02703046385</v>
      </c>
      <c r="O110" s="52">
        <f t="shared" si="57"/>
        <v>-413803.66093527322</v>
      </c>
      <c r="S110" s="43"/>
    </row>
    <row r="111" spans="2:19" ht="15" outlineLevel="1" thickBot="1">
      <c r="B111" s="9" t="s">
        <v>94</v>
      </c>
      <c r="C111" s="9"/>
      <c r="D111" s="4"/>
      <c r="E111" s="11">
        <f>E103+E110</f>
        <v>806043</v>
      </c>
      <c r="F111" s="11">
        <f t="shared" ref="F111:I111" si="58">F103+F110</f>
        <v>800136</v>
      </c>
      <c r="G111" s="11">
        <f t="shared" si="58"/>
        <v>919540</v>
      </c>
      <c r="H111" s="11">
        <f t="shared" si="58"/>
        <v>953936</v>
      </c>
      <c r="I111" s="11">
        <f t="shared" si="58"/>
        <v>950880</v>
      </c>
      <c r="J111" s="11">
        <f t="shared" ref="J111:O111" ca="1" si="59">J103+J110</f>
        <v>860810</v>
      </c>
      <c r="K111" s="11">
        <f t="shared" si="59"/>
        <v>768847.53421674762</v>
      </c>
      <c r="L111" s="11">
        <f t="shared" si="59"/>
        <v>754853.62221964495</v>
      </c>
      <c r="M111" s="11">
        <f t="shared" si="59"/>
        <v>748446.89882615046</v>
      </c>
      <c r="N111" s="11">
        <f t="shared" si="59"/>
        <v>726041.33424848551</v>
      </c>
      <c r="O111" s="11">
        <f t="shared" si="59"/>
        <v>720461.53658812912</v>
      </c>
    </row>
    <row r="112" spans="2:19" outlineLevel="1">
      <c r="B112" s="4"/>
      <c r="C112" s="4"/>
      <c r="D112" s="4"/>
      <c r="F112" s="13"/>
      <c r="G112" s="12"/>
      <c r="H112" s="12"/>
    </row>
    <row r="113" spans="2:16" outlineLevel="1">
      <c r="B113" s="6" t="s">
        <v>25</v>
      </c>
      <c r="C113" s="6"/>
      <c r="D113" s="4"/>
      <c r="E113" s="46">
        <f t="shared" ref="E113:J113" si="60">E85-E111</f>
        <v>0</v>
      </c>
      <c r="F113" s="47">
        <f t="shared" si="60"/>
        <v>0</v>
      </c>
      <c r="G113" s="47">
        <f t="shared" si="60"/>
        <v>0</v>
      </c>
      <c r="H113" s="47">
        <f t="shared" si="60"/>
        <v>0</v>
      </c>
      <c r="I113" s="47">
        <f t="shared" si="60"/>
        <v>0</v>
      </c>
      <c r="J113" s="47">
        <f t="shared" ca="1" si="60"/>
        <v>0</v>
      </c>
      <c r="K113" s="47">
        <f ca="1">IF(K114/K85&lt;0.02%,0,K85-K111)</f>
        <v>0</v>
      </c>
      <c r="L113" s="47">
        <f ca="1">IF(L114/L85&lt;0.02%,0,L85-L111)</f>
        <v>0</v>
      </c>
      <c r="M113" s="47">
        <f ca="1">IF(M114/M85&lt;0.02%,0,M85-M111)</f>
        <v>0</v>
      </c>
      <c r="N113" s="47">
        <f ca="1">IF(N114/N85&lt;0.02%,0,N85-N111)</f>
        <v>0</v>
      </c>
      <c r="O113" s="48">
        <f ca="1">IF(O114/O85&lt;0.02%,0,O85-O111)</f>
        <v>0</v>
      </c>
    </row>
    <row r="114" spans="2:16">
      <c r="B114" s="6"/>
      <c r="C114" s="6"/>
      <c r="D114" s="4"/>
      <c r="E114" s="78"/>
      <c r="F114" s="78"/>
      <c r="G114" s="78"/>
      <c r="H114" s="78"/>
      <c r="I114" s="78"/>
      <c r="J114" s="78"/>
      <c r="K114" s="78">
        <f ca="1">K85-K111</f>
        <v>27.268580047413707</v>
      </c>
      <c r="L114" s="78">
        <f ca="1">L85-L111</f>
        <v>28.432063487358391</v>
      </c>
      <c r="M114" s="78">
        <f ca="1">M85-M111</f>
        <v>33.481425322243012</v>
      </c>
      <c r="N114" s="78">
        <f ca="1">N85-N111</f>
        <v>28.89089033624623</v>
      </c>
      <c r="O114" s="78">
        <f ca="1">O85-O111</f>
        <v>3.2763839910039678</v>
      </c>
    </row>
    <row r="115" spans="2:16">
      <c r="B115" s="2" t="s">
        <v>10</v>
      </c>
      <c r="C115" s="2"/>
      <c r="D115" s="1"/>
      <c r="E115" s="1"/>
      <c r="F115" s="1"/>
      <c r="G115" s="1"/>
      <c r="H115" s="1"/>
      <c r="I115" s="1"/>
      <c r="J115" s="1"/>
      <c r="K115" s="1"/>
      <c r="L115" s="1"/>
      <c r="M115" s="1"/>
      <c r="N115" s="1"/>
      <c r="O115" s="1"/>
    </row>
    <row r="116" spans="2:16" outlineLevel="1"/>
    <row r="117" spans="2:16" ht="15" outlineLevel="1" thickBot="1">
      <c r="B117" s="3" t="s">
        <v>21</v>
      </c>
      <c r="C117" s="3"/>
      <c r="E117" s="15">
        <v>2019</v>
      </c>
      <c r="F117" s="15">
        <v>2020</v>
      </c>
      <c r="G117" s="15">
        <v>2021</v>
      </c>
      <c r="H117" s="15">
        <v>2022</v>
      </c>
      <c r="I117" s="15">
        <v>2023</v>
      </c>
      <c r="J117" s="15">
        <v>2024</v>
      </c>
      <c r="K117" s="68">
        <f>J117+1</f>
        <v>2025</v>
      </c>
      <c r="L117" s="68">
        <f>K117+1</f>
        <v>2026</v>
      </c>
      <c r="M117" s="68">
        <f>L117+1</f>
        <v>2027</v>
      </c>
      <c r="N117" s="68">
        <f>M117+1</f>
        <v>2028</v>
      </c>
      <c r="O117" s="68">
        <f>N117+1</f>
        <v>2029</v>
      </c>
    </row>
    <row r="118" spans="2:16" outlineLevel="1"/>
    <row r="119" spans="2:16" outlineLevel="1">
      <c r="B119" s="6" t="s">
        <v>43</v>
      </c>
      <c r="C119" s="6"/>
    </row>
    <row r="120" spans="2:16" outlineLevel="1">
      <c r="B120" s="4" t="s">
        <v>44</v>
      </c>
      <c r="C120" s="4"/>
      <c r="E120" s="8">
        <v>81845</v>
      </c>
      <c r="F120" s="8">
        <v>139189</v>
      </c>
      <c r="G120" s="8">
        <v>153746</v>
      </c>
      <c r="H120" s="8">
        <v>36610</v>
      </c>
      <c r="I120" s="8">
        <v>-15287</v>
      </c>
      <c r="J120" s="8">
        <f t="shared" ref="J120:O120" si="61">J64</f>
        <v>-20334</v>
      </c>
      <c r="K120" s="27">
        <f t="shared" si="61"/>
        <v>-14673.749786706934</v>
      </c>
      <c r="L120" s="27">
        <f t="shared" si="61"/>
        <v>-3900.9831586304572</v>
      </c>
      <c r="M120" s="27">
        <f t="shared" si="61"/>
        <v>18136.501291690962</v>
      </c>
      <c r="N120" s="27">
        <f t="shared" si="61"/>
        <v>24374.06651012375</v>
      </c>
      <c r="O120" s="27">
        <f t="shared" si="61"/>
        <v>25031.432272356928</v>
      </c>
    </row>
    <row r="121" spans="2:16" outlineLevel="1">
      <c r="B121" s="4" t="s">
        <v>95</v>
      </c>
      <c r="C121" s="4"/>
      <c r="J121" s="8"/>
    </row>
    <row r="122" spans="2:16" outlineLevel="1">
      <c r="B122" s="7" t="s">
        <v>45</v>
      </c>
      <c r="C122" s="7"/>
      <c r="E122" s="8">
        <v>61866</v>
      </c>
      <c r="F122" s="8">
        <v>61563</v>
      </c>
      <c r="G122" s="8">
        <v>60394</v>
      </c>
      <c r="H122" s="8">
        <v>67401</v>
      </c>
      <c r="I122" s="8">
        <v>74043</v>
      </c>
      <c r="J122" s="8">
        <v>66351</v>
      </c>
      <c r="K122" s="27">
        <f>AVERAGE(G122:J122)</f>
        <v>67047.25</v>
      </c>
      <c r="L122" s="27">
        <f t="shared" ref="L122:O122" si="62">AVERAGE(H122:K122)</f>
        <v>68710.5625</v>
      </c>
      <c r="M122" s="27">
        <f t="shared" si="62"/>
        <v>69037.953125</v>
      </c>
      <c r="N122" s="27">
        <f t="shared" si="62"/>
        <v>67786.69140625</v>
      </c>
      <c r="O122" s="27">
        <f t="shared" si="62"/>
        <v>68145.6142578125</v>
      </c>
      <c r="P122" s="27"/>
    </row>
    <row r="123" spans="2:16" outlineLevel="1">
      <c r="B123" s="7" t="s">
        <v>46</v>
      </c>
      <c r="C123" s="7"/>
      <c r="E123" s="8">
        <v>16657</v>
      </c>
      <c r="F123" s="8">
        <v>21813</v>
      </c>
      <c r="G123" s="8">
        <v>23214</v>
      </c>
      <c r="H123" s="8">
        <v>13223</v>
      </c>
      <c r="I123" s="8">
        <v>14855</v>
      </c>
      <c r="J123" s="8">
        <v>11444</v>
      </c>
      <c r="K123" s="27">
        <f>K33*K47</f>
        <v>14535.037439999998</v>
      </c>
      <c r="L123" s="27">
        <f>L33*L47</f>
        <v>14680.387814399999</v>
      </c>
      <c r="M123" s="27">
        <f>M33*M47</f>
        <v>14856.5524681728</v>
      </c>
      <c r="N123" s="27">
        <f>N33*N47</f>
        <v>15079.400755195389</v>
      </c>
      <c r="O123" s="27">
        <f>O33*O47</f>
        <v>15365.909369544102</v>
      </c>
    </row>
    <row r="124" spans="2:16" outlineLevel="1">
      <c r="B124" s="7" t="s">
        <v>47</v>
      </c>
      <c r="C124" s="7"/>
      <c r="E124" s="8">
        <v>-430</v>
      </c>
      <c r="F124" s="8">
        <v>247</v>
      </c>
      <c r="G124" s="8">
        <v>37</v>
      </c>
      <c r="H124" s="8">
        <v>291</v>
      </c>
      <c r="I124" s="8">
        <v>2898</v>
      </c>
      <c r="J124" s="8">
        <v>4315</v>
      </c>
      <c r="K124" s="27">
        <f>K34*K47</f>
        <v>6460.0166399999998</v>
      </c>
      <c r="L124" s="27">
        <f>L34*L47</f>
        <v>4893.4626048</v>
      </c>
      <c r="M124" s="27">
        <f>M34*M47</f>
        <v>1650.7280520192</v>
      </c>
      <c r="N124" s="27">
        <f>N34*N47</f>
        <v>1675.488972799488</v>
      </c>
      <c r="O124" s="27">
        <f>O34*O47</f>
        <v>170.73232632826782</v>
      </c>
    </row>
    <row r="125" spans="2:16" outlineLevel="1">
      <c r="B125" s="7" t="s">
        <v>48</v>
      </c>
      <c r="C125" s="7"/>
      <c r="E125" s="8">
        <v>-1014</v>
      </c>
      <c r="F125" s="8">
        <v>-3566</v>
      </c>
      <c r="G125" s="8">
        <v>446</v>
      </c>
      <c r="H125" s="8">
        <v>-8646</v>
      </c>
      <c r="I125" s="8">
        <v>-12295</v>
      </c>
      <c r="J125" s="8">
        <v>-13322</v>
      </c>
      <c r="K125" s="27">
        <f ca="1">K246</f>
        <v>6062.0397500806976</v>
      </c>
      <c r="L125" s="27">
        <f t="shared" ref="L125:O125" si="63">L246</f>
        <v>28540.587396927316</v>
      </c>
      <c r="M125" s="27">
        <f t="shared" si="63"/>
        <v>-6805.1753290752004</v>
      </c>
      <c r="N125" s="27">
        <f t="shared" si="63"/>
        <v>5459.2052772352818</v>
      </c>
      <c r="O125" s="27">
        <f t="shared" si="63"/>
        <v>-449.9525636453036</v>
      </c>
    </row>
    <row r="126" spans="2:16" outlineLevel="1">
      <c r="B126" s="7"/>
      <c r="C126" s="7"/>
      <c r="E126" s="8"/>
      <c r="F126" s="8"/>
      <c r="G126" s="8"/>
      <c r="H126" s="8"/>
      <c r="I126" s="8"/>
      <c r="J126" s="8"/>
      <c r="K126" s="27"/>
      <c r="L126" s="27"/>
      <c r="M126" s="27"/>
      <c r="N126" s="27"/>
      <c r="O126" s="27"/>
    </row>
    <row r="127" spans="2:16" outlineLevel="1">
      <c r="B127" s="20" t="s">
        <v>11</v>
      </c>
      <c r="C127" s="7"/>
      <c r="J127" s="8"/>
      <c r="K127" s="27"/>
      <c r="L127" s="27"/>
      <c r="M127" s="27"/>
      <c r="N127" s="27"/>
      <c r="O127" s="27"/>
    </row>
    <row r="128" spans="2:16" outlineLevel="1">
      <c r="B128" s="49" t="s">
        <v>12</v>
      </c>
      <c r="C128" s="49"/>
      <c r="E128" s="8">
        <v>4817</v>
      </c>
      <c r="F128" s="8">
        <v>-11893</v>
      </c>
      <c r="G128" s="8">
        <v>6153</v>
      </c>
      <c r="H128" s="8">
        <v>-287</v>
      </c>
      <c r="I128" s="8">
        <v>-854</v>
      </c>
      <c r="J128" s="8">
        <v>9343</v>
      </c>
      <c r="K128" s="27">
        <f>K176</f>
        <v>-182.67572602739529</v>
      </c>
      <c r="L128" s="27">
        <f t="shared" ref="L128:O128" si="64">L176</f>
        <v>-176.98675726027795</v>
      </c>
      <c r="M128" s="27">
        <f t="shared" si="64"/>
        <v>-214.50794979945204</v>
      </c>
      <c r="N128" s="27">
        <f t="shared" si="64"/>
        <v>-271.35255649630199</v>
      </c>
      <c r="O128" s="27">
        <f t="shared" si="64"/>
        <v>-348.86893680208595</v>
      </c>
    </row>
    <row r="129" spans="2:15" outlineLevel="1">
      <c r="B129" s="49" t="s">
        <v>49</v>
      </c>
      <c r="C129" s="49"/>
      <c r="E129" s="8">
        <v>-2183</v>
      </c>
      <c r="F129" s="8">
        <v>5703</v>
      </c>
      <c r="G129" s="8">
        <v>-24282</v>
      </c>
      <c r="H129" s="8">
        <v>-11560</v>
      </c>
      <c r="I129" s="8">
        <v>-1399</v>
      </c>
      <c r="J129" s="8">
        <v>12281</v>
      </c>
      <c r="K129" s="27">
        <f t="shared" ref="K129:O129" si="65">K177</f>
        <v>3375.7155945205595</v>
      </c>
      <c r="L129" s="27">
        <f t="shared" si="65"/>
        <v>2666.7479650191526</v>
      </c>
      <c r="M129" s="27">
        <f t="shared" si="65"/>
        <v>4397.4129708887776</v>
      </c>
      <c r="N129" s="27">
        <f t="shared" si="65"/>
        <v>6137.5425736856414</v>
      </c>
      <c r="O129" s="27">
        <f t="shared" si="65"/>
        <v>-1644.9170370218199</v>
      </c>
    </row>
    <row r="130" spans="2:15" outlineLevel="1">
      <c r="B130" s="49" t="s">
        <v>50</v>
      </c>
      <c r="C130" s="49"/>
      <c r="E130" s="8">
        <v>3066</v>
      </c>
      <c r="F130" s="8">
        <v>1057</v>
      </c>
      <c r="G130" s="8">
        <v>-3066</v>
      </c>
      <c r="H130" s="8">
        <v>1356</v>
      </c>
      <c r="I130" s="8">
        <v>-5969</v>
      </c>
      <c r="J130" s="8">
        <v>3987</v>
      </c>
      <c r="K130" s="27">
        <f>K238</f>
        <v>1234.394102321447</v>
      </c>
      <c r="L130" s="27">
        <f t="shared" ref="L130:O130" si="66">L238</f>
        <v>1279.0457135685119</v>
      </c>
      <c r="M130" s="27">
        <f t="shared" si="66"/>
        <v>1630.423414468316</v>
      </c>
      <c r="N130" s="27">
        <f t="shared" si="66"/>
        <v>2151.1418109934093</v>
      </c>
      <c r="O130" s="27">
        <f t="shared" si="66"/>
        <v>1138.4621558448107</v>
      </c>
    </row>
    <row r="131" spans="2:15" outlineLevel="1">
      <c r="B131" s="49" t="s">
        <v>51</v>
      </c>
      <c r="C131" s="49"/>
      <c r="E131" s="8">
        <v>-13959</v>
      </c>
      <c r="F131" s="8">
        <v>-13717</v>
      </c>
      <c r="G131" s="8">
        <v>-13836</v>
      </c>
      <c r="H131" s="8">
        <v>19379</v>
      </c>
      <c r="I131" s="8">
        <v>-5220</v>
      </c>
      <c r="J131" s="8">
        <v>-10867</v>
      </c>
      <c r="K131" s="27">
        <f>K56*K35</f>
        <v>-12941.030301639246</v>
      </c>
      <c r="L131" s="27">
        <f>L56*L35</f>
        <v>-12065.6476292352</v>
      </c>
      <c r="M131" s="27">
        <f>M56*M35</f>
        <v>-11231.553665938638</v>
      </c>
      <c r="N131" s="27">
        <f>N56*N35</f>
        <v>-10450.024723350405</v>
      </c>
      <c r="O131" s="27">
        <f>O56*O35</f>
        <v>-4840.2614514063926</v>
      </c>
    </row>
    <row r="132" spans="2:15" outlineLevel="1">
      <c r="B132" s="49" t="s">
        <v>2</v>
      </c>
      <c r="C132" s="49"/>
      <c r="E132" s="8">
        <v>10661</v>
      </c>
      <c r="F132" s="8">
        <v>-16755</v>
      </c>
      <c r="G132" s="8">
        <v>54405</v>
      </c>
      <c r="H132" s="8">
        <v>-4743</v>
      </c>
      <c r="I132" s="8">
        <v>-28934</v>
      </c>
      <c r="J132" s="8">
        <v>-15910</v>
      </c>
      <c r="K132" s="27">
        <f>K178</f>
        <v>-586.25854684930528</v>
      </c>
      <c r="L132" s="27">
        <f t="shared" ref="L132:O132" si="67">L178</f>
        <v>6567.0936281424656</v>
      </c>
      <c r="M132" s="27">
        <f t="shared" si="67"/>
        <v>1363.1980209755129</v>
      </c>
      <c r="N132" s="27">
        <f t="shared" si="67"/>
        <v>7370.6138158309186</v>
      </c>
      <c r="O132" s="27">
        <f t="shared" si="67"/>
        <v>2324.3392914438882</v>
      </c>
    </row>
    <row r="133" spans="2:15" outlineLevel="1">
      <c r="B133" s="49" t="s">
        <v>52</v>
      </c>
      <c r="C133" s="49"/>
      <c r="E133" s="8">
        <v>7182</v>
      </c>
      <c r="F133" s="8">
        <v>37769</v>
      </c>
      <c r="G133" s="8">
        <v>57482</v>
      </c>
      <c r="H133" s="8">
        <v>-56318</v>
      </c>
      <c r="I133" s="8">
        <v>-24038</v>
      </c>
      <c r="J133" s="8">
        <v>-2210</v>
      </c>
      <c r="K133" s="27">
        <f>K36*K47</f>
        <v>3230.0083199999999</v>
      </c>
      <c r="L133" s="27">
        <f>L36*L47</f>
        <v>8155.7710080000006</v>
      </c>
      <c r="M133" s="27">
        <f>M36*M47</f>
        <v>11555.096364134401</v>
      </c>
      <c r="N133" s="27">
        <f>N36*N47</f>
        <v>16754.88972799488</v>
      </c>
      <c r="O133" s="27">
        <f>O36*O47</f>
        <v>25609.848949240171</v>
      </c>
    </row>
    <row r="134" spans="2:15" outlineLevel="1">
      <c r="B134" s="49" t="s">
        <v>53</v>
      </c>
      <c r="C134" s="49"/>
      <c r="E134" s="8">
        <v>12920</v>
      </c>
      <c r="F134" s="8">
        <v>36825</v>
      </c>
      <c r="G134" s="8">
        <v>-24790</v>
      </c>
      <c r="H134" s="8">
        <v>-19821</v>
      </c>
      <c r="I134" s="8">
        <v>-2943</v>
      </c>
      <c r="J134" s="8">
        <v>2755</v>
      </c>
      <c r="K134" s="27">
        <f>K37*K56</f>
        <v>7394.8744580795692</v>
      </c>
      <c r="L134" s="27">
        <f>L37*L56</f>
        <v>12065.6476292352</v>
      </c>
      <c r="M134" s="27">
        <f>M37*M56</f>
        <v>15911.367693413071</v>
      </c>
      <c r="N134" s="27">
        <f>N37*N56</f>
        <v>17100.040456391573</v>
      </c>
      <c r="O134" s="27">
        <f>O37*O56</f>
        <v>18392.993515344289</v>
      </c>
    </row>
    <row r="135" spans="2:15" outlineLevel="1">
      <c r="B135" s="49" t="s">
        <v>54</v>
      </c>
      <c r="C135" s="49"/>
      <c r="E135" s="8">
        <v>725</v>
      </c>
      <c r="F135" s="8">
        <v>111</v>
      </c>
      <c r="G135" s="8">
        <v>1814</v>
      </c>
      <c r="H135" s="8">
        <v>179</v>
      </c>
      <c r="I135" s="8">
        <v>-519</v>
      </c>
      <c r="J135" s="8">
        <v>-2502</v>
      </c>
      <c r="K135" s="27">
        <f>K38*K47</f>
        <v>-2907.0074879999997</v>
      </c>
      <c r="L135" s="27">
        <f>L38*L47</f>
        <v>-815.57710080000004</v>
      </c>
      <c r="M135" s="27">
        <f>M38*M47</f>
        <v>330.14561040384001</v>
      </c>
      <c r="N135" s="27">
        <f>N38*N47</f>
        <v>670.19558911979516</v>
      </c>
      <c r="O135" s="27">
        <f>O38*O47</f>
        <v>853.66163164133911</v>
      </c>
    </row>
    <row r="136" spans="2:15" outlineLevel="1">
      <c r="B136" s="49" t="s">
        <v>55</v>
      </c>
      <c r="C136" s="49"/>
      <c r="E136" s="8">
        <v>7007</v>
      </c>
      <c r="F136" s="8">
        <v>21315</v>
      </c>
      <c r="G136" s="8">
        <v>8293</v>
      </c>
      <c r="H136" s="8">
        <v>-926</v>
      </c>
      <c r="I136" s="8">
        <v>-3366</v>
      </c>
      <c r="J136" s="8">
        <v>-18188</v>
      </c>
      <c r="K136" s="27">
        <f>K39*K47</f>
        <v>-17442.044927999999</v>
      </c>
      <c r="L136" s="27">
        <f>L39*L47</f>
        <v>-4077.8855040000003</v>
      </c>
      <c r="M136" s="27">
        <f>M39*M47</f>
        <v>-825.36402600960002</v>
      </c>
      <c r="N136" s="27">
        <f>N39*N47</f>
        <v>2513.2334591992317</v>
      </c>
      <c r="O136" s="27">
        <f>O39*O47</f>
        <v>5121.9697898480345</v>
      </c>
    </row>
    <row r="137" spans="2:15" outlineLevel="1">
      <c r="B137" s="51" t="s">
        <v>56</v>
      </c>
      <c r="C137" s="51"/>
      <c r="E137" s="21">
        <f>SUM(E120:E136)</f>
        <v>189160</v>
      </c>
      <c r="F137" s="21">
        <f t="shared" ref="F137:O137" si="68">SUM(F120:F136)</f>
        <v>279661</v>
      </c>
      <c r="G137" s="21">
        <f t="shared" si="68"/>
        <v>300010</v>
      </c>
      <c r="H137" s="21">
        <f t="shared" si="68"/>
        <v>36138</v>
      </c>
      <c r="I137" s="21">
        <f t="shared" si="68"/>
        <v>-9028</v>
      </c>
      <c r="J137" s="21">
        <f>SUM(J120:J136)</f>
        <v>27143</v>
      </c>
      <c r="K137" s="21">
        <f t="shared" ca="1" si="68"/>
        <v>60606.569527779386</v>
      </c>
      <c r="L137" s="21">
        <f t="shared" si="68"/>
        <v>126522.2261101667</v>
      </c>
      <c r="M137" s="21">
        <f t="shared" si="68"/>
        <v>119792.77804034397</v>
      </c>
      <c r="N137" s="21">
        <f t="shared" si="68"/>
        <v>156351.13307497266</v>
      </c>
      <c r="O137" s="21">
        <f t="shared" si="68"/>
        <v>154870.96357052872</v>
      </c>
    </row>
    <row r="138" spans="2:15" outlineLevel="1">
      <c r="B138" s="19"/>
      <c r="C138" s="19"/>
      <c r="E138" s="8"/>
      <c r="F138" s="8"/>
      <c r="G138" s="8"/>
      <c r="H138" s="8"/>
      <c r="I138" s="8"/>
      <c r="J138" s="8"/>
      <c r="K138" s="27"/>
      <c r="L138" s="27"/>
      <c r="M138" s="27"/>
      <c r="N138" s="27"/>
      <c r="O138" s="27"/>
    </row>
    <row r="139" spans="2:15" outlineLevel="1">
      <c r="B139" s="6" t="s">
        <v>57</v>
      </c>
      <c r="C139" s="6"/>
      <c r="E139" s="8"/>
      <c r="F139" s="8"/>
      <c r="G139" s="8"/>
      <c r="H139" s="8"/>
      <c r="I139" s="8"/>
      <c r="J139" s="8"/>
      <c r="K139" s="27"/>
      <c r="L139" s="27"/>
      <c r="M139" s="27"/>
      <c r="N139" s="27"/>
      <c r="O139" s="27"/>
    </row>
    <row r="140" spans="2:15" outlineLevel="1">
      <c r="B140" s="7" t="s">
        <v>58</v>
      </c>
      <c r="C140" s="7"/>
      <c r="E140" s="8">
        <v>-59239</v>
      </c>
      <c r="F140" s="8">
        <v>-37100</v>
      </c>
      <c r="G140" s="8">
        <v>-66900</v>
      </c>
      <c r="H140" s="8">
        <v>-69454</v>
      </c>
      <c r="I140" s="8">
        <v>-57056</v>
      </c>
      <c r="J140" s="8">
        <v>-23505</v>
      </c>
      <c r="K140" s="27">
        <f>K182</f>
        <v>-22610.058239999998</v>
      </c>
      <c r="L140" s="27">
        <f t="shared" ref="L140:O140" si="69">L182</f>
        <v>-32623.084032000002</v>
      </c>
      <c r="M140" s="27">
        <f t="shared" si="69"/>
        <v>-34665.289092403204</v>
      </c>
      <c r="N140" s="27">
        <f t="shared" si="69"/>
        <v>-46913.691238385662</v>
      </c>
      <c r="O140" s="27">
        <f t="shared" si="69"/>
        <v>-47805.051371914989</v>
      </c>
    </row>
    <row r="141" spans="2:15" outlineLevel="1">
      <c r="B141" s="7" t="s">
        <v>59</v>
      </c>
      <c r="C141" s="7"/>
      <c r="E141" s="8">
        <v>2615</v>
      </c>
      <c r="F141" s="8">
        <v>55</v>
      </c>
      <c r="G141" s="8">
        <v>257</v>
      </c>
      <c r="H141" s="8">
        <v>49</v>
      </c>
      <c r="I141" s="8">
        <v>21</v>
      </c>
      <c r="J141" s="8">
        <v>156</v>
      </c>
      <c r="K141" s="27">
        <f>K183</f>
        <v>63.194952663772639</v>
      </c>
      <c r="L141" s="27">
        <f t="shared" ref="L141:O141" si="70">L183</f>
        <v>63.826902190410372</v>
      </c>
      <c r="M141" s="27">
        <f t="shared" si="70"/>
        <v>66.315300350473834</v>
      </c>
      <c r="N141" s="27">
        <f t="shared" si="70"/>
        <v>67.310029855730946</v>
      </c>
      <c r="O141" s="27">
        <f t="shared" si="70"/>
        <v>68.58892042298983</v>
      </c>
    </row>
    <row r="142" spans="2:15" outlineLevel="1">
      <c r="B142" s="7" t="s">
        <v>97</v>
      </c>
      <c r="C142" s="7"/>
      <c r="E142" s="8">
        <v>0</v>
      </c>
      <c r="F142" s="8">
        <v>0</v>
      </c>
      <c r="G142" s="8">
        <v>0</v>
      </c>
      <c r="H142" s="8">
        <v>0</v>
      </c>
      <c r="I142" s="8">
        <v>-1317</v>
      </c>
      <c r="J142" s="8">
        <v>-2942</v>
      </c>
      <c r="K142" s="27">
        <f>-K40*K47</f>
        <v>-2422.5062399999997</v>
      </c>
      <c r="L142" s="27">
        <f>-L40*L47</f>
        <v>-978.69252095999991</v>
      </c>
      <c r="M142" s="27">
        <f>-M40*M47</f>
        <v>0</v>
      </c>
      <c r="N142" s="27">
        <f>-N40*N47</f>
        <v>0</v>
      </c>
      <c r="O142" s="27">
        <f>-O40*O47</f>
        <v>0</v>
      </c>
    </row>
    <row r="143" spans="2:15" outlineLevel="1">
      <c r="B143" s="7" t="s">
        <v>96</v>
      </c>
      <c r="C143" s="7"/>
      <c r="E143" s="8">
        <v>0</v>
      </c>
      <c r="F143" s="8">
        <v>0</v>
      </c>
      <c r="G143" s="8">
        <v>0</v>
      </c>
      <c r="H143" s="8">
        <v>-1202</v>
      </c>
      <c r="I143" s="8">
        <v>0</v>
      </c>
      <c r="J143" s="8">
        <v>0</v>
      </c>
      <c r="K143" s="27">
        <v>0</v>
      </c>
      <c r="L143" s="27">
        <v>0</v>
      </c>
      <c r="M143" s="27">
        <v>0</v>
      </c>
      <c r="N143" s="27">
        <v>0</v>
      </c>
      <c r="O143" s="27">
        <v>0</v>
      </c>
    </row>
    <row r="144" spans="2:15" outlineLevel="1">
      <c r="B144" s="7" t="s">
        <v>13</v>
      </c>
      <c r="C144" s="7"/>
      <c r="E144" s="8">
        <v>0</v>
      </c>
      <c r="F144" s="8">
        <v>-1973</v>
      </c>
      <c r="G144" s="8">
        <v>0</v>
      </c>
      <c r="H144" s="8">
        <v>0</v>
      </c>
      <c r="I144" s="8">
        <v>0</v>
      </c>
      <c r="J144" s="8">
        <v>0</v>
      </c>
      <c r="K144" s="27">
        <v>0</v>
      </c>
      <c r="L144" s="27">
        <v>0</v>
      </c>
      <c r="M144" s="27">
        <v>0</v>
      </c>
      <c r="N144" s="27">
        <v>0</v>
      </c>
      <c r="O144" s="27">
        <v>0</v>
      </c>
    </row>
    <row r="145" spans="2:15" outlineLevel="1">
      <c r="B145" s="9" t="s">
        <v>60</v>
      </c>
      <c r="C145" s="9"/>
      <c r="E145" s="21">
        <f>SUM(E140:E144)</f>
        <v>-56624</v>
      </c>
      <c r="F145" s="21">
        <f t="shared" ref="F145:O145" si="71">SUM(F140:F144)</f>
        <v>-39018</v>
      </c>
      <c r="G145" s="21">
        <f t="shared" si="71"/>
        <v>-66643</v>
      </c>
      <c r="H145" s="21">
        <f t="shared" si="71"/>
        <v>-70607</v>
      </c>
      <c r="I145" s="21">
        <f t="shared" si="71"/>
        <v>-58352</v>
      </c>
      <c r="J145" s="21">
        <f t="shared" si="71"/>
        <v>-26291</v>
      </c>
      <c r="K145" s="21">
        <f t="shared" si="71"/>
        <v>-24969.369527336225</v>
      </c>
      <c r="L145" s="21">
        <f t="shared" si="71"/>
        <v>-33537.949650769595</v>
      </c>
      <c r="M145" s="21">
        <f t="shared" si="71"/>
        <v>-34598.973792052733</v>
      </c>
      <c r="N145" s="21">
        <f t="shared" si="71"/>
        <v>-46846.381208529929</v>
      </c>
      <c r="O145" s="21">
        <f t="shared" si="71"/>
        <v>-47736.462451492</v>
      </c>
    </row>
    <row r="146" spans="2:15" outlineLevel="1">
      <c r="B146" s="4"/>
      <c r="C146" s="4"/>
    </row>
    <row r="147" spans="2:15" outlineLevel="1">
      <c r="B147" s="6" t="s">
        <v>61</v>
      </c>
      <c r="C147" s="6"/>
    </row>
    <row r="148" spans="2:15" outlineLevel="1">
      <c r="B148" s="4" t="s">
        <v>62</v>
      </c>
      <c r="C148" s="4"/>
      <c r="E148" s="8">
        <v>-165079</v>
      </c>
      <c r="F148" s="8">
        <v>-235644</v>
      </c>
      <c r="G148" s="8">
        <v>-382376</v>
      </c>
      <c r="H148" s="8">
        <v>-64188</v>
      </c>
      <c r="I148" s="8">
        <v>-3747</v>
      </c>
      <c r="J148" s="8">
        <v>-768</v>
      </c>
      <c r="K148" s="27">
        <f>K222</f>
        <v>-3230.0083199999999</v>
      </c>
      <c r="L148" s="27">
        <f t="shared" ref="L148:O148" si="72">L222</f>
        <v>-11418.0794112</v>
      </c>
      <c r="M148" s="27">
        <f t="shared" si="72"/>
        <v>-24760.920780288001</v>
      </c>
      <c r="N148" s="27">
        <f t="shared" si="72"/>
        <v>-36860.757401588729</v>
      </c>
      <c r="O148" s="27">
        <f t="shared" si="72"/>
        <v>-59756.31421489374</v>
      </c>
    </row>
    <row r="149" spans="2:15" outlineLevel="1">
      <c r="B149" s="4" t="s">
        <v>63</v>
      </c>
      <c r="C149" s="4"/>
      <c r="E149" s="8">
        <v>26357</v>
      </c>
      <c r="F149" s="8">
        <v>-11639</v>
      </c>
      <c r="G149" s="8">
        <v>145473</v>
      </c>
      <c r="H149" s="8">
        <v>97647</v>
      </c>
      <c r="I149" s="8">
        <v>73463</v>
      </c>
      <c r="J149" s="8">
        <v>-673</v>
      </c>
      <c r="K149" s="27">
        <f>K209</f>
        <v>-68558.768640000024</v>
      </c>
      <c r="L149" s="27">
        <f t="shared" ref="L149:O149" si="73">L209</f>
        <v>-66990.372556799965</v>
      </c>
      <c r="M149" s="27">
        <f t="shared" si="73"/>
        <v>-72651.608139264048</v>
      </c>
      <c r="N149" s="27">
        <f t="shared" si="73"/>
        <v>-89589.138203212031</v>
      </c>
      <c r="O149" s="27">
        <f t="shared" si="73"/>
        <v>-64589.93235252297</v>
      </c>
    </row>
    <row r="150" spans="2:15" outlineLevel="1">
      <c r="B150" s="4" t="s">
        <v>64</v>
      </c>
      <c r="C150" s="4"/>
      <c r="E150" s="8">
        <v>7190</v>
      </c>
      <c r="F150" s="8">
        <v>9602</v>
      </c>
      <c r="G150" s="8">
        <v>4441</v>
      </c>
      <c r="H150" s="8">
        <v>1131</v>
      </c>
      <c r="I150" s="8">
        <v>428</v>
      </c>
      <c r="J150" s="8">
        <v>0</v>
      </c>
      <c r="K150" s="27">
        <f>K223</f>
        <v>0</v>
      </c>
      <c r="L150" s="27">
        <f t="shared" ref="L150:O150" si="74">L223</f>
        <v>326.23084032000003</v>
      </c>
      <c r="M150" s="27">
        <f t="shared" si="74"/>
        <v>1155.5096364134399</v>
      </c>
      <c r="N150" s="27">
        <f t="shared" si="74"/>
        <v>3350.977945598976</v>
      </c>
      <c r="O150" s="27">
        <f t="shared" si="74"/>
        <v>6829.2930531307129</v>
      </c>
    </row>
    <row r="151" spans="2:15" outlineLevel="1">
      <c r="B151" s="4" t="s">
        <v>65</v>
      </c>
      <c r="C151" s="4"/>
      <c r="E151" s="8">
        <v>-1023</v>
      </c>
      <c r="F151" s="8">
        <v>-312</v>
      </c>
      <c r="G151" s="8">
        <v>-2759</v>
      </c>
      <c r="H151" s="8">
        <v>-718</v>
      </c>
      <c r="I151" s="8">
        <v>-2017</v>
      </c>
      <c r="J151" s="8">
        <v>0</v>
      </c>
      <c r="K151" s="27">
        <f>K41*K47</f>
        <v>-323.000832</v>
      </c>
      <c r="L151" s="27">
        <f>L41*L47</f>
        <v>-489.34626047999996</v>
      </c>
      <c r="M151" s="27">
        <f>M41*M47</f>
        <v>-1815.8008572211202</v>
      </c>
      <c r="N151" s="27">
        <f>N41*N47</f>
        <v>-2010.5867673593852</v>
      </c>
      <c r="O151" s="27">
        <f>O41*O47</f>
        <v>-2219.5202422674815</v>
      </c>
    </row>
    <row r="152" spans="2:15" outlineLevel="1">
      <c r="B152" s="9" t="s">
        <v>66</v>
      </c>
      <c r="C152" s="4"/>
      <c r="E152" s="21">
        <f>SUM(E148:E151)</f>
        <v>-132555</v>
      </c>
      <c r="F152" s="21">
        <f>SUM(F148:F151)</f>
        <v>-237993</v>
      </c>
      <c r="G152" s="21">
        <f>SUM(G148:G151)</f>
        <v>-235221</v>
      </c>
      <c r="H152" s="21">
        <f>SUM(H148:H151)</f>
        <v>33872</v>
      </c>
      <c r="I152" s="21">
        <f>SUM(I148:I151)</f>
        <v>68127</v>
      </c>
      <c r="J152" s="21">
        <f t="shared" ref="J152:O152" si="75">SUM(J148:J151)</f>
        <v>-1441</v>
      </c>
      <c r="K152" s="21">
        <f t="shared" si="75"/>
        <v>-72111.777792000023</v>
      </c>
      <c r="L152" s="21">
        <f t="shared" si="75"/>
        <v>-78571.567388159965</v>
      </c>
      <c r="M152" s="21">
        <f t="shared" si="75"/>
        <v>-98072.820140359734</v>
      </c>
      <c r="N152" s="21">
        <f t="shared" si="75"/>
        <v>-125109.50442656117</v>
      </c>
      <c r="O152" s="21">
        <f t="shared" si="75"/>
        <v>-119736.47375655347</v>
      </c>
    </row>
    <row r="153" spans="2:15" outlineLevel="1">
      <c r="B153" s="4"/>
      <c r="C153" s="4"/>
      <c r="E153" s="8"/>
      <c r="F153" s="8"/>
      <c r="G153" s="8"/>
      <c r="H153" s="8"/>
      <c r="I153" s="8"/>
      <c r="J153" s="8"/>
      <c r="K153" s="27"/>
      <c r="L153" s="27"/>
      <c r="M153" s="27"/>
      <c r="N153" s="27"/>
      <c r="O153" s="27"/>
    </row>
    <row r="154" spans="2:15" outlineLevel="1">
      <c r="B154" s="4" t="s">
        <v>68</v>
      </c>
      <c r="C154" s="4"/>
      <c r="E154" s="41">
        <v>1612</v>
      </c>
      <c r="F154" s="27">
        <f>E156</f>
        <v>1593</v>
      </c>
      <c r="G154" s="27">
        <f t="shared" ref="G154:I154" si="76">F156</f>
        <v>4243</v>
      </c>
      <c r="H154" s="27">
        <f t="shared" si="76"/>
        <v>2389</v>
      </c>
      <c r="I154" s="27">
        <f t="shared" si="76"/>
        <v>1792</v>
      </c>
      <c r="J154" s="27">
        <f t="shared" ref="J154" si="77">I156</f>
        <v>2539</v>
      </c>
      <c r="K154" s="27">
        <f t="shared" ref="K154" si="78">J156</f>
        <v>1950</v>
      </c>
      <c r="L154" s="27">
        <f t="shared" ref="L154" ca="1" si="79">K156</f>
        <v>-34524.577791556861</v>
      </c>
      <c r="M154" s="27">
        <f t="shared" ref="M154" ca="1" si="80">L156</f>
        <v>-20111.868720319719</v>
      </c>
      <c r="N154" s="27">
        <f t="shared" ref="N154" ca="1" si="81">M156</f>
        <v>-32990.88461238821</v>
      </c>
      <c r="O154" s="27">
        <f t="shared" ref="O154" ca="1" si="82">N156</f>
        <v>-48595.637172506642</v>
      </c>
    </row>
    <row r="155" spans="2:15" ht="15" outlineLevel="1" thickBot="1">
      <c r="B155" s="4" t="s">
        <v>67</v>
      </c>
      <c r="C155" s="4"/>
      <c r="E155" s="27">
        <f t="shared" ref="E155:J155" si="83">E137+E145+E152</f>
        <v>-19</v>
      </c>
      <c r="F155" s="27">
        <f t="shared" si="83"/>
        <v>2650</v>
      </c>
      <c r="G155" s="27">
        <f t="shared" si="83"/>
        <v>-1854</v>
      </c>
      <c r="H155" s="27">
        <f t="shared" si="83"/>
        <v>-597</v>
      </c>
      <c r="I155" s="27">
        <f t="shared" si="83"/>
        <v>747</v>
      </c>
      <c r="J155" s="27">
        <f t="shared" si="83"/>
        <v>-589</v>
      </c>
      <c r="K155" s="27">
        <f t="shared" ref="K155:O155" ca="1" si="84">K137+K145+K152</f>
        <v>-36474.577791556861</v>
      </c>
      <c r="L155" s="27">
        <f t="shared" si="84"/>
        <v>14412.709071237143</v>
      </c>
      <c r="M155" s="27">
        <f t="shared" si="84"/>
        <v>-12879.015892068492</v>
      </c>
      <c r="N155" s="27">
        <f t="shared" si="84"/>
        <v>-15604.752560118432</v>
      </c>
      <c r="O155" s="27">
        <f t="shared" si="84"/>
        <v>-12601.972637516752</v>
      </c>
    </row>
    <row r="156" spans="2:15" ht="15" outlineLevel="1" thickBot="1">
      <c r="B156" s="4" t="s">
        <v>69</v>
      </c>
      <c r="C156" s="4"/>
      <c r="E156" s="11">
        <f>SUM(E154:E155)</f>
        <v>1593</v>
      </c>
      <c r="F156" s="11">
        <f t="shared" ref="F156:I156" si="85">SUM(F154:F155)</f>
        <v>4243</v>
      </c>
      <c r="G156" s="11">
        <f t="shared" si="85"/>
        <v>2389</v>
      </c>
      <c r="H156" s="11">
        <f t="shared" si="85"/>
        <v>1792</v>
      </c>
      <c r="I156" s="11">
        <f t="shared" si="85"/>
        <v>2539</v>
      </c>
      <c r="J156" s="11">
        <f t="shared" ref="J156:O156" si="86">SUM(J154:J155)</f>
        <v>1950</v>
      </c>
      <c r="K156" s="11">
        <f t="shared" ca="1" si="86"/>
        <v>-34524.577791556861</v>
      </c>
      <c r="L156" s="11">
        <f t="shared" ca="1" si="86"/>
        <v>-20111.868720319719</v>
      </c>
      <c r="M156" s="11">
        <f t="shared" ca="1" si="86"/>
        <v>-32990.88461238821</v>
      </c>
      <c r="N156" s="11">
        <f t="shared" ca="1" si="86"/>
        <v>-48595.637172506642</v>
      </c>
      <c r="O156" s="11">
        <f t="shared" ca="1" si="86"/>
        <v>-61197.609810023394</v>
      </c>
    </row>
    <row r="158" spans="2:15">
      <c r="B158" s="2" t="s">
        <v>26</v>
      </c>
      <c r="C158" s="2"/>
      <c r="D158" s="1"/>
      <c r="E158" s="1"/>
      <c r="F158" s="1"/>
      <c r="G158" s="1"/>
      <c r="H158" s="1"/>
      <c r="I158" s="1"/>
      <c r="J158" s="1"/>
      <c r="K158" s="1"/>
      <c r="L158" s="1"/>
      <c r="M158" s="1"/>
      <c r="N158" s="1"/>
      <c r="O158" s="1"/>
    </row>
    <row r="159" spans="2:15" outlineLevel="1"/>
    <row r="160" spans="2:15" ht="15" outlineLevel="1" thickBot="1">
      <c r="B160" s="3" t="s">
        <v>21</v>
      </c>
      <c r="C160" s="3"/>
      <c r="E160" s="15">
        <v>2019</v>
      </c>
      <c r="F160" s="15">
        <v>2020</v>
      </c>
      <c r="G160" s="15">
        <v>2021</v>
      </c>
      <c r="H160" s="15">
        <v>2022</v>
      </c>
      <c r="I160" s="15">
        <v>2023</v>
      </c>
      <c r="J160" s="15">
        <v>2024</v>
      </c>
      <c r="K160" s="68">
        <f>J160+1</f>
        <v>2025</v>
      </c>
      <c r="L160" s="68">
        <f>K160+1</f>
        <v>2026</v>
      </c>
      <c r="M160" s="68">
        <f>L160+1</f>
        <v>2027</v>
      </c>
      <c r="N160" s="68">
        <f>M160+1</f>
        <v>2028</v>
      </c>
      <c r="O160" s="68">
        <f>N160+1</f>
        <v>2029</v>
      </c>
    </row>
    <row r="161" spans="2:16" outlineLevel="1"/>
    <row r="162" spans="2:16" outlineLevel="1">
      <c r="B162" s="16" t="s">
        <v>24</v>
      </c>
      <c r="E162" s="31">
        <f t="shared" ref="E162:O162" si="87">E7</f>
        <v>365</v>
      </c>
      <c r="F162" s="32">
        <f t="shared" si="87"/>
        <v>365</v>
      </c>
      <c r="G162" s="32">
        <f t="shared" si="87"/>
        <v>365</v>
      </c>
      <c r="H162" s="32">
        <f t="shared" si="87"/>
        <v>365</v>
      </c>
      <c r="I162" s="32">
        <f t="shared" si="87"/>
        <v>365</v>
      </c>
      <c r="J162" s="32">
        <f t="shared" si="87"/>
        <v>365</v>
      </c>
      <c r="K162" s="32">
        <f t="shared" si="87"/>
        <v>365</v>
      </c>
      <c r="L162" s="32">
        <f t="shared" si="87"/>
        <v>365</v>
      </c>
      <c r="M162" s="32">
        <f t="shared" si="87"/>
        <v>365</v>
      </c>
      <c r="N162" s="32">
        <f t="shared" si="87"/>
        <v>365</v>
      </c>
      <c r="O162" s="33">
        <f t="shared" si="87"/>
        <v>365</v>
      </c>
    </row>
    <row r="163" spans="2:16" outlineLevel="1">
      <c r="B163" s="16" t="s">
        <v>27</v>
      </c>
      <c r="E163" s="34">
        <f t="shared" ref="E163:O163" si="88">E47</f>
        <v>1698352</v>
      </c>
      <c r="F163" s="30">
        <f t="shared" si="88"/>
        <v>1856555</v>
      </c>
      <c r="G163" s="30">
        <f t="shared" si="88"/>
        <v>2184949</v>
      </c>
      <c r="H163" s="30">
        <f t="shared" si="88"/>
        <v>2114297</v>
      </c>
      <c r="I163" s="30">
        <f t="shared" si="88"/>
        <v>1887482</v>
      </c>
      <c r="J163" s="30">
        <f t="shared" si="88"/>
        <v>1682296</v>
      </c>
      <c r="K163" s="30">
        <f t="shared" si="88"/>
        <v>1615004.16</v>
      </c>
      <c r="L163" s="30">
        <f t="shared" si="88"/>
        <v>1631154.2016</v>
      </c>
      <c r="M163" s="30">
        <f t="shared" si="88"/>
        <v>1650728.0520192001</v>
      </c>
      <c r="N163" s="30">
        <f t="shared" si="88"/>
        <v>1675488.9727994879</v>
      </c>
      <c r="O163" s="35">
        <f t="shared" si="88"/>
        <v>1707323.2632826781</v>
      </c>
    </row>
    <row r="164" spans="2:16" outlineLevel="1">
      <c r="B164" s="16" t="s">
        <v>28</v>
      </c>
      <c r="E164" s="36">
        <f t="shared" ref="E164:O164" si="89">E48</f>
        <v>646429</v>
      </c>
      <c r="F164" s="37">
        <f t="shared" si="89"/>
        <v>700555</v>
      </c>
      <c r="G164" s="37">
        <f t="shared" si="89"/>
        <v>866102</v>
      </c>
      <c r="H164" s="37">
        <f t="shared" si="89"/>
        <v>912001</v>
      </c>
      <c r="I164" s="37">
        <f t="shared" si="89"/>
        <v>798952</v>
      </c>
      <c r="J164" s="37">
        <f t="shared" si="89"/>
        <v>679523</v>
      </c>
      <c r="K164" s="37">
        <f t="shared" si="89"/>
        <v>662151.70559999999</v>
      </c>
      <c r="L164" s="37">
        <f t="shared" si="89"/>
        <v>668773.22265600006</v>
      </c>
      <c r="M164" s="37">
        <f t="shared" si="89"/>
        <v>676798.50132787204</v>
      </c>
      <c r="N164" s="37">
        <f t="shared" si="89"/>
        <v>686950.47884779004</v>
      </c>
      <c r="O164" s="38">
        <f t="shared" si="89"/>
        <v>700002.53794589802</v>
      </c>
    </row>
    <row r="165" spans="2:16" outlineLevel="1">
      <c r="B165" s="16"/>
    </row>
    <row r="166" spans="2:16" outlineLevel="1">
      <c r="B166" s="16" t="s">
        <v>22</v>
      </c>
      <c r="E166" s="54">
        <f t="shared" ref="E166:J166" si="90">(E73*E162)/E163</f>
        <v>4.2935563416771085</v>
      </c>
      <c r="F166" s="54">
        <f t="shared" si="90"/>
        <v>6.2658606935964727</v>
      </c>
      <c r="G166" s="54">
        <f t="shared" si="90"/>
        <v>4.2962421548512113</v>
      </c>
      <c r="H166" s="54">
        <f t="shared" si="90"/>
        <v>4.489352725752342</v>
      </c>
      <c r="I166" s="54">
        <f t="shared" si="90"/>
        <v>5.1939753597650204</v>
      </c>
      <c r="J166" s="54">
        <f t="shared" si="90"/>
        <v>3.8003656906989018</v>
      </c>
      <c r="K166" s="207">
        <v>4</v>
      </c>
      <c r="L166" s="207">
        <v>4</v>
      </c>
      <c r="M166" s="207">
        <v>4</v>
      </c>
      <c r="N166" s="207">
        <v>4</v>
      </c>
      <c r="O166" s="207">
        <v>4</v>
      </c>
    </row>
    <row r="167" spans="2:16" outlineLevel="1">
      <c r="B167" s="16" t="s">
        <v>103</v>
      </c>
      <c r="E167" s="54">
        <f t="shared" ref="E167:J167" si="91">(E74*E162)/E164</f>
        <v>49.160425970988307</v>
      </c>
      <c r="F167" s="54">
        <f t="shared" si="91"/>
        <v>42.39086153121454</v>
      </c>
      <c r="G167" s="54">
        <f t="shared" si="91"/>
        <v>44.521384317320596</v>
      </c>
      <c r="H167" s="54">
        <f t="shared" si="91"/>
        <v>45.638557413862486</v>
      </c>
      <c r="I167" s="54">
        <f t="shared" si="91"/>
        <v>52.73538961038961</v>
      </c>
      <c r="J167" s="54">
        <f t="shared" si="91"/>
        <v>55.407219476014795</v>
      </c>
      <c r="K167" s="207">
        <v>55</v>
      </c>
      <c r="L167" s="207">
        <v>53</v>
      </c>
      <c r="M167" s="207">
        <v>50</v>
      </c>
      <c r="N167" s="207">
        <v>46</v>
      </c>
      <c r="O167" s="207">
        <v>46</v>
      </c>
    </row>
    <row r="168" spans="2:16" outlineLevel="1">
      <c r="B168" s="16" t="s">
        <v>23</v>
      </c>
      <c r="E168" s="54">
        <f t="shared" ref="E168:J168" si="92">(E90*E162)/E164</f>
        <v>75.997224753221161</v>
      </c>
      <c r="F168" s="54">
        <f t="shared" si="92"/>
        <v>47.88340672752318</v>
      </c>
      <c r="G168" s="54">
        <f t="shared" si="92"/>
        <v>68.501925870163092</v>
      </c>
      <c r="H168" s="54">
        <f t="shared" si="92"/>
        <v>70.521364559907283</v>
      </c>
      <c r="I168" s="54">
        <f t="shared" si="92"/>
        <v>62.086164125003755</v>
      </c>
      <c r="J168" s="54">
        <f t="shared" si="92"/>
        <v>57.806630533477161</v>
      </c>
      <c r="K168" s="207">
        <v>59</v>
      </c>
      <c r="L168" s="207">
        <v>62</v>
      </c>
      <c r="M168" s="207">
        <v>62</v>
      </c>
      <c r="N168" s="207">
        <v>65</v>
      </c>
      <c r="O168" s="207">
        <v>65</v>
      </c>
    </row>
    <row r="169" spans="2:16" outlineLevel="1"/>
    <row r="170" spans="2:16" outlineLevel="1">
      <c r="B170" s="20" t="s">
        <v>29</v>
      </c>
    </row>
    <row r="171" spans="2:16" outlineLevel="1">
      <c r="B171" s="7" t="s">
        <v>105</v>
      </c>
      <c r="E171" s="30">
        <f t="shared" ref="E171:J172" si="93">E73</f>
        <v>19978</v>
      </c>
      <c r="F171" s="30">
        <f t="shared" si="93"/>
        <v>31871</v>
      </c>
      <c r="G171" s="30">
        <f t="shared" si="93"/>
        <v>25718</v>
      </c>
      <c r="H171" s="30">
        <f t="shared" si="93"/>
        <v>26005</v>
      </c>
      <c r="I171" s="30">
        <f t="shared" si="93"/>
        <v>26859</v>
      </c>
      <c r="J171" s="30">
        <f t="shared" si="93"/>
        <v>17516</v>
      </c>
      <c r="K171" s="208">
        <f>(K166*K163)/K162</f>
        <v>17698.675726027395</v>
      </c>
      <c r="L171" s="208">
        <f>(L166*L163)/L162</f>
        <v>17875.662483287673</v>
      </c>
      <c r="M171" s="208">
        <f>(M166*M163)/M162</f>
        <v>18090.170433087125</v>
      </c>
      <c r="N171" s="208">
        <f>(N166*N163)/N162</f>
        <v>18361.522989583427</v>
      </c>
      <c r="O171" s="208">
        <f>(O166*O163)/O162</f>
        <v>18710.391926385513</v>
      </c>
    </row>
    <row r="172" spans="2:16" outlineLevel="1">
      <c r="B172" s="7" t="s">
        <v>106</v>
      </c>
      <c r="E172" s="30">
        <f t="shared" si="93"/>
        <v>87065</v>
      </c>
      <c r="F172" s="30">
        <f t="shared" si="93"/>
        <v>81362</v>
      </c>
      <c r="G172" s="30">
        <f t="shared" si="93"/>
        <v>105644</v>
      </c>
      <c r="H172" s="30">
        <f t="shared" si="93"/>
        <v>114034</v>
      </c>
      <c r="I172" s="30">
        <f t="shared" si="93"/>
        <v>115433</v>
      </c>
      <c r="J172" s="30">
        <f t="shared" si="93"/>
        <v>103152</v>
      </c>
      <c r="K172" s="208">
        <f t="shared" ref="K172:O172" si="94">(K167*K$164)/K$162</f>
        <v>99776.28440547944</v>
      </c>
      <c r="L172" s="208">
        <f t="shared" si="94"/>
        <v>97109.536440460288</v>
      </c>
      <c r="M172" s="208">
        <f t="shared" si="94"/>
        <v>92712.12346957151</v>
      </c>
      <c r="N172" s="208">
        <f t="shared" si="94"/>
        <v>86574.580895885869</v>
      </c>
      <c r="O172" s="208">
        <f t="shared" si="94"/>
        <v>88219.497932907689</v>
      </c>
    </row>
    <row r="173" spans="2:16" outlineLevel="1">
      <c r="B173" s="7" t="s">
        <v>32</v>
      </c>
      <c r="E173" s="30">
        <f t="shared" ref="E173:J173" si="95">E90</f>
        <v>134594</v>
      </c>
      <c r="F173" s="30">
        <f t="shared" si="95"/>
        <v>91904</v>
      </c>
      <c r="G173" s="30">
        <f t="shared" si="95"/>
        <v>162547</v>
      </c>
      <c r="H173" s="30">
        <f t="shared" si="95"/>
        <v>176207</v>
      </c>
      <c r="I173" s="30">
        <f t="shared" si="95"/>
        <v>135901</v>
      </c>
      <c r="J173" s="30">
        <f t="shared" si="95"/>
        <v>107619</v>
      </c>
      <c r="K173" s="208">
        <f t="shared" ref="K173:O173" si="96">(K168*K$164)/K$162</f>
        <v>107032.74145315069</v>
      </c>
      <c r="L173" s="208">
        <f t="shared" si="96"/>
        <v>113599.83508129316</v>
      </c>
      <c r="M173" s="208">
        <f t="shared" si="96"/>
        <v>114963.03310226867</v>
      </c>
      <c r="N173" s="208">
        <f t="shared" si="96"/>
        <v>122333.64691809959</v>
      </c>
      <c r="O173" s="208">
        <f t="shared" si="96"/>
        <v>124657.98620954348</v>
      </c>
    </row>
    <row r="174" spans="2:16" outlineLevel="1"/>
    <row r="175" spans="2:16" outlineLevel="1">
      <c r="B175" s="20" t="s">
        <v>104</v>
      </c>
    </row>
    <row r="176" spans="2:16" outlineLevel="1">
      <c r="B176" s="7" t="s">
        <v>105</v>
      </c>
      <c r="E176" s="30">
        <f t="shared" ref="E176:J177" si="97">E128</f>
        <v>4817</v>
      </c>
      <c r="F176" s="30">
        <f t="shared" si="97"/>
        <v>-11893</v>
      </c>
      <c r="G176" s="30">
        <f t="shared" si="97"/>
        <v>6153</v>
      </c>
      <c r="H176" s="30">
        <f t="shared" si="97"/>
        <v>-287</v>
      </c>
      <c r="I176" s="30">
        <f t="shared" si="97"/>
        <v>-854</v>
      </c>
      <c r="J176" s="30">
        <f t="shared" si="97"/>
        <v>9343</v>
      </c>
      <c r="K176" s="13">
        <f t="shared" ref="K176:O177" si="98">J171-K171</f>
        <v>-182.67572602739529</v>
      </c>
      <c r="L176" s="13">
        <f t="shared" si="98"/>
        <v>-176.98675726027795</v>
      </c>
      <c r="M176" s="13">
        <f t="shared" si="98"/>
        <v>-214.50794979945204</v>
      </c>
      <c r="N176" s="13">
        <f t="shared" si="98"/>
        <v>-271.35255649630199</v>
      </c>
      <c r="O176" s="13">
        <f t="shared" si="98"/>
        <v>-348.86893680208595</v>
      </c>
      <c r="P176" s="43"/>
    </row>
    <row r="177" spans="2:15" outlineLevel="1">
      <c r="B177" s="7" t="s">
        <v>106</v>
      </c>
      <c r="E177" s="30">
        <f t="shared" si="97"/>
        <v>-2183</v>
      </c>
      <c r="F177" s="30">
        <f t="shared" si="97"/>
        <v>5703</v>
      </c>
      <c r="G177" s="30">
        <f t="shared" si="97"/>
        <v>-24282</v>
      </c>
      <c r="H177" s="30">
        <f t="shared" si="97"/>
        <v>-11560</v>
      </c>
      <c r="I177" s="30">
        <f t="shared" si="97"/>
        <v>-1399</v>
      </c>
      <c r="J177" s="30">
        <f t="shared" si="97"/>
        <v>12281</v>
      </c>
      <c r="K177" s="13">
        <f t="shared" si="98"/>
        <v>3375.7155945205595</v>
      </c>
      <c r="L177" s="13">
        <f t="shared" si="98"/>
        <v>2666.7479650191526</v>
      </c>
      <c r="M177" s="13">
        <f t="shared" si="98"/>
        <v>4397.4129708887776</v>
      </c>
      <c r="N177" s="13">
        <f t="shared" si="98"/>
        <v>6137.5425736856414</v>
      </c>
      <c r="O177" s="13">
        <f t="shared" si="98"/>
        <v>-1644.9170370218199</v>
      </c>
    </row>
    <row r="178" spans="2:15" outlineLevel="1">
      <c r="B178" s="7" t="s">
        <v>32</v>
      </c>
      <c r="E178" s="30">
        <f t="shared" ref="E178:J178" si="99">E132</f>
        <v>10661</v>
      </c>
      <c r="F178" s="30">
        <f t="shared" si="99"/>
        <v>-16755</v>
      </c>
      <c r="G178" s="30">
        <f t="shared" si="99"/>
        <v>54405</v>
      </c>
      <c r="H178" s="30">
        <f t="shared" si="99"/>
        <v>-4743</v>
      </c>
      <c r="I178" s="30">
        <f t="shared" si="99"/>
        <v>-28934</v>
      </c>
      <c r="J178" s="30">
        <f t="shared" si="99"/>
        <v>-15910</v>
      </c>
      <c r="K178" s="13">
        <f>K173-J173</f>
        <v>-586.25854684930528</v>
      </c>
      <c r="L178" s="13">
        <f>L173-K173</f>
        <v>6567.0936281424656</v>
      </c>
      <c r="M178" s="13">
        <f>M173-L173</f>
        <v>1363.1980209755129</v>
      </c>
      <c r="N178" s="13">
        <f>N173-M173</f>
        <v>7370.6138158309186</v>
      </c>
      <c r="O178" s="13">
        <f>O173-N173</f>
        <v>2324.3392914438882</v>
      </c>
    </row>
    <row r="179" spans="2:15" outlineLevel="1">
      <c r="B179" s="7"/>
      <c r="F179" s="43"/>
      <c r="G179" s="43"/>
      <c r="H179" s="43"/>
      <c r="I179" s="43"/>
    </row>
    <row r="180" spans="2:15" outlineLevel="1">
      <c r="B180" s="20" t="s">
        <v>30</v>
      </c>
      <c r="F180" s="43"/>
      <c r="G180" s="43"/>
      <c r="H180" s="43"/>
      <c r="I180" s="43"/>
    </row>
    <row r="181" spans="2:15" outlineLevel="1">
      <c r="B181" s="7" t="s">
        <v>124</v>
      </c>
      <c r="E181" s="30">
        <f t="shared" ref="E181:J181" si="100">E80</f>
        <v>197421</v>
      </c>
      <c r="F181" s="30">
        <f t="shared" si="100"/>
        <v>175223</v>
      </c>
      <c r="G181" s="30">
        <f t="shared" si="100"/>
        <v>195128</v>
      </c>
      <c r="H181" s="30">
        <f t="shared" si="100"/>
        <v>200605</v>
      </c>
      <c r="I181" s="30">
        <f t="shared" si="100"/>
        <v>179503</v>
      </c>
      <c r="J181" s="30">
        <f t="shared" si="100"/>
        <v>129574</v>
      </c>
      <c r="K181" s="13">
        <f>K185*K47</f>
        <v>121125.31199999999</v>
      </c>
      <c r="L181" s="13">
        <f>L185*L47</f>
        <v>122336.56512</v>
      </c>
      <c r="M181" s="13">
        <f>M185*M47</f>
        <v>127106.0600054784</v>
      </c>
      <c r="N181" s="13">
        <f>N185*N47</f>
        <v>129012.65090556057</v>
      </c>
      <c r="O181" s="13">
        <f>O185*O47</f>
        <v>131463.89127276622</v>
      </c>
    </row>
    <row r="182" spans="2:15" outlineLevel="1">
      <c r="B182" s="7" t="s">
        <v>33</v>
      </c>
      <c r="E182" s="30">
        <f t="shared" ref="E182:J183" si="101">E140</f>
        <v>-59239</v>
      </c>
      <c r="F182" s="30">
        <f t="shared" si="101"/>
        <v>-37100</v>
      </c>
      <c r="G182" s="30">
        <f t="shared" si="101"/>
        <v>-66900</v>
      </c>
      <c r="H182" s="30">
        <f t="shared" si="101"/>
        <v>-69454</v>
      </c>
      <c r="I182" s="30">
        <f t="shared" si="101"/>
        <v>-57056</v>
      </c>
      <c r="J182" s="30">
        <f t="shared" si="101"/>
        <v>-23505</v>
      </c>
      <c r="K182" s="13">
        <f>K186*K47</f>
        <v>-22610.058239999998</v>
      </c>
      <c r="L182" s="13">
        <f>L186*L47</f>
        <v>-32623.084032000002</v>
      </c>
      <c r="M182" s="13">
        <f>M186*M47</f>
        <v>-34665.289092403204</v>
      </c>
      <c r="N182" s="13">
        <f>N186*N47</f>
        <v>-46913.691238385662</v>
      </c>
      <c r="O182" s="13">
        <f>O186*O47</f>
        <v>-47805.051371914989</v>
      </c>
    </row>
    <row r="183" spans="2:15" outlineLevel="1">
      <c r="B183" s="7" t="s">
        <v>147</v>
      </c>
      <c r="E183" s="30">
        <f t="shared" si="101"/>
        <v>2615</v>
      </c>
      <c r="F183" s="30">
        <f t="shared" si="101"/>
        <v>55</v>
      </c>
      <c r="G183" s="30">
        <f t="shared" si="101"/>
        <v>257</v>
      </c>
      <c r="H183" s="30">
        <f t="shared" si="101"/>
        <v>49</v>
      </c>
      <c r="I183" s="30">
        <f t="shared" si="101"/>
        <v>21</v>
      </c>
      <c r="J183" s="30">
        <f t="shared" si="101"/>
        <v>156</v>
      </c>
      <c r="K183" s="13">
        <f>K187*K181</f>
        <v>63.194952663772639</v>
      </c>
      <c r="L183" s="13">
        <f t="shared" ref="L183:O183" si="102">L187*L181</f>
        <v>63.826902190410372</v>
      </c>
      <c r="M183" s="13">
        <f t="shared" si="102"/>
        <v>66.315300350473834</v>
      </c>
      <c r="N183" s="13">
        <f t="shared" si="102"/>
        <v>67.310029855730946</v>
      </c>
      <c r="O183" s="13">
        <f t="shared" si="102"/>
        <v>68.58892042298983</v>
      </c>
    </row>
    <row r="184" spans="2:15" outlineLevel="1">
      <c r="B184" s="7"/>
    </row>
    <row r="185" spans="2:15" outlineLevel="1">
      <c r="B185" s="7" t="s">
        <v>125</v>
      </c>
      <c r="E185" s="65">
        <f t="shared" ref="E185:J185" si="103">E80/E47</f>
        <v>0.11624268702836632</v>
      </c>
      <c r="F185" s="65">
        <f t="shared" si="103"/>
        <v>9.4380721282159699E-2</v>
      </c>
      <c r="G185" s="65">
        <f t="shared" si="103"/>
        <v>8.9305516970876672E-2</v>
      </c>
      <c r="H185" s="65">
        <f t="shared" si="103"/>
        <v>9.488023678792526E-2</v>
      </c>
      <c r="I185" s="65">
        <f t="shared" si="103"/>
        <v>9.5101834083715767E-2</v>
      </c>
      <c r="J185" s="65">
        <f t="shared" si="103"/>
        <v>7.7022117391945297E-2</v>
      </c>
      <c r="K185" s="66">
        <v>7.4999999999999997E-2</v>
      </c>
      <c r="L185" s="66">
        <v>7.4999999999999997E-2</v>
      </c>
      <c r="M185" s="66">
        <v>7.6999999999999999E-2</v>
      </c>
      <c r="N185" s="66">
        <v>7.6999999999999999E-2</v>
      </c>
      <c r="O185" s="66">
        <v>7.6999999999999999E-2</v>
      </c>
    </row>
    <row r="186" spans="2:15" outlineLevel="1">
      <c r="B186" s="7" t="s">
        <v>146</v>
      </c>
      <c r="E186" s="65">
        <f t="shared" ref="E186:J186" si="104">E140/E47</f>
        <v>-3.4880283945848682E-2</v>
      </c>
      <c r="F186" s="65">
        <f t="shared" si="104"/>
        <v>-1.9983248543673632E-2</v>
      </c>
      <c r="G186" s="65">
        <f t="shared" si="104"/>
        <v>-3.0618563636954456E-2</v>
      </c>
      <c r="H186" s="65">
        <f t="shared" si="104"/>
        <v>-3.2849689518549191E-2</v>
      </c>
      <c r="I186" s="65">
        <f t="shared" si="104"/>
        <v>-3.0228632643913955E-2</v>
      </c>
      <c r="J186" s="65">
        <f t="shared" si="104"/>
        <v>-1.3971976394166068E-2</v>
      </c>
      <c r="K186" s="66">
        <v>-1.4E-2</v>
      </c>
      <c r="L186" s="66">
        <v>-0.02</v>
      </c>
      <c r="M186" s="66">
        <v>-2.1000000000000001E-2</v>
      </c>
      <c r="N186" s="66">
        <v>-2.8000000000000001E-2</v>
      </c>
      <c r="O186" s="66">
        <v>-2.8000000000000001E-2</v>
      </c>
    </row>
    <row r="187" spans="2:15" outlineLevel="1">
      <c r="B187" s="7" t="s">
        <v>168</v>
      </c>
      <c r="E187" s="69">
        <f>E183/E181</f>
        <v>1.3245804650974314E-2</v>
      </c>
      <c r="F187" s="69">
        <f t="shared" ref="F187:J187" si="105">F183/F181</f>
        <v>3.1388573417873226E-4</v>
      </c>
      <c r="G187" s="69">
        <f t="shared" si="105"/>
        <v>1.3170841703907179E-3</v>
      </c>
      <c r="H187" s="69">
        <f t="shared" si="105"/>
        <v>2.4426111014182097E-4</v>
      </c>
      <c r="I187" s="69">
        <f t="shared" si="105"/>
        <v>1.1698968819462627E-4</v>
      </c>
      <c r="J187" s="69">
        <f t="shared" si="105"/>
        <v>1.2039452359269606E-3</v>
      </c>
      <c r="K187" s="77">
        <v>5.2173201142113586E-4</v>
      </c>
      <c r="L187" s="77">
        <v>5.2173201142113586E-4</v>
      </c>
      <c r="M187" s="77">
        <v>5.2173201142113586E-4</v>
      </c>
      <c r="N187" s="77">
        <v>5.2173201142113586E-4</v>
      </c>
      <c r="O187" s="77">
        <v>5.2173201142113586E-4</v>
      </c>
    </row>
    <row r="189" spans="2:15">
      <c r="B189" s="2" t="s">
        <v>107</v>
      </c>
      <c r="C189" s="2"/>
      <c r="D189" s="1"/>
      <c r="E189" s="1"/>
      <c r="F189" s="1"/>
      <c r="G189" s="1"/>
      <c r="H189" s="1"/>
      <c r="I189" s="1"/>
      <c r="J189" s="1"/>
      <c r="K189" s="1"/>
      <c r="L189" s="1"/>
      <c r="M189" s="1"/>
      <c r="N189" s="1"/>
      <c r="O189" s="1"/>
    </row>
    <row r="190" spans="2:15" outlineLevel="1"/>
    <row r="191" spans="2:15" ht="15" outlineLevel="1" thickBot="1">
      <c r="B191" s="3" t="s">
        <v>21</v>
      </c>
      <c r="C191" s="3"/>
      <c r="E191" s="15">
        <v>2019</v>
      </c>
      <c r="F191" s="15">
        <v>2020</v>
      </c>
      <c r="G191" s="15">
        <v>2021</v>
      </c>
      <c r="H191" s="15">
        <v>2022</v>
      </c>
      <c r="I191" s="15">
        <v>2023</v>
      </c>
      <c r="J191" s="15">
        <v>2024</v>
      </c>
      <c r="K191" s="68">
        <f>J191+1</f>
        <v>2025</v>
      </c>
      <c r="L191" s="68">
        <f>K191+1</f>
        <v>2026</v>
      </c>
      <c r="M191" s="68">
        <f>L191+1</f>
        <v>2027</v>
      </c>
      <c r="N191" s="68">
        <f>M191+1</f>
        <v>2028</v>
      </c>
      <c r="O191" s="68">
        <f>N191+1</f>
        <v>2029</v>
      </c>
    </row>
    <row r="192" spans="2:15" outlineLevel="1"/>
    <row r="193" spans="2:20" outlineLevel="1">
      <c r="B193" s="7" t="s">
        <v>120</v>
      </c>
      <c r="E193" s="63">
        <f t="shared" ref="E193:J193" si="106">E197/E47</f>
        <v>0.19254960102499363</v>
      </c>
      <c r="F193" s="57">
        <f t="shared" si="106"/>
        <v>0.16925219021251728</v>
      </c>
      <c r="G193" s="57">
        <f t="shared" si="106"/>
        <v>0.16985888457808399</v>
      </c>
      <c r="H193" s="57">
        <f t="shared" si="106"/>
        <v>0.18812636067685856</v>
      </c>
      <c r="I193" s="57">
        <f t="shared" si="106"/>
        <v>0.20949126932071405</v>
      </c>
      <c r="J193" s="57">
        <f t="shared" si="106"/>
        <v>0.21199658086329634</v>
      </c>
      <c r="K193" s="58">
        <v>0.20499999999999999</v>
      </c>
      <c r="L193" s="58">
        <v>0.20499999999999999</v>
      </c>
      <c r="M193" s="58">
        <v>0.20499999999999999</v>
      </c>
      <c r="N193" s="58">
        <v>0.20499999999999999</v>
      </c>
      <c r="O193" s="59">
        <v>0.20499999999999999</v>
      </c>
    </row>
    <row r="194" spans="2:20" outlineLevel="1">
      <c r="B194" s="7" t="s">
        <v>170</v>
      </c>
      <c r="E194" s="60">
        <f t="shared" ref="E194:J194" si="107">E198/E47</f>
        <v>3.5069879506721809E-2</v>
      </c>
      <c r="F194" s="26">
        <f t="shared" si="107"/>
        <v>3.3436660912281077E-2</v>
      </c>
      <c r="G194" s="26">
        <f t="shared" si="107"/>
        <v>3.3117477799252983E-2</v>
      </c>
      <c r="H194" s="26">
        <f t="shared" si="107"/>
        <v>3.7616758667301707E-2</v>
      </c>
      <c r="I194" s="26">
        <f t="shared" si="107"/>
        <v>4.3316969380370253E-2</v>
      </c>
      <c r="J194" s="26">
        <f t="shared" si="107"/>
        <v>4.8925397195261712E-2</v>
      </c>
      <c r="K194" s="61">
        <v>0.05</v>
      </c>
      <c r="L194" s="61">
        <v>5.5E-2</v>
      </c>
      <c r="M194" s="61">
        <v>0.06</v>
      </c>
      <c r="N194" s="61">
        <v>0.06</v>
      </c>
      <c r="O194" s="62">
        <v>0.06</v>
      </c>
    </row>
    <row r="195" spans="2:20" outlineLevel="1">
      <c r="B195" s="7" t="s">
        <v>109</v>
      </c>
      <c r="E195" s="209">
        <f t="shared" ref="E195:J195" si="108">E199/E$163</f>
        <v>0.17551720726916445</v>
      </c>
      <c r="F195" s="210">
        <f t="shared" si="108"/>
        <v>0.15247811134062822</v>
      </c>
      <c r="G195" s="210">
        <f t="shared" si="108"/>
        <v>0.15386720696913292</v>
      </c>
      <c r="H195" s="210">
        <f t="shared" si="108"/>
        <v>0.16879322063078178</v>
      </c>
      <c r="I195" s="210">
        <f t="shared" si="108"/>
        <v>0.18617078202600076</v>
      </c>
      <c r="J195" s="210">
        <f t="shared" si="108"/>
        <v>0.18260817359132994</v>
      </c>
      <c r="K195" s="211">
        <v>0.189</v>
      </c>
      <c r="L195" s="211">
        <v>0.20349999999999999</v>
      </c>
      <c r="M195" s="211">
        <v>0.21</v>
      </c>
      <c r="N195" s="211">
        <v>0.21</v>
      </c>
      <c r="O195" s="212">
        <v>0.21</v>
      </c>
    </row>
    <row r="196" spans="2:20" outlineLevel="1"/>
    <row r="197" spans="2:20" outlineLevel="1">
      <c r="B197" s="7" t="s">
        <v>108</v>
      </c>
      <c r="E197" s="41">
        <f t="shared" ref="E197:J197" si="109">E81</f>
        <v>327017</v>
      </c>
      <c r="F197" s="41">
        <f t="shared" si="109"/>
        <v>314226</v>
      </c>
      <c r="G197" s="41">
        <f t="shared" si="109"/>
        <v>371133</v>
      </c>
      <c r="H197" s="41">
        <f t="shared" si="109"/>
        <v>397755</v>
      </c>
      <c r="I197" s="41">
        <f t="shared" si="109"/>
        <v>395411</v>
      </c>
      <c r="J197" s="41">
        <f t="shared" si="109"/>
        <v>356641</v>
      </c>
      <c r="K197" s="13">
        <f>K193*K$47</f>
        <v>331075.85279999994</v>
      </c>
      <c r="L197" s="13">
        <f t="shared" ref="L197:O197" si="110">L193*L$47</f>
        <v>334386.61132799997</v>
      </c>
      <c r="M197" s="13">
        <f t="shared" si="110"/>
        <v>338399.25066393596</v>
      </c>
      <c r="N197" s="13">
        <f t="shared" si="110"/>
        <v>343475.23942389502</v>
      </c>
      <c r="O197" s="13">
        <f t="shared" si="110"/>
        <v>350001.26897294901</v>
      </c>
    </row>
    <row r="198" spans="2:20" outlineLevel="1">
      <c r="B198" s="7" t="s">
        <v>148</v>
      </c>
      <c r="E198" s="41">
        <f t="shared" ref="E198:J198" si="111">E95</f>
        <v>59561</v>
      </c>
      <c r="F198" s="41">
        <f t="shared" si="111"/>
        <v>62077</v>
      </c>
      <c r="G198" s="41">
        <f t="shared" si="111"/>
        <v>72360</v>
      </c>
      <c r="H198" s="41">
        <f t="shared" si="111"/>
        <v>79533</v>
      </c>
      <c r="I198" s="41">
        <f t="shared" si="111"/>
        <v>81760</v>
      </c>
      <c r="J198" s="41">
        <f t="shared" si="111"/>
        <v>82307</v>
      </c>
      <c r="K198" s="13">
        <f t="shared" ref="K198:O198" si="112">K194*K$47</f>
        <v>80750.207999999999</v>
      </c>
      <c r="L198" s="13">
        <f t="shared" si="112"/>
        <v>89713.481088</v>
      </c>
      <c r="M198" s="13">
        <f t="shared" si="112"/>
        <v>99043.683121152004</v>
      </c>
      <c r="N198" s="13">
        <f t="shared" si="112"/>
        <v>100529.33836796926</v>
      </c>
      <c r="O198" s="13">
        <f t="shared" si="112"/>
        <v>102439.39579696069</v>
      </c>
      <c r="Q198" s="55"/>
      <c r="R198" s="55"/>
      <c r="S198" s="55"/>
      <c r="T198" s="55"/>
    </row>
    <row r="199" spans="2:20" outlineLevel="1">
      <c r="B199" s="7" t="s">
        <v>149</v>
      </c>
      <c r="E199" s="41">
        <f t="shared" ref="E199:J199" si="113">E101</f>
        <v>298090</v>
      </c>
      <c r="F199" s="41">
        <f t="shared" si="113"/>
        <v>283084</v>
      </c>
      <c r="G199" s="41">
        <f t="shared" si="113"/>
        <v>336192</v>
      </c>
      <c r="H199" s="41">
        <f t="shared" si="113"/>
        <v>356879</v>
      </c>
      <c r="I199" s="41">
        <f t="shared" si="113"/>
        <v>351394</v>
      </c>
      <c r="J199" s="41">
        <f t="shared" si="113"/>
        <v>307201</v>
      </c>
      <c r="K199" s="13">
        <f t="shared" ref="K199:O199" si="114">K195*K$47</f>
        <v>305235.78623999999</v>
      </c>
      <c r="L199" s="13">
        <f t="shared" si="114"/>
        <v>331939.88002559997</v>
      </c>
      <c r="M199" s="13">
        <f t="shared" si="114"/>
        <v>346652.89092403202</v>
      </c>
      <c r="N199" s="13">
        <f t="shared" si="114"/>
        <v>351852.68428789242</v>
      </c>
      <c r="O199" s="13">
        <f t="shared" si="114"/>
        <v>358537.8852893624</v>
      </c>
      <c r="Q199" s="55"/>
      <c r="R199" s="55"/>
      <c r="S199" s="55"/>
      <c r="T199" s="55"/>
    </row>
    <row r="201" spans="2:20">
      <c r="B201" s="2" t="s">
        <v>110</v>
      </c>
      <c r="C201" s="2"/>
      <c r="D201" s="1"/>
      <c r="E201" s="1"/>
      <c r="F201" s="1"/>
      <c r="G201" s="1"/>
      <c r="H201" s="1"/>
      <c r="I201" s="1"/>
      <c r="J201" s="1"/>
      <c r="K201" s="1"/>
      <c r="L201" s="1"/>
      <c r="M201" s="1"/>
      <c r="N201" s="1"/>
      <c r="O201" s="1"/>
    </row>
    <row r="202" spans="2:20" outlineLevel="1"/>
    <row r="203" spans="2:20" ht="15" outlineLevel="1" thickBot="1">
      <c r="B203" s="3" t="s">
        <v>21</v>
      </c>
      <c r="C203" s="3"/>
      <c r="E203" s="15">
        <v>2019</v>
      </c>
      <c r="F203" s="15">
        <v>2020</v>
      </c>
      <c r="G203" s="15">
        <v>2021</v>
      </c>
      <c r="H203" s="15">
        <v>2022</v>
      </c>
      <c r="I203" s="15">
        <v>2023</v>
      </c>
      <c r="J203" s="15">
        <v>2024</v>
      </c>
      <c r="K203" s="68">
        <f>J203+1</f>
        <v>2025</v>
      </c>
      <c r="L203" s="68">
        <f>K203+1</f>
        <v>2026</v>
      </c>
      <c r="M203" s="68">
        <f>L203+1</f>
        <v>2027</v>
      </c>
      <c r="N203" s="68">
        <f>M203+1</f>
        <v>2028</v>
      </c>
      <c r="O203" s="68">
        <f>N203+1</f>
        <v>2029</v>
      </c>
    </row>
    <row r="204" spans="2:20" outlineLevel="1"/>
    <row r="205" spans="2:20" outlineLevel="1">
      <c r="B205" s="7" t="s">
        <v>165</v>
      </c>
      <c r="E205" s="65">
        <f t="shared" ref="E205:J205" si="115">E208/E47</f>
        <v>0.1360142067133315</v>
      </c>
      <c r="F205" s="65">
        <f t="shared" si="115"/>
        <v>0.13153394324434234</v>
      </c>
      <c r="G205" s="65">
        <f t="shared" si="115"/>
        <v>0.17506129433684722</v>
      </c>
      <c r="H205" s="65">
        <f t="shared" si="115"/>
        <v>0.21737721805403876</v>
      </c>
      <c r="I205" s="65">
        <f t="shared" si="115"/>
        <v>0.28583054037071609</v>
      </c>
      <c r="J205" s="65">
        <f t="shared" si="115"/>
        <v>0.32491309496069659</v>
      </c>
      <c r="K205" s="66">
        <v>0.29599999999999999</v>
      </c>
      <c r="L205" s="66">
        <v>0.252</v>
      </c>
      <c r="M205" s="66">
        <v>0.20499999999999999</v>
      </c>
      <c r="N205" s="66">
        <v>0.14849999999999999</v>
      </c>
      <c r="O205" s="66">
        <v>0.1079</v>
      </c>
    </row>
    <row r="206" spans="2:20" outlineLevel="1">
      <c r="B206" s="7" t="s">
        <v>63</v>
      </c>
      <c r="E206" s="69">
        <f t="shared" ref="E206:K206" si="116">E209/E47</f>
        <v>1.5519162105382159E-2</v>
      </c>
      <c r="F206" s="69">
        <f t="shared" si="116"/>
        <v>-6.2691382695368569E-3</v>
      </c>
      <c r="G206" s="69">
        <f t="shared" si="116"/>
        <v>6.6579586068141641E-2</v>
      </c>
      <c r="H206" s="69">
        <f t="shared" si="116"/>
        <v>4.6184145368413233E-2</v>
      </c>
      <c r="I206" s="69">
        <f t="shared" si="116"/>
        <v>3.8921165870720885E-2</v>
      </c>
      <c r="J206" s="69">
        <f t="shared" si="116"/>
        <v>-4.0004850513821589E-4</v>
      </c>
      <c r="K206" s="75">
        <f t="shared" si="116"/>
        <v>-4.2451140584058945E-2</v>
      </c>
      <c r="L206" s="75">
        <v>0.24299999999999999</v>
      </c>
      <c r="M206" s="75">
        <f>M209/M47</f>
        <v>-4.4011857707509906E-2</v>
      </c>
      <c r="N206" s="75">
        <f>N209/N47</f>
        <v>-5.3470443349753698E-2</v>
      </c>
      <c r="O206" s="75">
        <f>O209/O47</f>
        <v>-3.7831108930323841E-2</v>
      </c>
    </row>
    <row r="207" spans="2:20" outlineLevel="1">
      <c r="B207" s="7"/>
      <c r="K207" s="13"/>
      <c r="L207" s="13"/>
      <c r="M207" s="13"/>
      <c r="N207" s="13"/>
      <c r="O207" s="13"/>
    </row>
    <row r="208" spans="2:20" outlineLevel="1">
      <c r="B208" s="7" t="s">
        <v>119</v>
      </c>
      <c r="E208" s="30">
        <f t="shared" ref="E208:J208" si="117">E89</f>
        <v>231000</v>
      </c>
      <c r="F208" s="30">
        <f t="shared" si="117"/>
        <v>244200</v>
      </c>
      <c r="G208" s="30">
        <f t="shared" si="117"/>
        <v>382500</v>
      </c>
      <c r="H208" s="30">
        <f t="shared" si="117"/>
        <v>459600</v>
      </c>
      <c r="I208" s="30">
        <f t="shared" si="117"/>
        <v>539500</v>
      </c>
      <c r="J208" s="30">
        <f t="shared" si="117"/>
        <v>546600</v>
      </c>
      <c r="K208" s="13">
        <f>K205*K47</f>
        <v>478041.23135999998</v>
      </c>
      <c r="L208" s="13">
        <f>L205*L47</f>
        <v>411050.85880320001</v>
      </c>
      <c r="M208" s="13">
        <f>M205*M47</f>
        <v>338399.25066393596</v>
      </c>
      <c r="N208" s="13">
        <f>N205*N47</f>
        <v>248810.11246072393</v>
      </c>
      <c r="O208" s="13">
        <f>O205*O47</f>
        <v>184220.18010820096</v>
      </c>
    </row>
    <row r="209" spans="2:15" outlineLevel="1">
      <c r="B209" s="7" t="s">
        <v>63</v>
      </c>
      <c r="E209" s="30">
        <f t="shared" ref="E209:J209" si="118">E149</f>
        <v>26357</v>
      </c>
      <c r="F209" s="30">
        <f t="shared" si="118"/>
        <v>-11639</v>
      </c>
      <c r="G209" s="30">
        <f t="shared" si="118"/>
        <v>145473</v>
      </c>
      <c r="H209" s="30">
        <f t="shared" si="118"/>
        <v>97647</v>
      </c>
      <c r="I209" s="30">
        <f t="shared" si="118"/>
        <v>73463</v>
      </c>
      <c r="J209" s="30">
        <f t="shared" si="118"/>
        <v>-673</v>
      </c>
      <c r="K209" s="13">
        <f>K208-J208</f>
        <v>-68558.768640000024</v>
      </c>
      <c r="L209" s="13">
        <f>L208-K208</f>
        <v>-66990.372556799965</v>
      </c>
      <c r="M209" s="13">
        <f>M208-L208</f>
        <v>-72651.608139264048</v>
      </c>
      <c r="N209" s="13">
        <f>N208-M208</f>
        <v>-89589.138203212031</v>
      </c>
      <c r="O209" s="13">
        <f>O208-N208</f>
        <v>-64589.93235252297</v>
      </c>
    </row>
    <row r="211" spans="2:15">
      <c r="B211" s="2" t="s">
        <v>171</v>
      </c>
      <c r="C211" s="2"/>
      <c r="D211" s="1"/>
      <c r="E211" s="1"/>
      <c r="F211" s="1"/>
      <c r="G211" s="1"/>
      <c r="H211" s="1"/>
      <c r="I211" s="1"/>
      <c r="J211" s="1"/>
      <c r="K211" s="1"/>
      <c r="L211" s="1"/>
      <c r="M211" s="1"/>
      <c r="N211" s="1"/>
      <c r="O211" s="1"/>
    </row>
    <row r="212" spans="2:15" outlineLevel="1"/>
    <row r="213" spans="2:15" ht="15" outlineLevel="1" thickBot="1">
      <c r="B213" s="3" t="s">
        <v>21</v>
      </c>
      <c r="C213" s="3"/>
      <c r="E213" s="15">
        <v>2019</v>
      </c>
      <c r="F213" s="15">
        <v>2020</v>
      </c>
      <c r="G213" s="15">
        <v>2021</v>
      </c>
      <c r="H213" s="15">
        <v>2022</v>
      </c>
      <c r="I213" s="15">
        <v>2023</v>
      </c>
      <c r="J213" s="15">
        <v>2024</v>
      </c>
      <c r="K213" s="68">
        <f>J213+1</f>
        <v>2025</v>
      </c>
      <c r="L213" s="68">
        <f>K213+1</f>
        <v>2026</v>
      </c>
      <c r="M213" s="68">
        <f>L213+1</f>
        <v>2027</v>
      </c>
      <c r="N213" s="68">
        <f>M213+1</f>
        <v>2028</v>
      </c>
      <c r="O213" s="68">
        <f>N213+1</f>
        <v>2029</v>
      </c>
    </row>
    <row r="214" spans="2:15" outlineLevel="1"/>
    <row r="215" spans="2:15" outlineLevel="1">
      <c r="B215" s="4" t="s">
        <v>162</v>
      </c>
      <c r="E215" s="74"/>
      <c r="F215" s="26">
        <f>F47/E47-1</f>
        <v>9.3150889803762738E-2</v>
      </c>
      <c r="G215" s="26">
        <f t="shared" ref="G215:J215" si="119">G47/F47-1</f>
        <v>0.17688352890164838</v>
      </c>
      <c r="H215" s="26">
        <f t="shared" si="119"/>
        <v>-3.2335766189508286E-2</v>
      </c>
      <c r="I215" s="26">
        <f t="shared" si="119"/>
        <v>-0.10727679223874409</v>
      </c>
      <c r="J215" s="26">
        <f t="shared" si="119"/>
        <v>-0.10870885126321739</v>
      </c>
      <c r="K215" s="26">
        <f>K47/J47-1</f>
        <v>-4.0000000000000036E-2</v>
      </c>
      <c r="L215" s="26">
        <f t="shared" ref="L215:O215" si="120">L47/K47-1</f>
        <v>1.0000000000000009E-2</v>
      </c>
      <c r="M215" s="26">
        <f t="shared" si="120"/>
        <v>1.2000000000000011E-2</v>
      </c>
      <c r="N215" s="26">
        <f t="shared" si="120"/>
        <v>1.4999999999999902E-2</v>
      </c>
      <c r="O215" s="26">
        <f t="shared" si="120"/>
        <v>1.8999999999999906E-2</v>
      </c>
    </row>
    <row r="216" spans="2:15" outlineLevel="1">
      <c r="B216" s="4" t="s">
        <v>158</v>
      </c>
      <c r="E216" s="74"/>
      <c r="F216" s="26">
        <f>F221/E221-1</f>
        <v>-9.285714285714286E-2</v>
      </c>
      <c r="G216" s="26">
        <f t="shared" ref="G216:J216" si="121">G221/F221-1</f>
        <v>-0.10629921259842523</v>
      </c>
      <c r="H216" s="26">
        <f t="shared" si="121"/>
        <v>-3.0837004405286361E-2</v>
      </c>
      <c r="I216" s="26">
        <f t="shared" si="121"/>
        <v>9.0909090909090384E-3</v>
      </c>
      <c r="J216" s="26">
        <f t="shared" si="121"/>
        <v>9.009009009008917E-3</v>
      </c>
      <c r="K216" s="66">
        <v>8.9999999999999993E-3</v>
      </c>
      <c r="L216" s="66">
        <v>8.9999999999999993E-3</v>
      </c>
      <c r="M216" s="66">
        <v>8.9999999999999993E-3</v>
      </c>
      <c r="N216" s="66">
        <v>1.2E-2</v>
      </c>
      <c r="O216" s="66">
        <v>1.4999999999999999E-2</v>
      </c>
    </row>
    <row r="217" spans="2:15" outlineLevel="1">
      <c r="B217" s="4" t="s">
        <v>160</v>
      </c>
      <c r="E217" s="39">
        <f t="shared" ref="E217:J218" si="122">E222/E$47</f>
        <v>-9.7199520476320578E-2</v>
      </c>
      <c r="F217" s="39">
        <f t="shared" si="122"/>
        <v>-0.1269254075424644</v>
      </c>
      <c r="G217" s="39">
        <f t="shared" si="122"/>
        <v>-0.17500454244012104</v>
      </c>
      <c r="H217" s="39">
        <f t="shared" si="122"/>
        <v>-3.0359027137625415E-2</v>
      </c>
      <c r="I217" s="39">
        <f t="shared" si="122"/>
        <v>-1.9851844944746492E-3</v>
      </c>
      <c r="J217" s="39">
        <f t="shared" si="122"/>
        <v>-4.5651894791404131E-4</v>
      </c>
      <c r="K217" s="66">
        <v>-2E-3</v>
      </c>
      <c r="L217" s="66">
        <v>-7.0000000000000001E-3</v>
      </c>
      <c r="M217" s="66">
        <v>-1.4999999999999999E-2</v>
      </c>
      <c r="N217" s="66">
        <v>-2.1999999999999999E-2</v>
      </c>
      <c r="O217" s="66">
        <v>-3.5000000000000003E-2</v>
      </c>
    </row>
    <row r="218" spans="2:15" outlineLevel="1">
      <c r="B218" s="4" t="s">
        <v>161</v>
      </c>
      <c r="E218" s="39">
        <f t="shared" si="122"/>
        <v>4.2335157847136519E-3</v>
      </c>
      <c r="F218" s="39">
        <f t="shared" si="122"/>
        <v>5.1719448117615689E-3</v>
      </c>
      <c r="G218" s="39">
        <f t="shared" si="122"/>
        <v>2.0325417206534342E-3</v>
      </c>
      <c r="H218" s="39">
        <f t="shared" si="122"/>
        <v>5.3492957706509543E-4</v>
      </c>
      <c r="I218" s="39">
        <f t="shared" si="122"/>
        <v>2.2675712933951158E-4</v>
      </c>
      <c r="J218" s="39">
        <f t="shared" si="122"/>
        <v>0</v>
      </c>
      <c r="K218" s="66">
        <v>0</v>
      </c>
      <c r="L218" s="66">
        <v>2.0000000000000001E-4</v>
      </c>
      <c r="M218" s="66">
        <v>6.9999999999999999E-4</v>
      </c>
      <c r="N218" s="66">
        <v>2E-3</v>
      </c>
      <c r="O218" s="66">
        <v>4.0000000000000001E-3</v>
      </c>
    </row>
    <row r="219" spans="2:15" outlineLevel="1">
      <c r="B219" s="4" t="s">
        <v>159</v>
      </c>
      <c r="E219" s="74"/>
      <c r="F219" s="73" t="str">
        <f>IFERROR(F224/E224-1,"NA")</f>
        <v>NA</v>
      </c>
      <c r="G219" s="73" t="str">
        <f t="shared" ref="G219:J219" si="123">IFERROR(G224/F224-1,"NA")</f>
        <v>NA</v>
      </c>
      <c r="H219" s="73">
        <f t="shared" si="123"/>
        <v>0.30496096701082842</v>
      </c>
      <c r="I219" s="73">
        <f t="shared" si="123"/>
        <v>2.2257815515245079</v>
      </c>
      <c r="J219" s="73">
        <f t="shared" si="123"/>
        <v>0.63854989231873649</v>
      </c>
      <c r="K219" s="66">
        <v>0.42</v>
      </c>
      <c r="L219" s="66">
        <v>0.42</v>
      </c>
      <c r="M219" s="66">
        <v>0.42</v>
      </c>
      <c r="N219" s="66">
        <v>0.42</v>
      </c>
      <c r="O219" s="66">
        <v>0.42</v>
      </c>
    </row>
    <row r="220" spans="2:15" outlineLevel="1"/>
    <row r="221" spans="2:15" outlineLevel="1">
      <c r="B221" s="4" t="s">
        <v>111</v>
      </c>
      <c r="E221" s="41">
        <f t="shared" ref="E221:J221" si="124">E107</f>
        <v>280</v>
      </c>
      <c r="F221" s="41">
        <f t="shared" si="124"/>
        <v>254</v>
      </c>
      <c r="G221" s="41">
        <f t="shared" si="124"/>
        <v>227</v>
      </c>
      <c r="H221" s="41">
        <f t="shared" si="124"/>
        <v>220</v>
      </c>
      <c r="I221" s="41">
        <f t="shared" si="124"/>
        <v>222</v>
      </c>
      <c r="J221" s="41">
        <f t="shared" si="124"/>
        <v>224</v>
      </c>
      <c r="K221" s="13">
        <f>J221*(1+K216)</f>
        <v>226.01599999999996</v>
      </c>
      <c r="L221" s="13">
        <f>K221*(1+L216)</f>
        <v>228.05014399999993</v>
      </c>
      <c r="M221" s="13">
        <f>L221*(1+M216)</f>
        <v>230.10259529599992</v>
      </c>
      <c r="N221" s="13">
        <f>M221*(1+N216)</f>
        <v>232.86382643955193</v>
      </c>
      <c r="O221" s="13">
        <f>N221*(1+O216)</f>
        <v>236.35678383614518</v>
      </c>
    </row>
    <row r="222" spans="2:15" outlineLevel="1">
      <c r="B222" s="4" t="s">
        <v>113</v>
      </c>
      <c r="E222" s="41">
        <f t="shared" ref="E222:J222" si="125">E148</f>
        <v>-165079</v>
      </c>
      <c r="F222" s="41">
        <f t="shared" si="125"/>
        <v>-235644</v>
      </c>
      <c r="G222" s="41">
        <f t="shared" si="125"/>
        <v>-382376</v>
      </c>
      <c r="H222" s="41">
        <f t="shared" si="125"/>
        <v>-64188</v>
      </c>
      <c r="I222" s="41">
        <f t="shared" si="125"/>
        <v>-3747</v>
      </c>
      <c r="J222" s="41">
        <f t="shared" si="125"/>
        <v>-768</v>
      </c>
      <c r="K222" s="13">
        <f>K217*K47</f>
        <v>-3230.0083199999999</v>
      </c>
      <c r="L222" s="13">
        <f>L217*L47</f>
        <v>-11418.0794112</v>
      </c>
      <c r="M222" s="13">
        <f>M217*M47</f>
        <v>-24760.920780288001</v>
      </c>
      <c r="N222" s="13">
        <f>N217*N47</f>
        <v>-36860.757401588729</v>
      </c>
      <c r="O222" s="13">
        <f>O217*O47</f>
        <v>-59756.31421489374</v>
      </c>
    </row>
    <row r="223" spans="2:15" outlineLevel="1">
      <c r="B223" s="4" t="s">
        <v>114</v>
      </c>
      <c r="E223" s="41">
        <f t="shared" ref="E223:J223" si="126">E150</f>
        <v>7190</v>
      </c>
      <c r="F223" s="41">
        <f t="shared" si="126"/>
        <v>9602</v>
      </c>
      <c r="G223" s="41">
        <f t="shared" si="126"/>
        <v>4441</v>
      </c>
      <c r="H223" s="41">
        <f t="shared" si="126"/>
        <v>1131</v>
      </c>
      <c r="I223" s="41">
        <f t="shared" si="126"/>
        <v>428</v>
      </c>
      <c r="J223" s="41">
        <f t="shared" si="126"/>
        <v>0</v>
      </c>
      <c r="K223" s="13">
        <f>K218*K47</f>
        <v>0</v>
      </c>
      <c r="L223" s="13">
        <f>L218*L47</f>
        <v>326.23084032000003</v>
      </c>
      <c r="M223" s="13">
        <f>M218*M47</f>
        <v>1155.5096364134399</v>
      </c>
      <c r="N223" s="13">
        <f>N218*N47</f>
        <v>3350.977945598976</v>
      </c>
      <c r="O223" s="13">
        <f>O218*O47</f>
        <v>6829.2930531307129</v>
      </c>
    </row>
    <row r="224" spans="2:15" outlineLevel="1">
      <c r="B224" s="4" t="s">
        <v>112</v>
      </c>
      <c r="E224" s="41">
        <f t="shared" ref="E224:J224" si="127">E108</f>
        <v>0</v>
      </c>
      <c r="F224" s="41">
        <f t="shared" si="127"/>
        <v>0</v>
      </c>
      <c r="G224" s="41">
        <f t="shared" si="127"/>
        <v>3971</v>
      </c>
      <c r="H224" s="41">
        <f t="shared" si="127"/>
        <v>5182</v>
      </c>
      <c r="I224" s="41">
        <f t="shared" si="127"/>
        <v>16716</v>
      </c>
      <c r="J224" s="41">
        <f t="shared" si="127"/>
        <v>27390</v>
      </c>
      <c r="K224" s="13">
        <f xml:space="preserve"> 184099.73+(-0.043038*K47)+(-383.179701*K221)+(-0.565229*K223)</f>
        <v>27988.437660704032</v>
      </c>
      <c r="L224" s="13">
        <f xml:space="preserve"> 184099.73+(-0.043038*L47)+(-383.179701*L221)+(-0.565229*L223)</f>
        <v>26329.534348969046</v>
      </c>
      <c r="M224" s="13">
        <f xml:space="preserve"> 184099.73+(-0.043038*M47)+(-383.179701*M221)+(-0.565229*M223)</f>
        <v>24231.924876072084</v>
      </c>
      <c r="N224" s="13">
        <f xml:space="preserve"> 184099.73+(-0.043038*N47)+(-383.179701*N221)+(-0.565229*N223)</f>
        <v>20867.274286619275</v>
      </c>
      <c r="O224" s="13">
        <f xml:space="preserve"> 184099.73+(-0.043038*O47)+(-383.179701*O221)+(-0.565229*O223)</f>
        <v>16192.71515205634</v>
      </c>
    </row>
    <row r="226" spans="2:15">
      <c r="B226" s="2" t="s">
        <v>115</v>
      </c>
      <c r="C226" s="2"/>
      <c r="D226" s="1"/>
      <c r="E226" s="1"/>
      <c r="F226" s="1"/>
      <c r="G226" s="1"/>
      <c r="H226" s="1"/>
      <c r="I226" s="1"/>
      <c r="J226" s="1"/>
      <c r="K226" s="1"/>
      <c r="L226" s="1"/>
      <c r="M226" s="1"/>
      <c r="N226" s="1"/>
      <c r="O226" s="1"/>
    </row>
    <row r="227" spans="2:15" outlineLevel="1"/>
    <row r="228" spans="2:15" ht="15" outlineLevel="1" thickBot="1">
      <c r="B228" s="3" t="s">
        <v>21</v>
      </c>
      <c r="C228" s="3"/>
      <c r="E228" s="15">
        <v>2019</v>
      </c>
      <c r="F228" s="15">
        <v>2020</v>
      </c>
      <c r="G228" s="15">
        <v>2021</v>
      </c>
      <c r="H228" s="15">
        <v>2022</v>
      </c>
      <c r="I228" s="15">
        <v>2023</v>
      </c>
      <c r="J228" s="15">
        <v>2024</v>
      </c>
      <c r="K228" s="68">
        <f>J228+1</f>
        <v>2025</v>
      </c>
      <c r="L228" s="68">
        <f>K228+1</f>
        <v>2026</v>
      </c>
      <c r="M228" s="68">
        <f>L228+1</f>
        <v>2027</v>
      </c>
      <c r="N228" s="68">
        <f>M228+1</f>
        <v>2028</v>
      </c>
      <c r="O228" s="68">
        <f>N228+1</f>
        <v>2029</v>
      </c>
    </row>
    <row r="229" spans="2:15" outlineLevel="1"/>
    <row r="230" spans="2:15" outlineLevel="1">
      <c r="B230" s="4" t="s">
        <v>151</v>
      </c>
      <c r="E230" s="70">
        <v>0.186</v>
      </c>
      <c r="F230" s="70">
        <v>0.20899999999999999</v>
      </c>
      <c r="G230" s="70">
        <v>0.17899999999999999</v>
      </c>
      <c r="H230" s="70">
        <v>0.251</v>
      </c>
      <c r="I230" s="70">
        <v>0.22600000000000001</v>
      </c>
      <c r="J230" s="70">
        <v>0.20200000000000001</v>
      </c>
      <c r="K230" s="71">
        <v>0.19950000000000001</v>
      </c>
      <c r="L230" s="72">
        <v>0.20199999999999999</v>
      </c>
      <c r="M230" s="72">
        <v>0.215</v>
      </c>
      <c r="N230" s="72">
        <v>0.23400000000000001</v>
      </c>
      <c r="O230" s="72">
        <v>0.185</v>
      </c>
    </row>
    <row r="231" spans="2:15" outlineLevel="1">
      <c r="B231" s="4" t="s">
        <v>145</v>
      </c>
      <c r="E231" s="65">
        <f>E238/E237</f>
        <v>0.16428226973155441</v>
      </c>
      <c r="F231" s="65">
        <f t="shared" ref="F231:J231" si="128">F238/F237</f>
        <v>2.8736100916184108E-2</v>
      </c>
      <c r="G231" s="65">
        <f t="shared" si="128"/>
        <v>-9.1399612460873456E-2</v>
      </c>
      <c r="H231" s="65">
        <f t="shared" si="128"/>
        <v>0.11037851037851037</v>
      </c>
      <c r="I231" s="65">
        <f t="shared" si="128"/>
        <v>1.3365427675772503</v>
      </c>
      <c r="J231" s="65">
        <f t="shared" si="128"/>
        <v>-0.7723750484308407</v>
      </c>
    </row>
    <row r="232" spans="2:15" outlineLevel="1"/>
    <row r="233" spans="2:15" outlineLevel="1">
      <c r="B233" s="4" t="s">
        <v>156</v>
      </c>
      <c r="E233" s="65">
        <f t="shared" ref="E233:J233" si="129">E243/E236</f>
        <v>0</v>
      </c>
      <c r="F233" s="65">
        <f t="shared" si="129"/>
        <v>0</v>
      </c>
      <c r="G233" s="65">
        <f t="shared" si="129"/>
        <v>0</v>
      </c>
      <c r="H233" s="65">
        <f t="shared" si="129"/>
        <v>0.16275692811125883</v>
      </c>
      <c r="I233" s="65">
        <f t="shared" si="129"/>
        <v>-1.025312610742672</v>
      </c>
      <c r="J233" s="65">
        <f t="shared" si="129"/>
        <v>-1.3168732350172576</v>
      </c>
      <c r="K233" s="71">
        <v>-1.5</v>
      </c>
      <c r="L233" s="71">
        <v>0.21</v>
      </c>
      <c r="M233" s="71">
        <v>0.25</v>
      </c>
      <c r="N233" s="71">
        <v>0</v>
      </c>
      <c r="O233" s="71">
        <v>0</v>
      </c>
    </row>
    <row r="234" spans="2:15" outlineLevel="1">
      <c r="B234" s="4" t="s">
        <v>157</v>
      </c>
      <c r="E234" s="65">
        <f t="shared" ref="E234:J234" si="130">E244/E236</f>
        <v>3.7887531340788795E-2</v>
      </c>
      <c r="F234" s="65">
        <f t="shared" si="130"/>
        <v>1.3752187848066737E-3</v>
      </c>
      <c r="G234" s="65">
        <f t="shared" si="130"/>
        <v>3.6734279810562175E-3</v>
      </c>
      <c r="H234" s="65">
        <f t="shared" si="130"/>
        <v>0</v>
      </c>
      <c r="I234" s="65">
        <f t="shared" si="130"/>
        <v>0</v>
      </c>
      <c r="J234" s="65">
        <f t="shared" ca="1" si="130"/>
        <v>0</v>
      </c>
      <c r="K234" s="71">
        <v>0</v>
      </c>
      <c r="L234" s="71">
        <v>0</v>
      </c>
      <c r="M234" s="71">
        <v>0</v>
      </c>
      <c r="N234" s="71">
        <v>0.01</v>
      </c>
      <c r="O234" s="71">
        <v>2.5000000000000001E-2</v>
      </c>
    </row>
    <row r="235" spans="2:15" outlineLevel="1"/>
    <row r="236" spans="2:15" outlineLevel="1">
      <c r="B236" s="4" t="s">
        <v>150</v>
      </c>
      <c r="E236" s="41">
        <f t="shared" ref="E236:O236" si="131">E61</f>
        <v>100508</v>
      </c>
      <c r="F236" s="41">
        <f t="shared" si="131"/>
        <v>175972</v>
      </c>
      <c r="G236" s="41">
        <f t="shared" si="131"/>
        <v>187291</v>
      </c>
      <c r="H236" s="41">
        <f t="shared" si="131"/>
        <v>48895</v>
      </c>
      <c r="I236" s="41">
        <f t="shared" si="131"/>
        <v>-19753</v>
      </c>
      <c r="J236" s="41">
        <f t="shared" si="131"/>
        <v>-25496</v>
      </c>
      <c r="K236" s="18">
        <f t="shared" si="131"/>
        <v>-18341.973499946202</v>
      </c>
      <c r="L236" s="18">
        <f t="shared" si="131"/>
        <v>-4893.4626048000719</v>
      </c>
      <c r="M236" s="18">
        <f t="shared" si="131"/>
        <v>23110.192728268739</v>
      </c>
      <c r="N236" s="18">
        <f t="shared" si="131"/>
        <v>31834.290483190274</v>
      </c>
      <c r="O236" s="18">
        <f t="shared" si="131"/>
        <v>30731.818739088252</v>
      </c>
    </row>
    <row r="237" spans="2:15" outlineLevel="1">
      <c r="B237" s="4" t="s">
        <v>262</v>
      </c>
      <c r="E237" s="41">
        <f t="shared" ref="E237:J237" si="132">E63</f>
        <v>18663</v>
      </c>
      <c r="F237" s="41">
        <f t="shared" si="132"/>
        <v>36783</v>
      </c>
      <c r="G237" s="41">
        <f t="shared" si="132"/>
        <v>33545</v>
      </c>
      <c r="H237" s="41">
        <f t="shared" si="132"/>
        <v>12285</v>
      </c>
      <c r="I237" s="41">
        <f t="shared" si="132"/>
        <v>-4466</v>
      </c>
      <c r="J237" s="41">
        <f t="shared" si="132"/>
        <v>-5162</v>
      </c>
      <c r="K237" s="18">
        <f>K240+K241</f>
        <v>-3668.2237132392675</v>
      </c>
      <c r="L237" s="18">
        <f t="shared" ref="L237:O237" si="133">L240+L241</f>
        <v>-992.47944616961445</v>
      </c>
      <c r="M237" s="18">
        <f t="shared" si="133"/>
        <v>4973.6914365777793</v>
      </c>
      <c r="N237" s="18">
        <f t="shared" si="133"/>
        <v>7460.2239730665242</v>
      </c>
      <c r="O237" s="18">
        <f t="shared" si="133"/>
        <v>5700.3864667313264</v>
      </c>
    </row>
    <row r="238" spans="2:15" outlineLevel="1">
      <c r="B238" s="4" t="s">
        <v>154</v>
      </c>
      <c r="E238" s="41">
        <f t="shared" ref="E238:J238" si="134">E130</f>
        <v>3066</v>
      </c>
      <c r="F238" s="41">
        <f t="shared" si="134"/>
        <v>1057</v>
      </c>
      <c r="G238" s="41">
        <f t="shared" si="134"/>
        <v>-3066</v>
      </c>
      <c r="H238" s="41">
        <f t="shared" si="134"/>
        <v>1356</v>
      </c>
      <c r="I238" s="41">
        <f t="shared" si="134"/>
        <v>-5969</v>
      </c>
      <c r="J238" s="41">
        <f t="shared" si="134"/>
        <v>3987</v>
      </c>
      <c r="K238" s="18">
        <f>1307.65-0.127*K236+0.655*K237</f>
        <v>1234.394102321447</v>
      </c>
      <c r="L238" s="18">
        <f t="shared" ref="L238:O238" si="135">1307.65-0.127*L236+0.655*L237</f>
        <v>1279.0457135685119</v>
      </c>
      <c r="M238" s="18">
        <f t="shared" si="135"/>
        <v>1630.423414468316</v>
      </c>
      <c r="N238" s="18">
        <f t="shared" si="135"/>
        <v>2151.1418109934093</v>
      </c>
      <c r="O238" s="18">
        <f t="shared" si="135"/>
        <v>1138.4621558448107</v>
      </c>
    </row>
    <row r="239" spans="2:15" outlineLevel="1">
      <c r="B239" s="4"/>
    </row>
    <row r="240" spans="2:15" outlineLevel="1">
      <c r="B240" s="4" t="s">
        <v>152</v>
      </c>
      <c r="E240" s="30">
        <f t="shared" ref="E240:J240" si="136">E230*E236</f>
        <v>18694.488000000001</v>
      </c>
      <c r="F240" s="30">
        <f t="shared" si="136"/>
        <v>36778.148000000001</v>
      </c>
      <c r="G240" s="30">
        <f t="shared" si="136"/>
        <v>33525.089</v>
      </c>
      <c r="H240" s="30">
        <f t="shared" si="136"/>
        <v>12272.645</v>
      </c>
      <c r="I240" s="30">
        <f t="shared" si="136"/>
        <v>-4464.1779999999999</v>
      </c>
      <c r="J240" s="30">
        <f t="shared" si="136"/>
        <v>-5150.192</v>
      </c>
      <c r="K240" s="18">
        <f>K236*K230</f>
        <v>-3659.2237132392675</v>
      </c>
      <c r="L240" s="18">
        <f>L236*L230</f>
        <v>-988.47944616961445</v>
      </c>
      <c r="M240" s="18">
        <f>M236*M230</f>
        <v>4968.6914365777793</v>
      </c>
      <c r="N240" s="18">
        <f>N236*N230</f>
        <v>7449.2239730665242</v>
      </c>
      <c r="O240" s="18">
        <f>O236*O230</f>
        <v>5685.3864667313264</v>
      </c>
    </row>
    <row r="241" spans="2:15" outlineLevel="1">
      <c r="B241" s="4" t="s">
        <v>153</v>
      </c>
      <c r="E241" s="30">
        <f t="shared" ref="E241:J241" si="137">E237-E240</f>
        <v>-31.488000000001193</v>
      </c>
      <c r="F241" s="30">
        <f t="shared" si="137"/>
        <v>4.8519999999989523</v>
      </c>
      <c r="G241" s="30">
        <f t="shared" si="137"/>
        <v>19.911000000000058</v>
      </c>
      <c r="H241" s="30">
        <f t="shared" si="137"/>
        <v>12.354999999999563</v>
      </c>
      <c r="I241" s="30">
        <f t="shared" si="137"/>
        <v>-1.8220000000001164</v>
      </c>
      <c r="J241" s="30">
        <f t="shared" si="137"/>
        <v>-11.807999999999993</v>
      </c>
      <c r="K241" s="50">
        <v>-9</v>
      </c>
      <c r="L241" s="50">
        <v>-4</v>
      </c>
      <c r="M241" s="50">
        <v>5</v>
      </c>
      <c r="N241" s="50">
        <v>11</v>
      </c>
      <c r="O241" s="50">
        <v>15</v>
      </c>
    </row>
    <row r="242" spans="2:15" outlineLevel="1"/>
    <row r="243" spans="2:15" outlineLevel="1">
      <c r="B243" s="4" t="s">
        <v>117</v>
      </c>
      <c r="E243" s="41">
        <f t="shared" ref="E243:J243" si="138">E83</f>
        <v>0</v>
      </c>
      <c r="F243" s="41">
        <f t="shared" si="138"/>
        <v>0</v>
      </c>
      <c r="G243" s="41">
        <f t="shared" si="138"/>
        <v>0</v>
      </c>
      <c r="H243" s="41">
        <f t="shared" si="138"/>
        <v>7958</v>
      </c>
      <c r="I243" s="41">
        <f t="shared" si="138"/>
        <v>20253</v>
      </c>
      <c r="J243" s="41">
        <f t="shared" si="138"/>
        <v>33575</v>
      </c>
      <c r="K243" s="13">
        <f>K233*K$236</f>
        <v>27512.960249919302</v>
      </c>
      <c r="L243" s="13">
        <f>L233*L236</f>
        <v>-1027.6271470080151</v>
      </c>
      <c r="M243" s="13">
        <f>M233*M236</f>
        <v>5777.5481820671848</v>
      </c>
      <c r="N243" s="13">
        <f>N233*N236</f>
        <v>0</v>
      </c>
      <c r="O243" s="13">
        <f>O233*O236</f>
        <v>0</v>
      </c>
    </row>
    <row r="244" spans="2:15" outlineLevel="1">
      <c r="B244" s="4" t="s">
        <v>116</v>
      </c>
      <c r="E244" s="41">
        <f t="shared" ref="E244:J244" si="139">E100</f>
        <v>3808</v>
      </c>
      <c r="F244" s="41">
        <f t="shared" si="139"/>
        <v>242</v>
      </c>
      <c r="G244" s="41">
        <f t="shared" si="139"/>
        <v>688</v>
      </c>
      <c r="H244" s="41">
        <f t="shared" si="139"/>
        <v>0</v>
      </c>
      <c r="I244" s="41">
        <f t="shared" si="139"/>
        <v>0</v>
      </c>
      <c r="J244" s="41">
        <f t="shared" ca="1" si="139"/>
        <v>0</v>
      </c>
      <c r="K244" s="13">
        <f>K234*K$236</f>
        <v>0</v>
      </c>
      <c r="L244" s="13">
        <f>L234*L$236</f>
        <v>0</v>
      </c>
      <c r="M244" s="13">
        <f>M234*M$236</f>
        <v>0</v>
      </c>
      <c r="N244" s="13">
        <f>N234*N$236</f>
        <v>318.34290483190273</v>
      </c>
      <c r="O244" s="13">
        <f>O234*O$236</f>
        <v>768.29546847720633</v>
      </c>
    </row>
    <row r="245" spans="2:15" outlineLevel="1">
      <c r="B245" s="4" t="s">
        <v>155</v>
      </c>
      <c r="E245" s="41">
        <f>SUM(E243:E244)</f>
        <v>3808</v>
      </c>
      <c r="F245" s="41">
        <f t="shared" ref="F245:J245" si="140">SUM(F243:F244)</f>
        <v>242</v>
      </c>
      <c r="G245" s="41">
        <f t="shared" si="140"/>
        <v>688</v>
      </c>
      <c r="H245" s="41">
        <f t="shared" si="140"/>
        <v>7958</v>
      </c>
      <c r="I245" s="41">
        <f t="shared" si="140"/>
        <v>20253</v>
      </c>
      <c r="J245" s="41">
        <f t="shared" ca="1" si="140"/>
        <v>33575</v>
      </c>
      <c r="K245" s="13">
        <f t="shared" ref="K245" si="141">SUM(K243:K244)</f>
        <v>27512.960249919302</v>
      </c>
      <c r="L245" s="13">
        <f t="shared" ref="L245" si="142">SUM(L243:L244)</f>
        <v>-1027.6271470080151</v>
      </c>
      <c r="M245" s="13">
        <f t="shared" ref="M245" si="143">SUM(M243:M244)</f>
        <v>5777.5481820671848</v>
      </c>
      <c r="N245" s="13">
        <f t="shared" ref="N245" si="144">SUM(N243:N244)</f>
        <v>318.34290483190273</v>
      </c>
      <c r="O245" s="13">
        <f t="shared" ref="O245" si="145">SUM(O243:O244)</f>
        <v>768.29546847720633</v>
      </c>
    </row>
    <row r="246" spans="2:15" outlineLevel="1">
      <c r="B246" s="4" t="s">
        <v>118</v>
      </c>
      <c r="E246" s="41">
        <f t="shared" ref="E246:J246" si="146">E125</f>
        <v>-1014</v>
      </c>
      <c r="F246" s="41">
        <f t="shared" si="146"/>
        <v>-3566</v>
      </c>
      <c r="G246" s="41">
        <f t="shared" si="146"/>
        <v>446</v>
      </c>
      <c r="H246" s="41">
        <f t="shared" si="146"/>
        <v>-8646</v>
      </c>
      <c r="I246" s="41">
        <f t="shared" si="146"/>
        <v>-12295</v>
      </c>
      <c r="J246" s="41">
        <f t="shared" si="146"/>
        <v>-13322</v>
      </c>
      <c r="K246" s="13">
        <f ca="1">J245-K245</f>
        <v>6062.0397500806976</v>
      </c>
      <c r="L246" s="13">
        <f t="shared" ref="L246:O246" si="147">K245-L245</f>
        <v>28540.587396927316</v>
      </c>
      <c r="M246" s="13">
        <f t="shared" si="147"/>
        <v>-6805.1753290752004</v>
      </c>
      <c r="N246" s="13">
        <f t="shared" si="147"/>
        <v>5459.2052772352818</v>
      </c>
      <c r="O246" s="13">
        <f t="shared" si="147"/>
        <v>-449.9525636453036</v>
      </c>
    </row>
    <row r="247" spans="2:15">
      <c r="B247" s="4"/>
      <c r="J247" s="43"/>
    </row>
    <row r="248" spans="2:15">
      <c r="B248" s="2" t="s">
        <v>163</v>
      </c>
      <c r="C248" s="2"/>
      <c r="D248" s="1"/>
      <c r="E248" s="1"/>
      <c r="F248" s="1"/>
      <c r="G248" s="1"/>
      <c r="H248" s="1"/>
      <c r="I248" s="1"/>
      <c r="J248" s="1"/>
      <c r="K248" s="1"/>
      <c r="L248" s="1"/>
      <c r="M248" s="1"/>
      <c r="N248" s="1"/>
      <c r="O248" s="1"/>
    </row>
    <row r="249" spans="2:15" outlineLevel="1"/>
    <row r="250" spans="2:15" ht="15" outlineLevel="1" thickBot="1">
      <c r="B250" s="3" t="s">
        <v>21</v>
      </c>
      <c r="C250" s="3"/>
      <c r="E250" s="15">
        <v>2019</v>
      </c>
      <c r="F250" s="15">
        <v>2020</v>
      </c>
      <c r="G250" s="15">
        <v>2021</v>
      </c>
      <c r="H250" s="15">
        <v>2022</v>
      </c>
      <c r="I250" s="15">
        <v>2023</v>
      </c>
      <c r="J250" s="15">
        <v>2024</v>
      </c>
      <c r="K250" s="68">
        <f>J250+1</f>
        <v>2025</v>
      </c>
      <c r="L250" s="68">
        <f>K250+1</f>
        <v>2026</v>
      </c>
      <c r="M250" s="68">
        <f>L250+1</f>
        <v>2027</v>
      </c>
      <c r="N250" s="68">
        <f>M250+1</f>
        <v>2028</v>
      </c>
      <c r="O250" s="68">
        <f>N250+1</f>
        <v>2029</v>
      </c>
    </row>
    <row r="251" spans="2:15" outlineLevel="1"/>
    <row r="252" spans="2:15" outlineLevel="1">
      <c r="B252" s="4" t="s">
        <v>27</v>
      </c>
      <c r="E252" s="30">
        <f t="shared" ref="E252:O252" si="148">E47</f>
        <v>1698352</v>
      </c>
      <c r="F252" s="30">
        <f t="shared" si="148"/>
        <v>1856555</v>
      </c>
      <c r="G252" s="30">
        <f t="shared" si="148"/>
        <v>2184949</v>
      </c>
      <c r="H252" s="30">
        <f t="shared" si="148"/>
        <v>2114297</v>
      </c>
      <c r="I252" s="30">
        <f t="shared" si="148"/>
        <v>1887482</v>
      </c>
      <c r="J252" s="30">
        <f t="shared" si="148"/>
        <v>1682296</v>
      </c>
      <c r="K252" s="30">
        <f t="shared" si="148"/>
        <v>1615004.16</v>
      </c>
      <c r="L252" s="30">
        <f t="shared" si="148"/>
        <v>1631154.2016</v>
      </c>
      <c r="M252" s="30">
        <f t="shared" si="148"/>
        <v>1650728.0520192001</v>
      </c>
      <c r="N252" s="30">
        <f t="shared" si="148"/>
        <v>1675488.9727994879</v>
      </c>
      <c r="O252" s="30">
        <f t="shared" si="148"/>
        <v>1707323.2632826781</v>
      </c>
    </row>
    <row r="253" spans="2:15" outlineLevel="1">
      <c r="B253" s="4" t="s">
        <v>124</v>
      </c>
      <c r="E253" s="30">
        <f t="shared" ref="E253:O253" si="149">E80</f>
        <v>197421</v>
      </c>
      <c r="F253" s="30">
        <f t="shared" si="149"/>
        <v>175223</v>
      </c>
      <c r="G253" s="30">
        <f t="shared" si="149"/>
        <v>195128</v>
      </c>
      <c r="H253" s="30">
        <f t="shared" si="149"/>
        <v>200605</v>
      </c>
      <c r="I253" s="30">
        <f t="shared" si="149"/>
        <v>179503</v>
      </c>
      <c r="J253" s="30">
        <f t="shared" si="149"/>
        <v>129574</v>
      </c>
      <c r="K253" s="30">
        <f t="shared" si="149"/>
        <v>121125.31199999999</v>
      </c>
      <c r="L253" s="30">
        <f t="shared" si="149"/>
        <v>122336.56512</v>
      </c>
      <c r="M253" s="30">
        <f t="shared" si="149"/>
        <v>127106.0600054784</v>
      </c>
      <c r="N253" s="30">
        <f t="shared" si="149"/>
        <v>129012.65090556057</v>
      </c>
      <c r="O253" s="30">
        <f t="shared" si="149"/>
        <v>131463.89127276622</v>
      </c>
    </row>
    <row r="254" spans="2:15" outlineLevel="1">
      <c r="B254" s="4" t="s">
        <v>33</v>
      </c>
      <c r="E254" s="30">
        <f t="shared" ref="E254:O254" si="150">E140</f>
        <v>-59239</v>
      </c>
      <c r="F254" s="30">
        <f t="shared" si="150"/>
        <v>-37100</v>
      </c>
      <c r="G254" s="30">
        <f t="shared" si="150"/>
        <v>-66900</v>
      </c>
      <c r="H254" s="30">
        <f t="shared" si="150"/>
        <v>-69454</v>
      </c>
      <c r="I254" s="30">
        <f t="shared" si="150"/>
        <v>-57056</v>
      </c>
      <c r="J254" s="30">
        <f t="shared" si="150"/>
        <v>-23505</v>
      </c>
      <c r="K254" s="30">
        <f t="shared" si="150"/>
        <v>-22610.058239999998</v>
      </c>
      <c r="L254" s="30">
        <f t="shared" si="150"/>
        <v>-32623.084032000002</v>
      </c>
      <c r="M254" s="30">
        <f t="shared" si="150"/>
        <v>-34665.289092403204</v>
      </c>
      <c r="N254" s="30">
        <f t="shared" si="150"/>
        <v>-46913.691238385662</v>
      </c>
      <c r="O254" s="30">
        <f t="shared" si="150"/>
        <v>-47805.051371914989</v>
      </c>
    </row>
    <row r="255" spans="2:15" outlineLevel="1">
      <c r="B255" s="4"/>
    </row>
    <row r="256" spans="2:15" outlineLevel="1">
      <c r="B256" s="4" t="s">
        <v>164</v>
      </c>
      <c r="E256" s="41">
        <f t="shared" ref="E256:J256" si="151">E122</f>
        <v>61866</v>
      </c>
      <c r="F256" s="41">
        <f t="shared" si="151"/>
        <v>61563</v>
      </c>
      <c r="G256" s="41">
        <f t="shared" si="151"/>
        <v>60394</v>
      </c>
      <c r="H256" s="41">
        <f t="shared" si="151"/>
        <v>67401</v>
      </c>
      <c r="I256" s="41">
        <f t="shared" si="151"/>
        <v>74043</v>
      </c>
      <c r="J256" s="41">
        <f t="shared" si="151"/>
        <v>66351</v>
      </c>
      <c r="K256" s="13">
        <f>111007.39-(0.008993*K252)-(0.300277*K253)-(0.484741*K254)</f>
        <v>71072.534519011839</v>
      </c>
      <c r="L256" s="13">
        <f>111007.39-(0.008993*L252)-(0.300277*L253)-(0.484741*L254)</f>
        <v>75417.309877228661</v>
      </c>
      <c r="M256" s="13">
        <f>111007.39-(0.008993*M252)-(0.300277*M253)-(0.484741*M254)</f>
        <v>74799.053147866915</v>
      </c>
      <c r="N256" s="13">
        <f>111007.39-(0.008993*N252)-(0.300277*N253)-(0.484741*N254)</f>
        <v>79941.175496231503</v>
      </c>
      <c r="O256" s="13">
        <f>111007.39-(0.008993*O252)-(0.300277*O253)-(0.484741*O254)</f>
        <v>79350.917420659898</v>
      </c>
    </row>
    <row r="258" spans="2:16">
      <c r="B258" s="2" t="s">
        <v>169</v>
      </c>
      <c r="C258" s="2"/>
      <c r="D258" s="1"/>
      <c r="E258" s="1"/>
      <c r="F258" s="1"/>
      <c r="G258" s="1"/>
      <c r="H258" s="1"/>
      <c r="I258" s="1"/>
      <c r="J258" s="1"/>
      <c r="K258" s="1"/>
      <c r="L258" s="1"/>
      <c r="M258" s="1"/>
      <c r="N258" s="1"/>
      <c r="O258" s="1"/>
    </row>
    <row r="259" spans="2:16" outlineLevel="1"/>
    <row r="260" spans="2:16" ht="15" outlineLevel="1" thickBot="1">
      <c r="B260" s="3" t="s">
        <v>21</v>
      </c>
      <c r="C260" s="3"/>
      <c r="E260" s="15">
        <v>2019</v>
      </c>
      <c r="F260" s="15">
        <v>2020</v>
      </c>
      <c r="G260" s="15">
        <v>2021</v>
      </c>
      <c r="H260" s="15">
        <v>2022</v>
      </c>
      <c r="I260" s="15">
        <v>2023</v>
      </c>
      <c r="J260" s="15">
        <v>2024</v>
      </c>
      <c r="K260" s="68">
        <f>J260+1</f>
        <v>2025</v>
      </c>
      <c r="L260" s="68">
        <f>K260+1</f>
        <v>2026</v>
      </c>
      <c r="M260" s="68">
        <f>L260+1</f>
        <v>2027</v>
      </c>
      <c r="N260" s="68">
        <f>M260+1</f>
        <v>2028</v>
      </c>
      <c r="O260" s="68">
        <f>N260+1</f>
        <v>2029</v>
      </c>
    </row>
    <row r="261" spans="2:16" outlineLevel="1">
      <c r="E261" s="5"/>
      <c r="F261" s="5"/>
      <c r="G261" s="5"/>
      <c r="H261" s="5"/>
      <c r="I261" s="5"/>
      <c r="J261" s="53"/>
      <c r="K261" s="53"/>
      <c r="L261" s="53"/>
      <c r="M261" s="53"/>
      <c r="N261" s="53"/>
      <c r="O261" s="53"/>
    </row>
    <row r="262" spans="2:16" outlineLevel="1">
      <c r="B262" s="4" t="s">
        <v>166</v>
      </c>
      <c r="E262" s="41"/>
      <c r="F262" s="41"/>
      <c r="G262" s="41"/>
      <c r="H262" s="41"/>
      <c r="I262" s="41"/>
      <c r="J262" s="41"/>
      <c r="K262" s="13">
        <f>J264</f>
        <v>-479200</v>
      </c>
      <c r="L262" s="13">
        <f t="shared" ref="L262:O262" si="152">K264</f>
        <v>-493873.74978670693</v>
      </c>
      <c r="M262" s="13">
        <f t="shared" si="152"/>
        <v>-497774.73294533737</v>
      </c>
      <c r="N262" s="13">
        <f t="shared" si="152"/>
        <v>-479638.23165364639</v>
      </c>
      <c r="O262" s="13">
        <f t="shared" si="152"/>
        <v>-455264.16514352267</v>
      </c>
    </row>
    <row r="263" spans="2:16" outlineLevel="1">
      <c r="B263" s="4" t="s">
        <v>167</v>
      </c>
      <c r="E263" s="41">
        <f t="shared" ref="E263:O263" si="153">E64</f>
        <v>81845</v>
      </c>
      <c r="F263" s="41">
        <f t="shared" si="153"/>
        <v>139189</v>
      </c>
      <c r="G263" s="41">
        <f t="shared" si="153"/>
        <v>153746</v>
      </c>
      <c r="H263" s="41">
        <f t="shared" si="153"/>
        <v>36610</v>
      </c>
      <c r="I263" s="41">
        <f t="shared" si="153"/>
        <v>-15287</v>
      </c>
      <c r="J263" s="41">
        <f t="shared" si="153"/>
        <v>-20334</v>
      </c>
      <c r="K263" s="13">
        <f t="shared" si="153"/>
        <v>-14673.749786706934</v>
      </c>
      <c r="L263" s="13">
        <f t="shared" si="153"/>
        <v>-3900.9831586304572</v>
      </c>
      <c r="M263" s="13">
        <f t="shared" si="153"/>
        <v>18136.501291690962</v>
      </c>
      <c r="N263" s="13">
        <f t="shared" si="153"/>
        <v>24374.06651012375</v>
      </c>
      <c r="O263" s="13">
        <f t="shared" si="153"/>
        <v>25031.432272356928</v>
      </c>
      <c r="P263" s="43"/>
    </row>
    <row r="264" spans="2:16" outlineLevel="1">
      <c r="B264" s="4" t="s">
        <v>122</v>
      </c>
      <c r="E264" s="76">
        <f t="shared" ref="E264:J264" si="154">E109</f>
        <v>-159711</v>
      </c>
      <c r="F264" s="76">
        <f t="shared" si="154"/>
        <v>-224232</v>
      </c>
      <c r="G264" s="76">
        <f t="shared" si="154"/>
        <v>-429151</v>
      </c>
      <c r="H264" s="76">
        <f t="shared" si="154"/>
        <v>-443579</v>
      </c>
      <c r="I264" s="76">
        <f t="shared" si="154"/>
        <v>-458866</v>
      </c>
      <c r="J264" s="76">
        <f t="shared" si="154"/>
        <v>-479200</v>
      </c>
      <c r="K264" s="76">
        <f>SUM(K262:K263)</f>
        <v>-493873.74978670693</v>
      </c>
      <c r="L264" s="76">
        <f t="shared" ref="L264:O264" si="155">SUM(L262:L263)</f>
        <v>-497774.73294533737</v>
      </c>
      <c r="M264" s="76">
        <f t="shared" si="155"/>
        <v>-479638.23165364639</v>
      </c>
      <c r="N264" s="76">
        <f t="shared" si="155"/>
        <v>-455264.16514352267</v>
      </c>
      <c r="O264" s="76">
        <f t="shared" si="155"/>
        <v>-430232.73287116573</v>
      </c>
    </row>
  </sheetData>
  <sheetProtection algorithmName="SHA-512" hashValue="Z7pgPaf9lk/mVaYxG6kU8B2T7kZ6Nm+t0o4V3AGUBCXmA4TM4v4A6RwmlZTrn9M4U6Xry0CeLCOQA3Ogyvt2Yw==" saltValue="zaO+5vcxBaNpJFuqoMU2Jg==" spinCount="100000" sheet="1" objects="1" scenarios="1"/>
  <pageMargins left="0.7" right="0.7" top="0.75" bottom="0.75" header="0.3" footer="0.3"/>
  <pageSetup paperSize="9" orientation="portrait" r:id="rId1"/>
  <ignoredErrors>
    <ignoredError sqref="K122"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A19AF0-18F4-48E8-9A5E-64B748452B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Dashboard</vt:lpstr>
      <vt:lpstr>WACC</vt:lpstr>
      <vt:lpstr>DCF</vt:lpstr>
      <vt:lpstr>Comparable Company Analysis</vt:lpstr>
      <vt:lpstr>Financial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Sheersh</dc:creator>
  <cp:lastModifiedBy>Patel, Sheersh</cp:lastModifiedBy>
  <cp:lastPrinted>2025-03-05T12:26:47Z</cp:lastPrinted>
  <dcterms:created xsi:type="dcterms:W3CDTF">2025-02-25T10:05:16Z</dcterms:created>
  <dcterms:modified xsi:type="dcterms:W3CDTF">2025-04-04T17:09:59Z</dcterms:modified>
</cp:coreProperties>
</file>