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ustomProperty1.bin" ContentType="application/vnd.openxmlformats-officedocument.spreadsheetml.customProperty"/>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ustomProperty2.bin" ContentType="application/vnd.openxmlformats-officedocument.spreadsheetml.customProperty"/>
  <Override PartName="/xl/drawings/drawing5.xml" ContentType="application/vnd.openxmlformats-officedocument.drawing+xml"/>
  <Override PartName="/xl/customProperty3.bin" ContentType="application/vnd.openxmlformats-officedocument.spreadsheetml.customProperty"/>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ustomProperty4.bin" ContentType="application/vnd.openxmlformats-officedocument.spreadsheetml.customProperty"/>
  <Override PartName="/xl/drawings/drawing9.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Ex2.xml" ContentType="application/vnd.ms-office.chartex+xml"/>
  <Override PartName="/xl/charts/style13.xml" ContentType="application/vnd.ms-office.chartstyle+xml"/>
  <Override PartName="/xl/charts/colors13.xml" ContentType="application/vnd.ms-office.chartcolorstyle+xml"/>
  <Override PartName="/xl/customProperty5.bin" ContentType="application/vnd.openxmlformats-officedocument.spreadsheetml.customProperty"/>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ustomProperty6.bin" ContentType="application/vnd.openxmlformats-officedocument.spreadsheetml.customProperty"/>
  <Override PartName="/xl/drawings/drawing16.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7.xml" ContentType="application/vnd.openxmlformats-officedocument.drawing+xml"/>
  <Override PartName="/xl/customProperty7.bin" ContentType="application/vnd.openxmlformats-officedocument.spreadsheetml.customProperty"/>
  <Override PartName="/xl/drawings/drawing18.xml" ContentType="application/vnd.openxmlformats-officedocument.drawing+xml"/>
  <Override PartName="/xl/tables/table1.xml" ContentType="application/vnd.openxmlformats-officedocument.spreadsheetml.tab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heer\Desktop\Learning\CFI\6 - Case Study Challenges\The Amazon Case Study\Amazon Case Study Attachments\"/>
    </mc:Choice>
  </mc:AlternateContent>
  <xr:revisionPtr revIDLastSave="0" documentId="13_ncr:1_{25C8E8A3-C76D-42A7-9384-644B6D3B9235}" xr6:coauthVersionLast="47" xr6:coauthVersionMax="47" xr10:uidLastSave="{00000000-0000-0000-0000-000000000000}"/>
  <bookViews>
    <workbookView xWindow="-108" yWindow="-108" windowWidth="23256" windowHeight="12456" firstSheet="1" activeTab="1" xr2:uid="{ECC8BE57-62FA-424F-81CB-40D0A9F07C79}"/>
  </bookViews>
  <sheets>
    <sheet name="Cover Page" sheetId="41" r:id="rId1"/>
    <sheet name="Dashboard" sheetId="409" r:id="rId2"/>
    <sheet name="Implied Value Summary" sheetId="829" r:id="rId3"/>
    <sheet name="Outputs" sheetId="846" r:id="rId4"/>
    <sheet name="Control Panel" sheetId="143" r:id="rId5"/>
    <sheet name="Financial Statements" sheetId="2" r:id="rId6"/>
    <sheet name="Raw Data" sheetId="1" r:id="rId7"/>
    <sheet name="Scenarios" sheetId="8" r:id="rId8"/>
    <sheet name="DCF" sheetId="45" r:id="rId9"/>
    <sheet name="WACC" sheetId="209" r:id="rId10"/>
    <sheet name="SOTP" sheetId="110" r:id="rId11"/>
    <sheet name="Comps" sheetId="410" r:id="rId12"/>
    <sheet name="PrecedentsVal" sheetId="646" r:id="rId13"/>
    <sheet name="Precedents" sheetId="641" r:id="rId14"/>
    <sheet name="Market Size" sheetId="698" r:id="rId15"/>
    <sheet name="Macro" sheetId="724" r:id="rId16"/>
    <sheet name="Consensus" sheetId="425" r:id="rId17"/>
    <sheet name="Share Price" sheetId="24" r:id="rId18"/>
  </sheets>
  <externalReferences>
    <externalReference r:id="rId19"/>
  </externalReferences>
  <definedNames>
    <definedName name="__FDS_HYPERLINK_TOGGLE_STATE__" hidden="1">"ON"</definedName>
    <definedName name="_CompanyName">'Control Panel'!$F$10</definedName>
    <definedName name="_xlnm._FilterDatabase" localSheetId="16" hidden="1">Consensus!$B$6:$D$33</definedName>
    <definedName name="_LTGrowth">'Control Panel'!$F$27</definedName>
    <definedName name="_Order1" hidden="1">0</definedName>
    <definedName name="_RoundBillions">'Control Panel'!$F$16</definedName>
    <definedName name="_TaxRate">'Control Panel'!$F$21</definedName>
    <definedName name="_Vdate">'Control Panel'!$F$11</definedName>
    <definedName name="_WACC">'Control Panel'!$W$22</definedName>
    <definedName name="_xlchart.v1.0" hidden="1">DCF!$B$57:$B$59</definedName>
    <definedName name="_xlchart.v1.1" hidden="1">DCF!$C$56</definedName>
    <definedName name="_xlchart.v1.2" hidden="1">DCF!$C$57:$C$59</definedName>
    <definedName name="_xlchart.v1.3" hidden="1">SOTP!$P$67:$P$72</definedName>
    <definedName name="_xlchart.v1.4" hidden="1">SOTP!$Q$67:$Q$72</definedName>
    <definedName name="_YEdate_After">'Control Panel'!$F$14</definedName>
    <definedName name="_YEdate_Before">'Control Panel'!$F$13</definedName>
    <definedName name="CIQWBGuid" hidden="1">"aad26e78-cfd9-4119-9540-fb70f389075a"</definedName>
    <definedName name="CIQWBInfo" hidden="1">"{ ""CIQVersion"":""9.45.614.5792""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"10/24/2020 00:37:21"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istOffset" hidden="1">1</definedName>
    <definedName name="o" localSheetId="0" hidden="1">{#N/A,#N/A,FALSE,"New Depr Sch-150% DB";#N/A,#N/A,FALSE,"Cash Flows RLP";#N/A,#N/A,FALSE,"IRR";#N/A,#N/A,FALSE,"Proforma IS";#N/A,#N/A,FALSE,"Assumptions"}</definedName>
    <definedName name="o" localSheetId="1" hidden="1">{#N/A,#N/A,FALSE,"New Depr Sch-150% DB";#N/A,#N/A,FALSE,"Cash Flows RLP";#N/A,#N/A,FALSE,"IRR";#N/A,#N/A,FALSE,"Proforma IS";#N/A,#N/A,FALSE,"Assumptions"}</definedName>
    <definedName name="o" localSheetId="3" hidden="1">{#N/A,#N/A,FALSE,"New Depr Sch-150% DB";#N/A,#N/A,FALSE,"Cash Flows RLP";#N/A,#N/A,FALSE,"IRR";#N/A,#N/A,FALSE,"Proforma IS";#N/A,#N/A,FALSE,"Assumptions"}</definedName>
    <definedName name="o" localSheetId="17" hidden="1">{#N/A,#N/A,FALSE,"New Depr Sch-150% DB";#N/A,#N/A,FALSE,"Cash Flows RLP";#N/A,#N/A,FALSE,"IRR";#N/A,#N/A,FALSE,"Proforma IS";#N/A,#N/A,FALSE,"Assumptions"}</definedName>
    <definedName name="o" hidden="1">{#N/A,#N/A,FALSE,"New Depr Sch-150% DB";#N/A,#N/A,FALSE,"Cash Flows RLP";#N/A,#N/A,FALSE,"IRR";#N/A,#N/A,FALSE,"Proforma IS";#N/A,#N/A,FALSE,"Assumptions"}</definedName>
    <definedName name="_xlnm.Print_Area" localSheetId="16">Consensus!$A$1:$D$37</definedName>
    <definedName name="_xlnm.Print_Area" localSheetId="4">'Control Panel'!$A$1:$W$42</definedName>
    <definedName name="_xlnm.Print_Area" localSheetId="1">Dashboard!$A$1:$AC$39</definedName>
    <definedName name="_xlnm.Print_Area" localSheetId="8">DCF!$A$1:$P$54</definedName>
    <definedName name="_xlnm.Print_Area" localSheetId="5">'Financial Statements'!$A$1:$S$345</definedName>
    <definedName name="_xlnm.Print_Area" localSheetId="2">'Implied Value Summary'!$A$1:$R$29</definedName>
    <definedName name="_xlnm.Print_Area" localSheetId="15">Macro!$A$1:$H$17</definedName>
    <definedName name="_xlnm.Print_Area" localSheetId="3">Outputs!$B$1:$L$62</definedName>
    <definedName name="_xlnm.Print_Area" localSheetId="13">Precedents!$A$1:$S$23</definedName>
    <definedName name="_xlnm.Print_Area" localSheetId="12">PrecedentsVal!$A$1:$L$15</definedName>
    <definedName name="_xlnm.Print_Area" localSheetId="6">'Raw Data'!$A$1:$H$164</definedName>
    <definedName name="_xlnm.Print_Area" localSheetId="7">Scenarios!$A$1:$S$60</definedName>
    <definedName name="_xlnm.Print_Area" localSheetId="17">'Share Price'!$A$1:$F$1362</definedName>
    <definedName name="_xlnm.Print_Area" localSheetId="10">SOTP!$A$1:$M$38</definedName>
    <definedName name="_xlnm.Print_Area" localSheetId="9">WACC!$B$1:$S$33</definedName>
    <definedName name="wrn.Basic._.Report." localSheetId="0" hidden="1">{#N/A,#N/A,FALSE,"New Depr Sch-150% DB";#N/A,#N/A,FALSE,"Cash Flows RLP";#N/A,#N/A,FALSE,"IRR";#N/A,#N/A,FALSE,"Proforma IS";#N/A,#N/A,FALSE,"Assumptions"}</definedName>
    <definedName name="wrn.Basic._.Report." localSheetId="1" hidden="1">{#N/A,#N/A,FALSE,"New Depr Sch-150% DB";#N/A,#N/A,FALSE,"Cash Flows RLP";#N/A,#N/A,FALSE,"IRR";#N/A,#N/A,FALSE,"Proforma IS";#N/A,#N/A,FALSE,"Assumptions"}</definedName>
    <definedName name="wrn.Basic._.Report." localSheetId="3" hidden="1">{#N/A,#N/A,FALSE,"New Depr Sch-150% DB";#N/A,#N/A,FALSE,"Cash Flows RLP";#N/A,#N/A,FALSE,"IRR";#N/A,#N/A,FALSE,"Proforma IS";#N/A,#N/A,FALSE,"Assumptions"}</definedName>
    <definedName name="wrn.Basic._.Report." localSheetId="17" hidden="1">{#N/A,#N/A,FALSE,"New Depr Sch-150% DB";#N/A,#N/A,FALSE,"Cash Flows RLP";#N/A,#N/A,FALSE,"IRR";#N/A,#N/A,FALSE,"Proforma IS";#N/A,#N/A,FALSE,"Assumptions"}</definedName>
    <definedName name="wrn.Basic._.Report." hidden="1">{#N/A,#N/A,FALSE,"New Depr Sch-150% DB";#N/A,#N/A,FALSE,"Cash Flows RLP";#N/A,#N/A,FALSE,"IRR";#N/A,#N/A,FALSE,"Proforma IS";#N/A,#N/A,FALSE,"Assumptions"}</definedName>
    <definedName name="wrn.clientcopy." localSheetId="0"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7"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plete._.Report." localSheetId="0" hidden="1">{#N/A,#N/A,FALSE,"Assumptions";#N/A,#N/A,FALSE,"Proforma IS";#N/A,#N/A,FALSE,"Cash Flows RLP";#N/A,#N/A,FALSE,"IRR";#N/A,#N/A,FALSE,"New Depr Sch-150% DB";#N/A,#N/A,FALSE,"Comments"}</definedName>
    <definedName name="wrn.Complete._.Report." localSheetId="1" hidden="1">{#N/A,#N/A,FALSE,"Assumptions";#N/A,#N/A,FALSE,"Proforma IS";#N/A,#N/A,FALSE,"Cash Flows RLP";#N/A,#N/A,FALSE,"IRR";#N/A,#N/A,FALSE,"New Depr Sch-150% DB";#N/A,#N/A,FALSE,"Comments"}</definedName>
    <definedName name="wrn.Complete._.Report." localSheetId="3" hidden="1">{#N/A,#N/A,FALSE,"Assumptions";#N/A,#N/A,FALSE,"Proforma IS";#N/A,#N/A,FALSE,"Cash Flows RLP";#N/A,#N/A,FALSE,"IRR";#N/A,#N/A,FALSE,"New Depr Sch-150% DB";#N/A,#N/A,FALSE,"Comments"}</definedName>
    <definedName name="wrn.Complete._.Report." localSheetId="17" hidden="1">{#N/A,#N/A,FALSE,"Assumptions";#N/A,#N/A,FALSE,"Proforma IS";#N/A,#N/A,FALSE,"Cash Flows RLP";#N/A,#N/A,FALSE,"IRR";#N/A,#N/A,FALSE,"New Depr Sch-150% DB";#N/A,#N/A,FALSE,"Comments"}</definedName>
    <definedName name="wrn.Complete._.Report." hidden="1">{#N/A,#N/A,FALSE,"Assumptions";#N/A,#N/A,FALSE,"Proforma IS";#N/A,#N/A,FALSE,"Cash Flows RLP";#N/A,#N/A,FALSE,"IRR";#N/A,#N/A,FALSE,"New Depr Sch-150% DB";#N/A,#N/A,FALSE,"Comments"}</definedName>
    <definedName name="wrn.filecopy." localSheetId="0"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7"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print." localSheetId="0" hidden="1">{#N/A,#N/A,FALSE,"Japan 2003";#N/A,#N/A,FALSE,"Sheet2"}</definedName>
    <definedName name="wrn.print." localSheetId="1" hidden="1">{#N/A,#N/A,FALSE,"Japan 2003";#N/A,#N/A,FALSE,"Sheet2"}</definedName>
    <definedName name="wrn.print." localSheetId="3" hidden="1">{#N/A,#N/A,FALSE,"Japan 2003";#N/A,#N/A,FALSE,"Sheet2"}</definedName>
    <definedName name="wrn.print." localSheetId="17" hidden="1">{#N/A,#N/A,FALSE,"Japan 2003";#N/A,#N/A,FALSE,"Sheet2"}</definedName>
    <definedName name="wrn.print." hidden="1">{#N/A,#N/A,FALSE,"Japan 2003";#N/A,#N/A,FALSE,"Sheet2"}</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409" l="1"/>
  <c r="H4" i="409"/>
  <c r="M3" i="409"/>
  <c r="AL25" i="409"/>
  <c r="AK25" i="409"/>
  <c r="AK24" i="409"/>
  <c r="AJ25" i="409"/>
  <c r="AI25" i="409"/>
  <c r="AI24" i="409"/>
  <c r="AH25" i="409"/>
  <c r="AG25" i="409"/>
  <c r="AH24" i="409"/>
  <c r="AG24" i="409"/>
  <c r="AI39" i="409"/>
  <c r="AJ39" i="409"/>
  <c r="AH39" i="409"/>
  <c r="AJ38" i="409"/>
  <c r="AI38" i="409"/>
  <c r="AH38" i="409"/>
  <c r="AJ37" i="409"/>
  <c r="AI37" i="409"/>
  <c r="AH37" i="409"/>
  <c r="AJ36" i="409"/>
  <c r="AI36" i="409"/>
  <c r="AH36" i="409"/>
  <c r="AJ35" i="409"/>
  <c r="AI35" i="409"/>
  <c r="AH35" i="409"/>
  <c r="AJ34" i="409"/>
  <c r="AI34" i="409"/>
  <c r="AH34" i="409"/>
  <c r="AJ33" i="409"/>
  <c r="AI33" i="409"/>
  <c r="AH33" i="409"/>
  <c r="AI14" i="409"/>
  <c r="AJ14" i="409"/>
  <c r="AI15" i="409"/>
  <c r="AJ15" i="409"/>
  <c r="AI16" i="409"/>
  <c r="AJ16" i="409"/>
  <c r="AH16" i="409"/>
  <c r="AH15" i="409"/>
  <c r="AH14" i="409"/>
  <c r="U18" i="409"/>
  <c r="U17" i="409"/>
  <c r="U11" i="409"/>
  <c r="U10" i="409"/>
  <c r="U9" i="409"/>
  <c r="U8" i="409"/>
  <c r="F11" i="829"/>
  <c r="G11" i="829"/>
  <c r="F12" i="829"/>
  <c r="G12" i="829"/>
  <c r="E12" i="829"/>
  <c r="E11" i="829"/>
  <c r="F45" i="829"/>
  <c r="G45" i="829"/>
  <c r="E45" i="829"/>
  <c r="F44" i="829"/>
  <c r="G44" i="829"/>
  <c r="E44" i="829"/>
  <c r="F43" i="829"/>
  <c r="G43" i="829"/>
  <c r="E43" i="829"/>
  <c r="F42" i="829"/>
  <c r="G42" i="829"/>
  <c r="E42" i="829"/>
  <c r="F41" i="829"/>
  <c r="G41" i="829"/>
  <c r="E41" i="829"/>
  <c r="F39" i="829"/>
  <c r="G39" i="829"/>
  <c r="E39" i="829"/>
  <c r="F38" i="829"/>
  <c r="G38" i="829"/>
  <c r="E38" i="829"/>
  <c r="F37" i="829"/>
  <c r="G37" i="829"/>
  <c r="E37" i="829"/>
  <c r="F36" i="829"/>
  <c r="G36" i="829"/>
  <c r="E36" i="829"/>
  <c r="F35" i="829"/>
  <c r="G35" i="829"/>
  <c r="E35" i="829"/>
  <c r="G33" i="829"/>
  <c r="F33" i="829"/>
  <c r="E33" i="829"/>
  <c r="S52" i="846"/>
  <c r="S53" i="846"/>
  <c r="S54" i="846"/>
  <c r="S55" i="846"/>
  <c r="S56" i="846"/>
  <c r="S51" i="846"/>
  <c r="T25" i="846"/>
  <c r="U25" i="846" s="1"/>
  <c r="V25" i="846" s="1"/>
  <c r="W25" i="846" s="1"/>
  <c r="X25" i="846" s="1"/>
  <c r="Y25" i="846" s="1"/>
  <c r="Z25" i="846" s="1"/>
  <c r="AA25" i="846" s="1"/>
  <c r="AB25" i="846" s="1"/>
  <c r="AC25" i="846" s="1"/>
  <c r="T19" i="846"/>
  <c r="U19" i="846" s="1"/>
  <c r="V19" i="846" s="1"/>
  <c r="W19" i="846" s="1"/>
  <c r="X19" i="846" s="1"/>
  <c r="Y19" i="846" s="1"/>
  <c r="Z19" i="846" s="1"/>
  <c r="AA19" i="846" s="1"/>
  <c r="AB19" i="846" s="1"/>
  <c r="AC19" i="846" s="1"/>
  <c r="T13" i="846"/>
  <c r="U13" i="846" s="1"/>
  <c r="V13" i="846" s="1"/>
  <c r="W13" i="846" s="1"/>
  <c r="X13" i="846" s="1"/>
  <c r="Y13" i="846" s="1"/>
  <c r="Z13" i="846" s="1"/>
  <c r="AA13" i="846" s="1"/>
  <c r="AB13" i="846" s="1"/>
  <c r="AC13" i="846" s="1"/>
  <c r="U7" i="846"/>
  <c r="V7" i="846" s="1"/>
  <c r="W7" i="846" s="1"/>
  <c r="X7" i="846" s="1"/>
  <c r="Y7" i="846" s="1"/>
  <c r="Z7" i="846" s="1"/>
  <c r="AA7" i="846" s="1"/>
  <c r="AB7" i="846" s="1"/>
  <c r="AC7" i="846" s="1"/>
  <c r="T7" i="846"/>
  <c r="K15" i="646"/>
  <c r="L15" i="646"/>
  <c r="J15" i="646"/>
  <c r="K14" i="646"/>
  <c r="L14" i="646"/>
  <c r="J14" i="646"/>
  <c r="K12" i="646"/>
  <c r="L12" i="646"/>
  <c r="J12" i="646"/>
  <c r="K11" i="646"/>
  <c r="L11" i="646"/>
  <c r="J11" i="646"/>
  <c r="K9" i="646"/>
  <c r="L9" i="646"/>
  <c r="J9" i="646"/>
  <c r="H9" i="646"/>
  <c r="G9" i="646"/>
  <c r="F9" i="646"/>
  <c r="D9" i="646"/>
  <c r="K21" i="641"/>
  <c r="L21" i="641"/>
  <c r="M21" i="641"/>
  <c r="K22" i="641"/>
  <c r="L22" i="641"/>
  <c r="M22" i="641"/>
  <c r="K23" i="641"/>
  <c r="L23" i="641"/>
  <c r="M23" i="641"/>
  <c r="J23" i="641"/>
  <c r="J22" i="641"/>
  <c r="J21" i="641"/>
  <c r="K20" i="641"/>
  <c r="L20" i="641"/>
  <c r="M20" i="641"/>
  <c r="J20" i="641"/>
  <c r="M19" i="641"/>
  <c r="L19" i="641"/>
  <c r="K19" i="641"/>
  <c r="J19" i="641"/>
  <c r="M18" i="641"/>
  <c r="L18" i="641"/>
  <c r="K18" i="641"/>
  <c r="J18" i="641"/>
  <c r="M17" i="641"/>
  <c r="L17" i="641"/>
  <c r="K17" i="641"/>
  <c r="J17" i="641"/>
  <c r="M16" i="641"/>
  <c r="L16" i="641"/>
  <c r="K16" i="641"/>
  <c r="J16" i="641"/>
  <c r="M15" i="641"/>
  <c r="L15" i="641"/>
  <c r="K15" i="641"/>
  <c r="J15" i="641"/>
  <c r="M14" i="641"/>
  <c r="L14" i="641"/>
  <c r="K14" i="641"/>
  <c r="J14" i="641"/>
  <c r="M13" i="641"/>
  <c r="L13" i="641"/>
  <c r="K13" i="641"/>
  <c r="J13" i="641"/>
  <c r="M12" i="641"/>
  <c r="L12" i="641"/>
  <c r="K12" i="641"/>
  <c r="J12" i="641"/>
  <c r="M11" i="641"/>
  <c r="L11" i="641"/>
  <c r="K11" i="641"/>
  <c r="J11" i="641"/>
  <c r="M10" i="641"/>
  <c r="L10" i="641"/>
  <c r="K10" i="641"/>
  <c r="J10" i="641"/>
  <c r="K36" i="110" l="1"/>
  <c r="L36" i="110"/>
  <c r="J36" i="110"/>
  <c r="K33" i="110"/>
  <c r="L33" i="110"/>
  <c r="J33" i="110"/>
  <c r="H28" i="110"/>
  <c r="G28" i="110"/>
  <c r="F28" i="110"/>
  <c r="H24" i="110"/>
  <c r="G24" i="110"/>
  <c r="F24" i="110"/>
  <c r="H20" i="110"/>
  <c r="G20" i="110"/>
  <c r="F20" i="110"/>
  <c r="H16" i="110"/>
  <c r="G16" i="110"/>
  <c r="F16" i="110"/>
  <c r="H12" i="110"/>
  <c r="G12" i="110"/>
  <c r="F12" i="110"/>
  <c r="J34" i="45"/>
  <c r="J35" i="45" s="1"/>
  <c r="J33" i="45"/>
  <c r="J32" i="45" s="1"/>
  <c r="J31" i="45" s="1"/>
  <c r="M30" i="45"/>
  <c r="L30" i="45" s="1"/>
  <c r="K30" i="45" s="1"/>
  <c r="W25" i="143"/>
  <c r="M38" i="45" s="1"/>
  <c r="L38" i="45" s="1"/>
  <c r="K38" i="45" s="1"/>
  <c r="W24" i="143"/>
  <c r="J41" i="45" s="1"/>
  <c r="J42" i="45" s="1"/>
  <c r="J43" i="45" s="1"/>
  <c r="W23" i="143"/>
  <c r="W22" i="143"/>
  <c r="F33" i="45"/>
  <c r="F31" i="45"/>
  <c r="R21" i="209"/>
  <c r="Q21" i="209"/>
  <c r="R20" i="209"/>
  <c r="Q20" i="209"/>
  <c r="R19" i="209"/>
  <c r="Q19" i="209"/>
  <c r="R12" i="209"/>
  <c r="Q12" i="209"/>
  <c r="R16" i="209"/>
  <c r="R15" i="209"/>
  <c r="R14" i="209"/>
  <c r="R11" i="209"/>
  <c r="Q11" i="209"/>
  <c r="R10" i="209"/>
  <c r="Q10" i="209"/>
  <c r="R28" i="209"/>
  <c r="Q28" i="209"/>
  <c r="R27" i="209"/>
  <c r="Q27" i="209"/>
  <c r="R26" i="209"/>
  <c r="Q26" i="209"/>
  <c r="R25" i="209"/>
  <c r="Q25" i="209"/>
  <c r="R24" i="209"/>
  <c r="Q24" i="209"/>
  <c r="I28" i="209"/>
  <c r="J28" i="209"/>
  <c r="I29" i="209"/>
  <c r="J29" i="209"/>
  <c r="K27" i="209"/>
  <c r="K26" i="209"/>
  <c r="K25" i="209"/>
  <c r="K24" i="209"/>
  <c r="K23" i="209"/>
  <c r="K22" i="209"/>
  <c r="K21" i="209"/>
  <c r="K20" i="209"/>
  <c r="K19" i="209"/>
  <c r="K18" i="209"/>
  <c r="K17" i="209"/>
  <c r="K16" i="209"/>
  <c r="K15" i="209"/>
  <c r="K14" i="209"/>
  <c r="H27" i="209"/>
  <c r="G27" i="209"/>
  <c r="H26" i="209"/>
  <c r="G26" i="209"/>
  <c r="H25" i="209"/>
  <c r="G25" i="209"/>
  <c r="H24" i="209"/>
  <c r="G24" i="209"/>
  <c r="H23" i="209"/>
  <c r="G23" i="209"/>
  <c r="H22" i="209"/>
  <c r="G22" i="209"/>
  <c r="H21" i="209"/>
  <c r="G21" i="209"/>
  <c r="H20" i="209"/>
  <c r="G20" i="209"/>
  <c r="H19" i="209"/>
  <c r="G19" i="209"/>
  <c r="H18" i="209"/>
  <c r="G18" i="209"/>
  <c r="H17" i="209"/>
  <c r="G17" i="209"/>
  <c r="H16" i="209"/>
  <c r="G16" i="209"/>
  <c r="H15" i="209"/>
  <c r="G15" i="209"/>
  <c r="H14" i="209"/>
  <c r="G14" i="209"/>
  <c r="F27" i="209"/>
  <c r="F26" i="209"/>
  <c r="F25" i="209"/>
  <c r="F24" i="209"/>
  <c r="F21" i="209"/>
  <c r="F22" i="209"/>
  <c r="F23" i="209"/>
  <c r="F20" i="209"/>
  <c r="F18" i="209"/>
  <c r="F19" i="209"/>
  <c r="F17" i="209"/>
  <c r="F15" i="209"/>
  <c r="F16" i="209"/>
  <c r="F14" i="209"/>
  <c r="E27" i="209"/>
  <c r="E26" i="209"/>
  <c r="E25" i="209"/>
  <c r="E24" i="209"/>
  <c r="E21" i="209"/>
  <c r="E22" i="209"/>
  <c r="E23" i="209"/>
  <c r="E20" i="209"/>
  <c r="E18" i="209"/>
  <c r="E19" i="209"/>
  <c r="E17" i="209"/>
  <c r="E15" i="209"/>
  <c r="E16" i="209"/>
  <c r="E14" i="209"/>
  <c r="W18" i="143"/>
  <c r="Q18" i="143"/>
  <c r="D10" i="45"/>
  <c r="D11" i="45" s="1"/>
  <c r="E10" i="45"/>
  <c r="F5" i="45"/>
  <c r="G5" i="45"/>
  <c r="H5" i="45"/>
  <c r="I5" i="45"/>
  <c r="J5" i="45"/>
  <c r="K5" i="45"/>
  <c r="L5" i="45"/>
  <c r="M5" i="45"/>
  <c r="N5" i="45"/>
  <c r="O5" i="45"/>
  <c r="E5" i="45"/>
  <c r="D345" i="2"/>
  <c r="E345" i="2"/>
  <c r="F345" i="2"/>
  <c r="G345" i="2"/>
  <c r="C345" i="2"/>
  <c r="D341" i="2"/>
  <c r="E341" i="2"/>
  <c r="F341" i="2"/>
  <c r="G341" i="2"/>
  <c r="D342" i="2"/>
  <c r="E342" i="2"/>
  <c r="F342" i="2"/>
  <c r="G342" i="2"/>
  <c r="H342" i="2"/>
  <c r="I342" i="2"/>
  <c r="J342" i="2"/>
  <c r="K342" i="2"/>
  <c r="L342" i="2"/>
  <c r="M342" i="2"/>
  <c r="N342" i="2"/>
  <c r="O342" i="2"/>
  <c r="P342" i="2"/>
  <c r="Q342" i="2"/>
  <c r="R342" i="2"/>
  <c r="D343" i="2"/>
  <c r="E343" i="2"/>
  <c r="F343" i="2"/>
  <c r="G343" i="2"/>
  <c r="D344" i="2"/>
  <c r="E344" i="2"/>
  <c r="F344" i="2"/>
  <c r="G344" i="2"/>
  <c r="C344" i="2"/>
  <c r="C343" i="2"/>
  <c r="C342" i="2"/>
  <c r="C341" i="2"/>
  <c r="D340" i="2"/>
  <c r="E340" i="2"/>
  <c r="F340" i="2"/>
  <c r="G340" i="2"/>
  <c r="C340" i="2"/>
  <c r="D339" i="2"/>
  <c r="E339" i="2"/>
  <c r="F339" i="2"/>
  <c r="G339" i="2"/>
  <c r="C339" i="2"/>
  <c r="D337" i="2"/>
  <c r="E337" i="2"/>
  <c r="E338" i="2" s="1"/>
  <c r="F337" i="2"/>
  <c r="G337" i="2"/>
  <c r="D338" i="2"/>
  <c r="F338" i="2"/>
  <c r="G338" i="2"/>
  <c r="C338" i="2"/>
  <c r="C337" i="2"/>
  <c r="D334" i="2"/>
  <c r="E334" i="2"/>
  <c r="F334" i="2"/>
  <c r="G334" i="2"/>
  <c r="C334" i="2"/>
  <c r="D333" i="2"/>
  <c r="E333" i="2"/>
  <c r="F333" i="2"/>
  <c r="G333" i="2"/>
  <c r="C333" i="2"/>
  <c r="D330" i="2"/>
  <c r="E330" i="2"/>
  <c r="E331" i="2" s="1"/>
  <c r="F330" i="2"/>
  <c r="G330" i="2"/>
  <c r="D331" i="2"/>
  <c r="F331" i="2"/>
  <c r="G331" i="2"/>
  <c r="C331" i="2"/>
  <c r="C330" i="2"/>
  <c r="D329" i="2"/>
  <c r="E329" i="2"/>
  <c r="F329" i="2"/>
  <c r="G329" i="2"/>
  <c r="C329" i="2"/>
  <c r="G47" i="143"/>
  <c r="G292" i="2"/>
  <c r="F292" i="2"/>
  <c r="E292" i="2"/>
  <c r="D292" i="2"/>
  <c r="C292" i="2"/>
  <c r="H289" i="2"/>
  <c r="I107" i="2"/>
  <c r="J107" i="2"/>
  <c r="K107" i="2"/>
  <c r="L107" i="2"/>
  <c r="M107" i="2"/>
  <c r="N107" i="2"/>
  <c r="O107" i="2"/>
  <c r="P107" i="2"/>
  <c r="Q107" i="2"/>
  <c r="R107" i="2"/>
  <c r="H107" i="2"/>
  <c r="H100" i="2"/>
  <c r="I89" i="2"/>
  <c r="J89" i="2" s="1"/>
  <c r="K89" i="2" s="1"/>
  <c r="L89" i="2" s="1"/>
  <c r="M89" i="2" s="1"/>
  <c r="N89" i="2" s="1"/>
  <c r="O89" i="2" s="1"/>
  <c r="P89" i="2" s="1"/>
  <c r="Q89" i="2" s="1"/>
  <c r="R89" i="2" s="1"/>
  <c r="H89" i="2"/>
  <c r="I87" i="2"/>
  <c r="J87" i="2"/>
  <c r="K87" i="2"/>
  <c r="L87" i="2" s="1"/>
  <c r="M87" i="2" s="1"/>
  <c r="N87" i="2" s="1"/>
  <c r="O87" i="2" s="1"/>
  <c r="P87" i="2" s="1"/>
  <c r="Q87" i="2" s="1"/>
  <c r="R87" i="2" s="1"/>
  <c r="H87" i="2"/>
  <c r="I82" i="2"/>
  <c r="J82" i="2"/>
  <c r="K82" i="2"/>
  <c r="L82" i="2"/>
  <c r="M82" i="2"/>
  <c r="N82" i="2"/>
  <c r="O82" i="2"/>
  <c r="P82" i="2"/>
  <c r="Q82" i="2"/>
  <c r="R82" i="2"/>
  <c r="H82" i="2"/>
  <c r="G199" i="2"/>
  <c r="F199" i="2"/>
  <c r="E199" i="2"/>
  <c r="D199" i="2"/>
  <c r="C199" i="2"/>
  <c r="I46" i="2"/>
  <c r="J46" i="2"/>
  <c r="K46" i="2"/>
  <c r="L46" i="2"/>
  <c r="M46" i="2"/>
  <c r="N46" i="2"/>
  <c r="O46" i="2"/>
  <c r="P46" i="2"/>
  <c r="Q46" i="2"/>
  <c r="R46" i="2"/>
  <c r="H46" i="2"/>
  <c r="H45" i="2"/>
  <c r="H44" i="2"/>
  <c r="H47" i="2" s="1"/>
  <c r="I323" i="2"/>
  <c r="J323" i="2"/>
  <c r="K323" i="2"/>
  <c r="L323" i="2"/>
  <c r="M323" i="2"/>
  <c r="N323" i="2"/>
  <c r="O323" i="2"/>
  <c r="P323" i="2"/>
  <c r="Q323" i="2"/>
  <c r="R323" i="2"/>
  <c r="H323" i="2"/>
  <c r="F22" i="143"/>
  <c r="I316" i="2"/>
  <c r="J316" i="2"/>
  <c r="K316" i="2"/>
  <c r="L316" i="2"/>
  <c r="M316" i="2"/>
  <c r="N316" i="2"/>
  <c r="O316" i="2"/>
  <c r="P316" i="2"/>
  <c r="Q316" i="2"/>
  <c r="R316" i="2"/>
  <c r="H316" i="2"/>
  <c r="D317" i="2"/>
  <c r="E317" i="2"/>
  <c r="F317" i="2"/>
  <c r="G317" i="2"/>
  <c r="C317" i="2"/>
  <c r="D316" i="2"/>
  <c r="E316" i="2"/>
  <c r="F316" i="2"/>
  <c r="G316" i="2"/>
  <c r="C316" i="2"/>
  <c r="E324" i="2"/>
  <c r="F324" i="2"/>
  <c r="G324" i="2"/>
  <c r="D324" i="2"/>
  <c r="D323" i="2"/>
  <c r="E323" i="2"/>
  <c r="F323" i="2"/>
  <c r="G323" i="2"/>
  <c r="C323" i="2"/>
  <c r="R303" i="2"/>
  <c r="N303" i="2"/>
  <c r="O303" i="2"/>
  <c r="P303" i="2"/>
  <c r="Q303" i="2"/>
  <c r="M303" i="2"/>
  <c r="J303" i="2"/>
  <c r="K303" i="2"/>
  <c r="L303" i="2"/>
  <c r="I303" i="2"/>
  <c r="H303" i="2"/>
  <c r="E303" i="2"/>
  <c r="F303" i="2"/>
  <c r="G303" i="2"/>
  <c r="D303" i="2"/>
  <c r="D304" i="2"/>
  <c r="E302" i="2"/>
  <c r="F302" i="2"/>
  <c r="G302" i="2"/>
  <c r="D302" i="2"/>
  <c r="E301" i="2"/>
  <c r="E304" i="2" s="1"/>
  <c r="F301" i="2" s="1"/>
  <c r="F304" i="2" s="1"/>
  <c r="G301" i="2" s="1"/>
  <c r="G304" i="2" s="1"/>
  <c r="H301" i="2" s="1"/>
  <c r="H304" i="2" s="1"/>
  <c r="I301" i="2" s="1"/>
  <c r="I304" i="2" s="1"/>
  <c r="J301" i="2" s="1"/>
  <c r="J304" i="2" s="1"/>
  <c r="K301" i="2" s="1"/>
  <c r="K304" i="2" s="1"/>
  <c r="L301" i="2" s="1"/>
  <c r="L304" i="2" s="1"/>
  <c r="M301" i="2" s="1"/>
  <c r="M304" i="2" s="1"/>
  <c r="N301" i="2" s="1"/>
  <c r="N304" i="2" s="1"/>
  <c r="O301" i="2" s="1"/>
  <c r="O304" i="2" s="1"/>
  <c r="P301" i="2" s="1"/>
  <c r="P304" i="2" s="1"/>
  <c r="Q301" i="2" s="1"/>
  <c r="Q304" i="2" s="1"/>
  <c r="R301" i="2" s="1"/>
  <c r="R304" i="2" s="1"/>
  <c r="D301" i="2"/>
  <c r="C304" i="2"/>
  <c r="D321" i="2"/>
  <c r="E321" i="2"/>
  <c r="F321" i="2"/>
  <c r="G321" i="2"/>
  <c r="C321" i="2"/>
  <c r="D320" i="2"/>
  <c r="E320" i="2"/>
  <c r="F320" i="2"/>
  <c r="G320" i="2"/>
  <c r="C320" i="2"/>
  <c r="D319" i="2"/>
  <c r="E319" i="2"/>
  <c r="F319" i="2"/>
  <c r="G319" i="2"/>
  <c r="C319" i="2"/>
  <c r="G84" i="2"/>
  <c r="R156" i="2"/>
  <c r="J153" i="2"/>
  <c r="K153" i="2" s="1"/>
  <c r="L153" i="2" s="1"/>
  <c r="M153" i="2" s="1"/>
  <c r="N153" i="2" s="1"/>
  <c r="O153" i="2" s="1"/>
  <c r="P153" i="2" s="1"/>
  <c r="Q153" i="2" s="1"/>
  <c r="R153" i="2"/>
  <c r="I153" i="2"/>
  <c r="H153" i="2"/>
  <c r="O38" i="143"/>
  <c r="H149" i="2"/>
  <c r="D151" i="2"/>
  <c r="E151" i="2"/>
  <c r="F151" i="2"/>
  <c r="G151" i="2"/>
  <c r="C151" i="2"/>
  <c r="D169" i="2"/>
  <c r="E169" i="2"/>
  <c r="F169" i="2"/>
  <c r="G169" i="2"/>
  <c r="C169" i="2"/>
  <c r="D150" i="2"/>
  <c r="E150" i="2"/>
  <c r="F150" i="2"/>
  <c r="G150" i="2"/>
  <c r="C150" i="2"/>
  <c r="C149" i="2"/>
  <c r="E149" i="2"/>
  <c r="F149" i="2"/>
  <c r="G149" i="2"/>
  <c r="D149" i="2"/>
  <c r="D171" i="2"/>
  <c r="E171" i="2"/>
  <c r="F171" i="2"/>
  <c r="G171" i="2"/>
  <c r="C171" i="2"/>
  <c r="D135" i="2"/>
  <c r="E135" i="2"/>
  <c r="F135" i="2"/>
  <c r="G135" i="2"/>
  <c r="C135" i="2"/>
  <c r="D133" i="2"/>
  <c r="E133" i="2"/>
  <c r="F133" i="2"/>
  <c r="G133" i="2"/>
  <c r="C133" i="2"/>
  <c r="D132" i="2"/>
  <c r="E132" i="2"/>
  <c r="F132" i="2"/>
  <c r="G132" i="2"/>
  <c r="C132" i="2"/>
  <c r="D130" i="2"/>
  <c r="E130" i="2"/>
  <c r="F130" i="2"/>
  <c r="G130" i="2"/>
  <c r="C130" i="2"/>
  <c r="D125" i="2"/>
  <c r="E125" i="2"/>
  <c r="F125" i="2"/>
  <c r="G125" i="2"/>
  <c r="D126" i="2"/>
  <c r="E126" i="2"/>
  <c r="F126" i="2"/>
  <c r="G126" i="2"/>
  <c r="D127" i="2"/>
  <c r="E127" i="2"/>
  <c r="F127" i="2"/>
  <c r="G127" i="2"/>
  <c r="C127" i="2"/>
  <c r="C126" i="2"/>
  <c r="C125" i="2"/>
  <c r="D122" i="2"/>
  <c r="E122" i="2"/>
  <c r="F122" i="2"/>
  <c r="G122" i="2"/>
  <c r="C122" i="2"/>
  <c r="D121" i="2"/>
  <c r="E121" i="2"/>
  <c r="F121" i="2"/>
  <c r="G121" i="2"/>
  <c r="C121" i="2"/>
  <c r="D120" i="2"/>
  <c r="E120" i="2"/>
  <c r="F120" i="2"/>
  <c r="G120" i="2"/>
  <c r="C120" i="2"/>
  <c r="G119" i="2"/>
  <c r="F119" i="2"/>
  <c r="E119" i="2"/>
  <c r="D119" i="2"/>
  <c r="C119" i="2"/>
  <c r="D118" i="2"/>
  <c r="E118" i="2"/>
  <c r="F118" i="2"/>
  <c r="G118" i="2"/>
  <c r="C118" i="2"/>
  <c r="D115" i="2"/>
  <c r="E115" i="2"/>
  <c r="F115" i="2"/>
  <c r="G115" i="2"/>
  <c r="C115" i="2"/>
  <c r="G114" i="2"/>
  <c r="F114" i="2"/>
  <c r="E114" i="2"/>
  <c r="D114" i="2"/>
  <c r="C114" i="2"/>
  <c r="G113" i="2"/>
  <c r="F113" i="2"/>
  <c r="E113" i="2"/>
  <c r="D113" i="2"/>
  <c r="C113" i="2"/>
  <c r="G112" i="2"/>
  <c r="F112" i="2"/>
  <c r="E112" i="2"/>
  <c r="D112" i="2"/>
  <c r="C112" i="2"/>
  <c r="G111" i="2"/>
  <c r="F111" i="2"/>
  <c r="E111" i="2"/>
  <c r="D111" i="2"/>
  <c r="C111" i="2"/>
  <c r="G110" i="2"/>
  <c r="F110" i="2"/>
  <c r="E110" i="2"/>
  <c r="D110" i="2"/>
  <c r="C110" i="2"/>
  <c r="D107" i="2"/>
  <c r="E107" i="2"/>
  <c r="F107" i="2"/>
  <c r="G107" i="2"/>
  <c r="C107" i="2"/>
  <c r="G106" i="2"/>
  <c r="F106" i="2"/>
  <c r="E106" i="2"/>
  <c r="D106" i="2"/>
  <c r="C106" i="2"/>
  <c r="G105" i="2"/>
  <c r="F105" i="2"/>
  <c r="E105" i="2"/>
  <c r="D105" i="2"/>
  <c r="C105" i="2"/>
  <c r="D103" i="2"/>
  <c r="E103" i="2"/>
  <c r="F103" i="2"/>
  <c r="G103" i="2"/>
  <c r="C103" i="2"/>
  <c r="D100" i="2"/>
  <c r="E100" i="2"/>
  <c r="F100" i="2"/>
  <c r="G100" i="2"/>
  <c r="C100" i="2"/>
  <c r="D52" i="2"/>
  <c r="E52" i="2"/>
  <c r="F52" i="2"/>
  <c r="G52" i="2"/>
  <c r="D53" i="2"/>
  <c r="E53" i="2"/>
  <c r="F53" i="2"/>
  <c r="G53" i="2"/>
  <c r="C53" i="2"/>
  <c r="C52" i="2"/>
  <c r="G56" i="2"/>
  <c r="F56" i="2"/>
  <c r="E56" i="2"/>
  <c r="D56" i="2"/>
  <c r="C56" i="2"/>
  <c r="G55" i="2"/>
  <c r="F55" i="2"/>
  <c r="E55" i="2"/>
  <c r="D55" i="2"/>
  <c r="C55" i="2"/>
  <c r="D51" i="2"/>
  <c r="E51" i="2"/>
  <c r="F51" i="2"/>
  <c r="G51" i="2"/>
  <c r="C51" i="2"/>
  <c r="G50" i="2"/>
  <c r="F50" i="2"/>
  <c r="E50" i="2"/>
  <c r="D50" i="2"/>
  <c r="C50" i="2"/>
  <c r="D49" i="2"/>
  <c r="E49" i="2"/>
  <c r="F49" i="2"/>
  <c r="G49" i="2"/>
  <c r="C49" i="2"/>
  <c r="D48" i="2"/>
  <c r="E48" i="2"/>
  <c r="F48" i="2"/>
  <c r="G48" i="2"/>
  <c r="C48" i="2"/>
  <c r="D47" i="2"/>
  <c r="E47" i="2"/>
  <c r="F47" i="2"/>
  <c r="G47" i="2"/>
  <c r="C47" i="2"/>
  <c r="G46" i="2"/>
  <c r="F46" i="2"/>
  <c r="E46" i="2"/>
  <c r="D46" i="2"/>
  <c r="C46" i="2"/>
  <c r="G45" i="2"/>
  <c r="F45" i="2"/>
  <c r="E45" i="2"/>
  <c r="D45" i="2"/>
  <c r="C45" i="2"/>
  <c r="G44" i="2"/>
  <c r="F44" i="2"/>
  <c r="E44" i="2"/>
  <c r="D44" i="2"/>
  <c r="C44" i="2"/>
  <c r="I246" i="2"/>
  <c r="J246" i="2"/>
  <c r="K246" i="2"/>
  <c r="L246" i="2"/>
  <c r="M246" i="2"/>
  <c r="N246" i="2"/>
  <c r="O246" i="2"/>
  <c r="P246" i="2"/>
  <c r="Q246" i="2"/>
  <c r="R246" i="2"/>
  <c r="H246" i="2"/>
  <c r="H243" i="2"/>
  <c r="G248" i="2"/>
  <c r="G244" i="2"/>
  <c r="G243" i="2"/>
  <c r="D250" i="2"/>
  <c r="E250" i="2"/>
  <c r="F250" i="2"/>
  <c r="G250" i="2"/>
  <c r="C250" i="2"/>
  <c r="H264" i="2"/>
  <c r="I258" i="2"/>
  <c r="H258" i="2"/>
  <c r="H257" i="2"/>
  <c r="H259" i="2"/>
  <c r="I256" i="2" s="1"/>
  <c r="I257" i="2" s="1"/>
  <c r="N46" i="143"/>
  <c r="N45" i="143"/>
  <c r="N44" i="143"/>
  <c r="H256" i="2"/>
  <c r="F285" i="2"/>
  <c r="G285" i="2"/>
  <c r="E285" i="2"/>
  <c r="F284" i="2"/>
  <c r="G284" i="2"/>
  <c r="E284" i="2"/>
  <c r="G283" i="2"/>
  <c r="F283" i="2"/>
  <c r="F282" i="2"/>
  <c r="G282" i="2"/>
  <c r="E282" i="2"/>
  <c r="H235" i="2"/>
  <c r="H213" i="2"/>
  <c r="D231" i="2"/>
  <c r="E231" i="2"/>
  <c r="E233" i="2" s="1"/>
  <c r="F231" i="2"/>
  <c r="F233" i="2" s="1"/>
  <c r="G231" i="2"/>
  <c r="G233" i="2" s="1"/>
  <c r="H205" i="2" s="1"/>
  <c r="C231" i="2"/>
  <c r="C233" i="2" s="1"/>
  <c r="D233" i="2"/>
  <c r="D232" i="2"/>
  <c r="E232" i="2"/>
  <c r="F232" i="2"/>
  <c r="G232" i="2"/>
  <c r="C232" i="2"/>
  <c r="D205" i="2"/>
  <c r="E205" i="2"/>
  <c r="F205" i="2"/>
  <c r="G205" i="2"/>
  <c r="C205" i="2"/>
  <c r="G194" i="2"/>
  <c r="F194" i="2"/>
  <c r="E194" i="2"/>
  <c r="D194" i="2"/>
  <c r="C194" i="2"/>
  <c r="O46" i="143"/>
  <c r="O45" i="143"/>
  <c r="O44" i="143"/>
  <c r="F178" i="2"/>
  <c r="C178" i="2"/>
  <c r="G198" i="2"/>
  <c r="G178" i="2" s="1"/>
  <c r="F198" i="2"/>
  <c r="E198" i="2"/>
  <c r="D198" i="2"/>
  <c r="D178" i="2" s="1"/>
  <c r="C198" i="2"/>
  <c r="G196" i="2"/>
  <c r="F196" i="2"/>
  <c r="E196" i="2"/>
  <c r="D196" i="2"/>
  <c r="C196" i="2"/>
  <c r="G177" i="2"/>
  <c r="F177" i="2"/>
  <c r="E177" i="2"/>
  <c r="E178" i="2" s="1"/>
  <c r="D177" i="2"/>
  <c r="C177" i="2"/>
  <c r="I65" i="2"/>
  <c r="H65" i="2"/>
  <c r="O33" i="143"/>
  <c r="O32" i="143"/>
  <c r="O30" i="143"/>
  <c r="N30" i="143"/>
  <c r="M30" i="143"/>
  <c r="G92" i="2"/>
  <c r="G80" i="2"/>
  <c r="G90" i="2"/>
  <c r="F90" i="2"/>
  <c r="E90" i="2"/>
  <c r="D90" i="2"/>
  <c r="C90" i="2"/>
  <c r="G89" i="2"/>
  <c r="F89" i="2"/>
  <c r="E89" i="2"/>
  <c r="D89" i="2"/>
  <c r="C89" i="2"/>
  <c r="G88" i="2"/>
  <c r="F88" i="2"/>
  <c r="E88" i="2"/>
  <c r="D88" i="2"/>
  <c r="C88" i="2"/>
  <c r="G87" i="2"/>
  <c r="G91" i="2" s="1"/>
  <c r="F87" i="2"/>
  <c r="F91" i="2" s="1"/>
  <c r="E87" i="2"/>
  <c r="D87" i="2"/>
  <c r="C87" i="2"/>
  <c r="G86" i="2"/>
  <c r="F86" i="2"/>
  <c r="E86" i="2"/>
  <c r="E91" i="2" s="1"/>
  <c r="D86" i="2"/>
  <c r="D91" i="2" s="1"/>
  <c r="C86" i="2"/>
  <c r="C91" i="2" s="1"/>
  <c r="G83" i="2"/>
  <c r="F83" i="2"/>
  <c r="E83" i="2"/>
  <c r="D83" i="2"/>
  <c r="C83" i="2"/>
  <c r="G82" i="2"/>
  <c r="F82" i="2"/>
  <c r="E82" i="2"/>
  <c r="D82" i="2"/>
  <c r="C82" i="2"/>
  <c r="G81" i="2"/>
  <c r="F81" i="2"/>
  <c r="E81" i="2"/>
  <c r="D81" i="2"/>
  <c r="C81" i="2"/>
  <c r="G79" i="2"/>
  <c r="F79" i="2"/>
  <c r="E79" i="2"/>
  <c r="D79" i="2"/>
  <c r="C79" i="2"/>
  <c r="G78" i="2"/>
  <c r="F78" i="2"/>
  <c r="E78" i="2"/>
  <c r="D78" i="2"/>
  <c r="C78" i="2"/>
  <c r="G77" i="2"/>
  <c r="F77" i="2"/>
  <c r="F80" i="2" s="1"/>
  <c r="F84" i="2" s="1"/>
  <c r="F92" i="2" s="1"/>
  <c r="E77" i="2"/>
  <c r="E80" i="2" s="1"/>
  <c r="E84" i="2" s="1"/>
  <c r="D77" i="2"/>
  <c r="D80" i="2" s="1"/>
  <c r="D84" i="2" s="1"/>
  <c r="C77" i="2"/>
  <c r="C80" i="2" s="1"/>
  <c r="C84" i="2" s="1"/>
  <c r="C92" i="2" s="1"/>
  <c r="G72" i="2"/>
  <c r="H72" i="2" s="1"/>
  <c r="I72" i="2" s="1"/>
  <c r="J72" i="2" s="1"/>
  <c r="K72" i="2" s="1"/>
  <c r="L72" i="2" s="1"/>
  <c r="M72" i="2" s="1"/>
  <c r="N72" i="2" s="1"/>
  <c r="O72" i="2" s="1"/>
  <c r="P72" i="2" s="1"/>
  <c r="Q72" i="2" s="1"/>
  <c r="R72" i="2" s="1"/>
  <c r="G71" i="2"/>
  <c r="F71" i="2"/>
  <c r="E71" i="2"/>
  <c r="D71" i="2"/>
  <c r="C71" i="2"/>
  <c r="G70" i="2"/>
  <c r="F70" i="2"/>
  <c r="E70" i="2"/>
  <c r="D70" i="2"/>
  <c r="C70" i="2"/>
  <c r="G69" i="2"/>
  <c r="F69" i="2"/>
  <c r="E69" i="2"/>
  <c r="D69" i="2"/>
  <c r="C69" i="2"/>
  <c r="F67" i="2"/>
  <c r="C67" i="2"/>
  <c r="G66" i="2"/>
  <c r="F66" i="2"/>
  <c r="E66" i="2"/>
  <c r="D66" i="2"/>
  <c r="C66" i="2"/>
  <c r="D65" i="2"/>
  <c r="E65" i="2"/>
  <c r="F65" i="2"/>
  <c r="G65" i="2"/>
  <c r="C65" i="2"/>
  <c r="E64" i="2"/>
  <c r="G64" i="2"/>
  <c r="G63" i="2"/>
  <c r="C63" i="2"/>
  <c r="I144" i="2"/>
  <c r="J144" i="2" s="1"/>
  <c r="K144" i="2" s="1"/>
  <c r="L144" i="2" s="1"/>
  <c r="M144" i="2" s="1"/>
  <c r="N144" i="2" s="1"/>
  <c r="O144" i="2" s="1"/>
  <c r="P144" i="2" s="1"/>
  <c r="Q144" i="2" s="1"/>
  <c r="R144" i="2" s="1"/>
  <c r="H144" i="2"/>
  <c r="E145" i="2"/>
  <c r="G144" i="2"/>
  <c r="F144" i="2"/>
  <c r="F145" i="2" s="1"/>
  <c r="E144" i="2"/>
  <c r="E72" i="2" s="1"/>
  <c r="D144" i="2"/>
  <c r="D72" i="2" s="1"/>
  <c r="C144" i="2"/>
  <c r="C72" i="2" s="1"/>
  <c r="G143" i="2"/>
  <c r="H143" i="2" s="1"/>
  <c r="F143" i="2"/>
  <c r="E143" i="2"/>
  <c r="E67" i="2" s="1"/>
  <c r="D143" i="2"/>
  <c r="D67" i="2" s="1"/>
  <c r="C143" i="2"/>
  <c r="G142" i="2"/>
  <c r="G145" i="2" s="1"/>
  <c r="F142" i="2"/>
  <c r="F63" i="2" s="1"/>
  <c r="E142" i="2"/>
  <c r="E63" i="2" s="1"/>
  <c r="D142" i="2"/>
  <c r="D145" i="2" s="1"/>
  <c r="C142" i="2"/>
  <c r="C145" i="2" s="1"/>
  <c r="O22" i="143"/>
  <c r="O17" i="143"/>
  <c r="O18" i="143"/>
  <c r="O19" i="143"/>
  <c r="O20" i="143"/>
  <c r="O16" i="143"/>
  <c r="O14" i="143"/>
  <c r="D36" i="2"/>
  <c r="E36" i="2"/>
  <c r="G36" i="2"/>
  <c r="G37" i="2"/>
  <c r="F37" i="2"/>
  <c r="F36" i="2" s="1"/>
  <c r="F42" i="2" s="1"/>
  <c r="E37" i="2"/>
  <c r="D37" i="2"/>
  <c r="C37" i="2"/>
  <c r="C36" i="2" s="1"/>
  <c r="G41" i="2"/>
  <c r="F41" i="2"/>
  <c r="E41" i="2"/>
  <c r="D41" i="2"/>
  <c r="G40" i="2"/>
  <c r="F40" i="2"/>
  <c r="E40" i="2"/>
  <c r="D40" i="2"/>
  <c r="G39" i="2"/>
  <c r="F39" i="2"/>
  <c r="E39" i="2"/>
  <c r="D39" i="2"/>
  <c r="G38" i="2"/>
  <c r="F38" i="2"/>
  <c r="E38" i="2"/>
  <c r="D38" i="2"/>
  <c r="C41" i="2"/>
  <c r="C40" i="2"/>
  <c r="C39" i="2"/>
  <c r="C38" i="2"/>
  <c r="G35" i="2"/>
  <c r="F35" i="2"/>
  <c r="E35" i="2"/>
  <c r="E42" i="2" s="1"/>
  <c r="D35" i="2"/>
  <c r="D42" i="2" s="1"/>
  <c r="C35" i="2"/>
  <c r="G31" i="2"/>
  <c r="F31" i="2"/>
  <c r="E31" i="2"/>
  <c r="D31" i="2"/>
  <c r="C31" i="2"/>
  <c r="G30" i="2"/>
  <c r="F30" i="2"/>
  <c r="E30" i="2"/>
  <c r="D30" i="2"/>
  <c r="C30" i="2"/>
  <c r="G29" i="2"/>
  <c r="G32" i="2" s="1"/>
  <c r="F29" i="2"/>
  <c r="E29" i="2"/>
  <c r="D29" i="2"/>
  <c r="C29" i="2"/>
  <c r="G28" i="2"/>
  <c r="F28" i="2"/>
  <c r="E28" i="2"/>
  <c r="D28" i="2"/>
  <c r="C28" i="2"/>
  <c r="G27" i="2"/>
  <c r="F27" i="2"/>
  <c r="E27" i="2"/>
  <c r="D27" i="2"/>
  <c r="C27" i="2"/>
  <c r="G26" i="2"/>
  <c r="F26" i="2"/>
  <c r="F32" i="2" s="1"/>
  <c r="E26" i="2"/>
  <c r="E32" i="2" s="1"/>
  <c r="D26" i="2"/>
  <c r="D32" i="2" s="1"/>
  <c r="C26" i="2"/>
  <c r="C32" i="2" s="1"/>
  <c r="G18" i="2"/>
  <c r="F18" i="2"/>
  <c r="E18" i="2"/>
  <c r="D18" i="2"/>
  <c r="G17" i="2"/>
  <c r="F17" i="2"/>
  <c r="E17" i="2"/>
  <c r="D17" i="2"/>
  <c r="G16" i="2"/>
  <c r="F16" i="2"/>
  <c r="E16" i="2"/>
  <c r="D16" i="2"/>
  <c r="G15" i="2"/>
  <c r="F15" i="2"/>
  <c r="E15" i="2"/>
  <c r="D15" i="2"/>
  <c r="G14" i="2"/>
  <c r="F14" i="2"/>
  <c r="E14" i="2"/>
  <c r="D14" i="2"/>
  <c r="G13" i="2"/>
  <c r="F13" i="2"/>
  <c r="E13" i="2"/>
  <c r="D13" i="2"/>
  <c r="R49" i="8"/>
  <c r="Q49" i="8"/>
  <c r="P49" i="8"/>
  <c r="O49" i="8"/>
  <c r="N49" i="8"/>
  <c r="M49" i="8"/>
  <c r="L49" i="8"/>
  <c r="K49" i="8"/>
  <c r="J49" i="8"/>
  <c r="I49" i="8"/>
  <c r="H49" i="8"/>
  <c r="R48" i="8"/>
  <c r="Q48" i="8"/>
  <c r="P48" i="8"/>
  <c r="O48" i="8"/>
  <c r="N48" i="8"/>
  <c r="M48" i="8"/>
  <c r="L48" i="8"/>
  <c r="K48" i="8"/>
  <c r="J48" i="8"/>
  <c r="I48" i="8"/>
  <c r="H48" i="8"/>
  <c r="R47" i="8"/>
  <c r="Q47" i="8"/>
  <c r="P47" i="8"/>
  <c r="O47" i="8"/>
  <c r="N47" i="8"/>
  <c r="M47" i="8"/>
  <c r="L47" i="8"/>
  <c r="K47" i="8"/>
  <c r="J47" i="8"/>
  <c r="I47" i="8"/>
  <c r="H47" i="8"/>
  <c r="R46" i="8"/>
  <c r="Q46" i="8"/>
  <c r="P46" i="8"/>
  <c r="O46" i="8"/>
  <c r="N46" i="8"/>
  <c r="M46" i="8"/>
  <c r="L46" i="8"/>
  <c r="K46" i="8"/>
  <c r="J46" i="8"/>
  <c r="I46" i="8"/>
  <c r="H46" i="8"/>
  <c r="R45" i="8"/>
  <c r="Q45" i="8"/>
  <c r="P45" i="8"/>
  <c r="O45" i="8"/>
  <c r="N45" i="8"/>
  <c r="M45" i="8"/>
  <c r="L45" i="8"/>
  <c r="K45" i="8"/>
  <c r="J45" i="8"/>
  <c r="I45" i="8"/>
  <c r="H45" i="8"/>
  <c r="R44" i="8"/>
  <c r="Q44" i="8"/>
  <c r="P44" i="8"/>
  <c r="O44" i="8"/>
  <c r="N44" i="8"/>
  <c r="M44" i="8"/>
  <c r="L44" i="8"/>
  <c r="K44" i="8"/>
  <c r="J44" i="8"/>
  <c r="I44" i="8"/>
  <c r="H44" i="8"/>
  <c r="R39" i="8"/>
  <c r="Q39" i="8"/>
  <c r="P39" i="8"/>
  <c r="O39" i="8"/>
  <c r="N39" i="8"/>
  <c r="M39" i="8"/>
  <c r="L39" i="8"/>
  <c r="K39" i="8"/>
  <c r="J39" i="8"/>
  <c r="I39" i="8"/>
  <c r="H39" i="8"/>
  <c r="R38" i="8"/>
  <c r="Q38" i="8"/>
  <c r="P38" i="8"/>
  <c r="O38" i="8"/>
  <c r="N38" i="8"/>
  <c r="M38" i="8"/>
  <c r="L38" i="8"/>
  <c r="K38" i="8"/>
  <c r="J38" i="8"/>
  <c r="I38" i="8"/>
  <c r="H38" i="8"/>
  <c r="R37" i="8"/>
  <c r="Q37" i="8"/>
  <c r="P37" i="8"/>
  <c r="O37" i="8"/>
  <c r="N37" i="8"/>
  <c r="M37" i="8"/>
  <c r="L37" i="8"/>
  <c r="K37" i="8"/>
  <c r="J37" i="8"/>
  <c r="I37" i="8"/>
  <c r="H37" i="8"/>
  <c r="R36" i="8"/>
  <c r="Q36" i="8"/>
  <c r="P36" i="8"/>
  <c r="O36" i="8"/>
  <c r="N36" i="8"/>
  <c r="M36" i="8"/>
  <c r="L36" i="8"/>
  <c r="K36" i="8"/>
  <c r="J36" i="8"/>
  <c r="I36" i="8"/>
  <c r="H36" i="8"/>
  <c r="R35" i="8"/>
  <c r="Q35" i="8"/>
  <c r="P35" i="8"/>
  <c r="O35" i="8"/>
  <c r="N35" i="8"/>
  <c r="M35" i="8"/>
  <c r="L35" i="8"/>
  <c r="K35" i="8"/>
  <c r="J35" i="8"/>
  <c r="I35" i="8"/>
  <c r="H35" i="8"/>
  <c r="R34" i="8"/>
  <c r="Q34" i="8"/>
  <c r="P34" i="8"/>
  <c r="O34" i="8"/>
  <c r="N34" i="8"/>
  <c r="M34" i="8"/>
  <c r="L34" i="8"/>
  <c r="K34" i="8"/>
  <c r="J34" i="8"/>
  <c r="I34" i="8"/>
  <c r="H34" i="8"/>
  <c r="T44" i="8"/>
  <c r="T34" i="8"/>
  <c r="I29" i="8"/>
  <c r="J29" i="8" s="1"/>
  <c r="K29" i="8" s="1"/>
  <c r="L29" i="8" s="1"/>
  <c r="M29" i="8" s="1"/>
  <c r="N29" i="8" s="1"/>
  <c r="O29" i="8" s="1"/>
  <c r="P29" i="8" s="1"/>
  <c r="Q29" i="8" s="1"/>
  <c r="R29" i="8" s="1"/>
  <c r="I28" i="8"/>
  <c r="J28" i="8" s="1"/>
  <c r="K28" i="8" s="1"/>
  <c r="L28" i="8" s="1"/>
  <c r="M28" i="8" s="1"/>
  <c r="N28" i="8" s="1"/>
  <c r="O28" i="8" s="1"/>
  <c r="P28" i="8" s="1"/>
  <c r="Q28" i="8" s="1"/>
  <c r="R28" i="8" s="1"/>
  <c r="I27" i="8"/>
  <c r="J27" i="8" s="1"/>
  <c r="K27" i="8" s="1"/>
  <c r="L27" i="8" s="1"/>
  <c r="M27" i="8" s="1"/>
  <c r="N27" i="8" s="1"/>
  <c r="O27" i="8" s="1"/>
  <c r="P27" i="8" s="1"/>
  <c r="Q27" i="8" s="1"/>
  <c r="R27" i="8" s="1"/>
  <c r="I26" i="8"/>
  <c r="J26" i="8" s="1"/>
  <c r="K26" i="8" s="1"/>
  <c r="L26" i="8" s="1"/>
  <c r="M26" i="8" s="1"/>
  <c r="N26" i="8" s="1"/>
  <c r="O26" i="8" s="1"/>
  <c r="P26" i="8" s="1"/>
  <c r="Q26" i="8" s="1"/>
  <c r="R26" i="8" s="1"/>
  <c r="I25" i="8"/>
  <c r="J25" i="8" s="1"/>
  <c r="K25" i="8" s="1"/>
  <c r="L25" i="8" s="1"/>
  <c r="M25" i="8" s="1"/>
  <c r="N25" i="8" s="1"/>
  <c r="O25" i="8" s="1"/>
  <c r="P25" i="8" s="1"/>
  <c r="Q25" i="8" s="1"/>
  <c r="R25" i="8" s="1"/>
  <c r="J24" i="8"/>
  <c r="K24" i="8" s="1"/>
  <c r="L24" i="8" s="1"/>
  <c r="M24" i="8" s="1"/>
  <c r="N24" i="8" s="1"/>
  <c r="O24" i="8" s="1"/>
  <c r="P24" i="8" s="1"/>
  <c r="Q24" i="8" s="1"/>
  <c r="R24" i="8" s="1"/>
  <c r="I24" i="8"/>
  <c r="H29" i="8"/>
  <c r="H28" i="8"/>
  <c r="H27" i="8"/>
  <c r="H26" i="8"/>
  <c r="H24" i="8"/>
  <c r="W12" i="143"/>
  <c r="R19" i="8" s="1"/>
  <c r="R18" i="2" s="1"/>
  <c r="R12" i="143"/>
  <c r="Q12" i="143"/>
  <c r="H9" i="2"/>
  <c r="H8" i="2" s="1"/>
  <c r="H8" i="8" s="1"/>
  <c r="G9" i="2"/>
  <c r="F14" i="143"/>
  <c r="F13" i="143"/>
  <c r="F11" i="143"/>
  <c r="E37" i="425"/>
  <c r="E36" i="425"/>
  <c r="E35" i="425"/>
  <c r="E34" i="425"/>
  <c r="E33" i="425"/>
  <c r="J40" i="45" l="1"/>
  <c r="J39" i="45" s="1"/>
  <c r="N38" i="45"/>
  <c r="O38" i="45" s="1"/>
  <c r="N30" i="45"/>
  <c r="O30" i="45" s="1"/>
  <c r="F10" i="45"/>
  <c r="F12" i="45" s="1"/>
  <c r="E12" i="45"/>
  <c r="E11" i="45"/>
  <c r="I259" i="2"/>
  <c r="J256" i="2" s="1"/>
  <c r="I143" i="2"/>
  <c r="H64" i="2"/>
  <c r="G43" i="2"/>
  <c r="G19" i="2"/>
  <c r="E68" i="2"/>
  <c r="E73" i="2" s="1"/>
  <c r="F68" i="2"/>
  <c r="F73" i="2" s="1"/>
  <c r="F94" i="2" s="1"/>
  <c r="E43" i="2"/>
  <c r="E19" i="2"/>
  <c r="E92" i="2"/>
  <c r="D43" i="2"/>
  <c r="D19" i="2"/>
  <c r="F43" i="2"/>
  <c r="F19" i="2"/>
  <c r="D92" i="2"/>
  <c r="H207" i="2"/>
  <c r="H208" i="2" s="1"/>
  <c r="I205" i="2" s="1"/>
  <c r="H206" i="2"/>
  <c r="H10" i="2"/>
  <c r="C64" i="2"/>
  <c r="C68" i="2" s="1"/>
  <c r="C73" i="2" s="1"/>
  <c r="C94" i="2" s="1"/>
  <c r="G9" i="8"/>
  <c r="F64" i="2"/>
  <c r="G67" i="2"/>
  <c r="G68" i="2" s="1"/>
  <c r="G73" i="2" s="1"/>
  <c r="G94" i="2" s="1"/>
  <c r="H177" i="2"/>
  <c r="H9" i="8"/>
  <c r="G5" i="2"/>
  <c r="H5" i="2"/>
  <c r="D64" i="2"/>
  <c r="F72" i="2"/>
  <c r="I9" i="2"/>
  <c r="G8" i="2"/>
  <c r="G8" i="8" s="1"/>
  <c r="D63" i="2"/>
  <c r="D68" i="2" s="1"/>
  <c r="D73" i="2" s="1"/>
  <c r="D94" i="2" s="1"/>
  <c r="F9" i="2"/>
  <c r="G42" i="2"/>
  <c r="J65" i="2"/>
  <c r="C42" i="2"/>
  <c r="C43" i="2" s="1"/>
  <c r="O15" i="8"/>
  <c r="O14" i="2" s="1"/>
  <c r="P16" i="8"/>
  <c r="P15" i="2" s="1"/>
  <c r="Q17" i="8"/>
  <c r="Q16" i="2" s="1"/>
  <c r="R18" i="8"/>
  <c r="R17" i="2" s="1"/>
  <c r="R17" i="8"/>
  <c r="R16" i="2" s="1"/>
  <c r="P14" i="8"/>
  <c r="P13" i="2" s="1"/>
  <c r="R15" i="8"/>
  <c r="R14" i="2" s="1"/>
  <c r="I18" i="8"/>
  <c r="I17" i="2" s="1"/>
  <c r="J19" i="8"/>
  <c r="J18" i="2" s="1"/>
  <c r="N14" i="8"/>
  <c r="N13" i="2" s="1"/>
  <c r="R16" i="8"/>
  <c r="R15" i="2" s="1"/>
  <c r="H17" i="8"/>
  <c r="H16" i="2" s="1"/>
  <c r="H29" i="2" s="1"/>
  <c r="R14" i="8"/>
  <c r="R13" i="2" s="1"/>
  <c r="H16" i="8"/>
  <c r="H15" i="2" s="1"/>
  <c r="H28" i="2" s="1"/>
  <c r="I17" i="8"/>
  <c r="I16" i="2" s="1"/>
  <c r="J18" i="8"/>
  <c r="J17" i="2" s="1"/>
  <c r="K19" i="8"/>
  <c r="K18" i="2" s="1"/>
  <c r="Q16" i="8"/>
  <c r="Q15" i="2" s="1"/>
  <c r="H18" i="8"/>
  <c r="H17" i="2" s="1"/>
  <c r="H30" i="2" s="1"/>
  <c r="AK37" i="409" s="1"/>
  <c r="Q14" i="8"/>
  <c r="Q13" i="2" s="1"/>
  <c r="H15" i="8"/>
  <c r="H14" i="2" s="1"/>
  <c r="H27" i="2" s="1"/>
  <c r="AK34" i="409" s="1"/>
  <c r="I16" i="8"/>
  <c r="I15" i="2" s="1"/>
  <c r="J17" i="8"/>
  <c r="J16" i="2" s="1"/>
  <c r="K18" i="8"/>
  <c r="K17" i="2" s="1"/>
  <c r="L19" i="8"/>
  <c r="L18" i="2" s="1"/>
  <c r="H19" i="8"/>
  <c r="H18" i="2" s="1"/>
  <c r="H31" i="2" s="1"/>
  <c r="AK38" i="409" s="1"/>
  <c r="I15" i="8"/>
  <c r="I14" i="2" s="1"/>
  <c r="L18" i="8"/>
  <c r="L17" i="2" s="1"/>
  <c r="M19" i="8"/>
  <c r="M18" i="2" s="1"/>
  <c r="P15" i="8"/>
  <c r="P14" i="2" s="1"/>
  <c r="I19" i="8"/>
  <c r="I18" i="2" s="1"/>
  <c r="H14" i="8"/>
  <c r="H13" i="2" s="1"/>
  <c r="H26" i="2" s="1"/>
  <c r="AK33" i="409" s="1"/>
  <c r="K17" i="8"/>
  <c r="K16" i="2" s="1"/>
  <c r="I14" i="8"/>
  <c r="I13" i="2" s="1"/>
  <c r="J15" i="8"/>
  <c r="J14" i="2" s="1"/>
  <c r="K16" i="8"/>
  <c r="K15" i="2" s="1"/>
  <c r="L17" i="8"/>
  <c r="L16" i="2" s="1"/>
  <c r="M18" i="8"/>
  <c r="M17" i="2" s="1"/>
  <c r="N19" i="8"/>
  <c r="N18" i="2" s="1"/>
  <c r="O14" i="8"/>
  <c r="O13" i="2" s="1"/>
  <c r="Q15" i="8"/>
  <c r="Q14" i="2" s="1"/>
  <c r="J16" i="8"/>
  <c r="J15" i="2" s="1"/>
  <c r="J14" i="8"/>
  <c r="J13" i="2" s="1"/>
  <c r="K15" i="8"/>
  <c r="K14" i="2" s="1"/>
  <c r="L16" i="8"/>
  <c r="L15" i="2" s="1"/>
  <c r="M17" i="8"/>
  <c r="M16" i="2" s="1"/>
  <c r="N18" i="8"/>
  <c r="N17" i="2" s="1"/>
  <c r="O19" i="8"/>
  <c r="O18" i="2" s="1"/>
  <c r="K14" i="8"/>
  <c r="K13" i="2" s="1"/>
  <c r="L15" i="8"/>
  <c r="L14" i="2" s="1"/>
  <c r="M16" i="8"/>
  <c r="M15" i="2" s="1"/>
  <c r="N17" i="8"/>
  <c r="N16" i="2" s="1"/>
  <c r="O18" i="8"/>
  <c r="O17" i="2" s="1"/>
  <c r="P19" i="8"/>
  <c r="P18" i="2" s="1"/>
  <c r="L14" i="8"/>
  <c r="L13" i="2" s="1"/>
  <c r="M15" i="8"/>
  <c r="M14" i="2" s="1"/>
  <c r="N16" i="8"/>
  <c r="N15" i="2" s="1"/>
  <c r="O17" i="8"/>
  <c r="O16" i="2" s="1"/>
  <c r="P18" i="8"/>
  <c r="P17" i="2" s="1"/>
  <c r="Q19" i="8"/>
  <c r="Q18" i="2" s="1"/>
  <c r="M14" i="8"/>
  <c r="M13" i="2" s="1"/>
  <c r="N15" i="8"/>
  <c r="N14" i="2" s="1"/>
  <c r="O16" i="8"/>
  <c r="O15" i="2" s="1"/>
  <c r="P17" i="8"/>
  <c r="P16" i="2" s="1"/>
  <c r="Q18" i="8"/>
  <c r="Q17" i="2" s="1"/>
  <c r="F12" i="724"/>
  <c r="F11" i="724"/>
  <c r="E5" i="724"/>
  <c r="D5" i="724"/>
  <c r="O11" i="698"/>
  <c r="P11" i="698" s="1"/>
  <c r="Q11" i="698" s="1"/>
  <c r="R11" i="698" s="1"/>
  <c r="O10" i="698"/>
  <c r="P10" i="698" s="1"/>
  <c r="Q10" i="698" s="1"/>
  <c r="R10" i="698" s="1"/>
  <c r="Q9" i="698"/>
  <c r="R9" i="698"/>
  <c r="P9" i="698"/>
  <c r="P8" i="698"/>
  <c r="Q8" i="698"/>
  <c r="R8" i="698"/>
  <c r="O8" i="698"/>
  <c r="P14" i="698"/>
  <c r="Q14" i="698"/>
  <c r="R14" i="698" s="1"/>
  <c r="O14" i="698"/>
  <c r="M17" i="698"/>
  <c r="L17" i="698"/>
  <c r="K17" i="698"/>
  <c r="J17" i="698"/>
  <c r="I17" i="698"/>
  <c r="H17" i="698"/>
  <c r="G17" i="698"/>
  <c r="F17" i="698"/>
  <c r="E17" i="698"/>
  <c r="D17" i="698"/>
  <c r="M16" i="698"/>
  <c r="L16" i="698"/>
  <c r="K16" i="698"/>
  <c r="J16" i="698"/>
  <c r="I16" i="698"/>
  <c r="H16" i="698"/>
  <c r="G16" i="698"/>
  <c r="F16" i="698"/>
  <c r="E16" i="698"/>
  <c r="D16" i="698"/>
  <c r="N15" i="698"/>
  <c r="M15" i="698"/>
  <c r="L15" i="698"/>
  <c r="K15" i="698"/>
  <c r="J15" i="698"/>
  <c r="I15" i="698"/>
  <c r="H15" i="698"/>
  <c r="G15" i="698"/>
  <c r="F15" i="698"/>
  <c r="E15" i="698"/>
  <c r="D15" i="698"/>
  <c r="N14" i="698"/>
  <c r="M14" i="698"/>
  <c r="L14" i="698"/>
  <c r="K14" i="698"/>
  <c r="J14" i="698"/>
  <c r="I14" i="698"/>
  <c r="H14" i="698"/>
  <c r="G14" i="698"/>
  <c r="F14" i="698"/>
  <c r="E14" i="698"/>
  <c r="D14" i="698"/>
  <c r="E5" i="698"/>
  <c r="F5" i="698" s="1"/>
  <c r="G5" i="698" s="1"/>
  <c r="H5" i="698" s="1"/>
  <c r="I5" i="698" s="1"/>
  <c r="J5" i="698" s="1"/>
  <c r="K5" i="698" s="1"/>
  <c r="L5" i="698" s="1"/>
  <c r="M5" i="698" s="1"/>
  <c r="N5" i="698" s="1"/>
  <c r="O5" i="698" s="1"/>
  <c r="P5" i="698" s="1"/>
  <c r="Q5" i="698" s="1"/>
  <c r="R5" i="698" s="1"/>
  <c r="D5" i="698"/>
  <c r="AE58" i="410"/>
  <c r="AD58" i="410"/>
  <c r="AC58" i="410"/>
  <c r="AB58" i="410"/>
  <c r="AA58" i="410"/>
  <c r="Z58" i="410"/>
  <c r="Y58" i="410"/>
  <c r="X58" i="410"/>
  <c r="W58" i="410"/>
  <c r="V58" i="410"/>
  <c r="U58" i="410"/>
  <c r="AE57" i="410"/>
  <c r="AD57" i="410"/>
  <c r="AC57" i="410"/>
  <c r="AB57" i="410"/>
  <c r="AA57" i="410"/>
  <c r="Z57" i="410"/>
  <c r="Y57" i="410"/>
  <c r="X57" i="410"/>
  <c r="W57" i="410"/>
  <c r="V57" i="410"/>
  <c r="U57" i="410"/>
  <c r="AE56" i="410"/>
  <c r="AD56" i="410"/>
  <c r="AC56" i="410"/>
  <c r="AB56" i="410"/>
  <c r="AA56" i="410"/>
  <c r="Z56" i="410"/>
  <c r="Y56" i="410"/>
  <c r="X56" i="410"/>
  <c r="W56" i="410"/>
  <c r="V56" i="410"/>
  <c r="U56" i="410"/>
  <c r="AE55" i="410"/>
  <c r="AD55" i="410"/>
  <c r="AC55" i="410"/>
  <c r="AB55" i="410"/>
  <c r="AA55" i="410"/>
  <c r="Z55" i="410"/>
  <c r="Y55" i="410"/>
  <c r="X55" i="410"/>
  <c r="W55" i="410"/>
  <c r="V55" i="410"/>
  <c r="U55" i="410"/>
  <c r="AE48" i="410"/>
  <c r="AD48" i="410"/>
  <c r="AC48" i="410"/>
  <c r="AB48" i="410"/>
  <c r="AA48" i="410"/>
  <c r="Z48" i="410"/>
  <c r="Y48" i="410"/>
  <c r="X48" i="410"/>
  <c r="W48" i="410"/>
  <c r="V48" i="410"/>
  <c r="U48" i="410"/>
  <c r="AE47" i="410"/>
  <c r="AD47" i="410"/>
  <c r="AC47" i="410"/>
  <c r="AB47" i="410"/>
  <c r="AA47" i="410"/>
  <c r="Z47" i="410"/>
  <c r="Y47" i="410"/>
  <c r="X47" i="410"/>
  <c r="W47" i="410"/>
  <c r="V47" i="410"/>
  <c r="U47" i="410"/>
  <c r="AE46" i="410"/>
  <c r="AD46" i="410"/>
  <c r="AC46" i="410"/>
  <c r="AB46" i="410"/>
  <c r="AA46" i="410"/>
  <c r="Z46" i="410"/>
  <c r="Y46" i="410"/>
  <c r="X46" i="410"/>
  <c r="W46" i="410"/>
  <c r="V46" i="410"/>
  <c r="U46" i="410"/>
  <c r="AE45" i="410"/>
  <c r="AD45" i="410"/>
  <c r="AC45" i="410"/>
  <c r="AB45" i="410"/>
  <c r="AA45" i="410"/>
  <c r="Z45" i="410"/>
  <c r="Y45" i="410"/>
  <c r="X45" i="410"/>
  <c r="W45" i="410"/>
  <c r="V45" i="410"/>
  <c r="U45" i="410"/>
  <c r="AE38" i="410"/>
  <c r="AD38" i="410"/>
  <c r="AC38" i="410"/>
  <c r="AB38" i="410"/>
  <c r="AA38" i="410"/>
  <c r="Z38" i="410"/>
  <c r="Y38" i="410"/>
  <c r="X38" i="410"/>
  <c r="W38" i="410"/>
  <c r="V38" i="410"/>
  <c r="U38" i="410"/>
  <c r="AE37" i="410"/>
  <c r="AD37" i="410"/>
  <c r="AC37" i="410"/>
  <c r="AB37" i="410"/>
  <c r="AA37" i="410"/>
  <c r="Z37" i="410"/>
  <c r="Y37" i="410"/>
  <c r="X37" i="410"/>
  <c r="W37" i="410"/>
  <c r="V37" i="410"/>
  <c r="U37" i="410"/>
  <c r="AE36" i="410"/>
  <c r="AD36" i="410"/>
  <c r="AC36" i="410"/>
  <c r="AB36" i="410"/>
  <c r="AA36" i="410"/>
  <c r="Z36" i="410"/>
  <c r="Y36" i="410"/>
  <c r="X36" i="410"/>
  <c r="W36" i="410"/>
  <c r="V36" i="410"/>
  <c r="U36" i="410"/>
  <c r="AE35" i="410"/>
  <c r="AD35" i="410"/>
  <c r="AC35" i="410"/>
  <c r="AB35" i="410"/>
  <c r="AA35" i="410"/>
  <c r="Z35" i="410"/>
  <c r="Y35" i="410"/>
  <c r="X35" i="410"/>
  <c r="W35" i="410"/>
  <c r="V35" i="410"/>
  <c r="U35" i="410"/>
  <c r="AE29" i="410"/>
  <c r="AD29" i="410"/>
  <c r="AC29" i="410"/>
  <c r="AB29" i="410"/>
  <c r="AA29" i="410"/>
  <c r="Z29" i="410"/>
  <c r="Y29" i="410"/>
  <c r="X29" i="410"/>
  <c r="W29" i="410"/>
  <c r="V29" i="410"/>
  <c r="U29" i="410"/>
  <c r="AE28" i="410"/>
  <c r="AD28" i="410"/>
  <c r="AC28" i="410"/>
  <c r="AB28" i="410"/>
  <c r="AA28" i="410"/>
  <c r="Z28" i="410"/>
  <c r="Y28" i="410"/>
  <c r="X28" i="410"/>
  <c r="W28" i="410"/>
  <c r="V28" i="410"/>
  <c r="U28" i="410"/>
  <c r="AE27" i="410"/>
  <c r="AD27" i="410"/>
  <c r="AC27" i="410"/>
  <c r="AB27" i="410"/>
  <c r="AA27" i="410"/>
  <c r="Z27" i="410"/>
  <c r="Y27" i="410"/>
  <c r="X27" i="410"/>
  <c r="W27" i="410"/>
  <c r="V27" i="410"/>
  <c r="U27" i="410"/>
  <c r="AE26" i="410"/>
  <c r="AD26" i="410"/>
  <c r="AC26" i="410"/>
  <c r="AB26" i="410"/>
  <c r="AA26" i="410"/>
  <c r="Z26" i="410"/>
  <c r="Y26" i="410"/>
  <c r="X26" i="410"/>
  <c r="W26" i="410"/>
  <c r="V26" i="410"/>
  <c r="U26" i="410"/>
  <c r="AC17" i="410"/>
  <c r="AC18" i="410"/>
  <c r="AC19" i="410"/>
  <c r="AC20" i="410"/>
  <c r="AB54" i="410"/>
  <c r="AA54" i="410"/>
  <c r="Z54" i="410"/>
  <c r="Y54" i="410"/>
  <c r="X54" i="410"/>
  <c r="W54" i="410"/>
  <c r="V54" i="410"/>
  <c r="U54" i="410"/>
  <c r="AB53" i="410"/>
  <c r="AA53" i="410"/>
  <c r="Z53" i="410"/>
  <c r="Y53" i="410"/>
  <c r="X53" i="410"/>
  <c r="W53" i="410"/>
  <c r="V53" i="410"/>
  <c r="U53" i="410"/>
  <c r="AB52" i="410"/>
  <c r="AA52" i="410"/>
  <c r="Z52" i="410"/>
  <c r="Y52" i="410"/>
  <c r="X52" i="410"/>
  <c r="W52" i="410"/>
  <c r="V52" i="410"/>
  <c r="U52" i="410"/>
  <c r="AB51" i="410"/>
  <c r="AA51" i="410"/>
  <c r="Z51" i="410"/>
  <c r="Y51" i="410"/>
  <c r="X51" i="410"/>
  <c r="W51" i="410"/>
  <c r="V51" i="410"/>
  <c r="U51" i="410"/>
  <c r="AB44" i="410"/>
  <c r="AA44" i="410"/>
  <c r="Z44" i="410"/>
  <c r="Y44" i="410"/>
  <c r="X44" i="410"/>
  <c r="W44" i="410"/>
  <c r="V44" i="410"/>
  <c r="U44" i="410"/>
  <c r="AB43" i="410"/>
  <c r="AA43" i="410"/>
  <c r="Z43" i="410"/>
  <c r="Y43" i="410"/>
  <c r="X43" i="410"/>
  <c r="W43" i="410"/>
  <c r="V43" i="410"/>
  <c r="U43" i="410"/>
  <c r="AB42" i="410"/>
  <c r="AA42" i="410"/>
  <c r="Z42" i="410"/>
  <c r="Y42" i="410"/>
  <c r="X42" i="410"/>
  <c r="W42" i="410"/>
  <c r="V42" i="410"/>
  <c r="U42" i="410"/>
  <c r="AB41" i="410"/>
  <c r="AA41" i="410"/>
  <c r="Z41" i="410"/>
  <c r="Y41" i="410"/>
  <c r="X41" i="410"/>
  <c r="W41" i="410"/>
  <c r="V41" i="410"/>
  <c r="U41" i="410"/>
  <c r="AB34" i="410"/>
  <c r="AA34" i="410"/>
  <c r="Z34" i="410"/>
  <c r="Y34" i="410"/>
  <c r="X34" i="410"/>
  <c r="W34" i="410"/>
  <c r="V34" i="410"/>
  <c r="U34" i="410"/>
  <c r="AB33" i="410"/>
  <c r="AA33" i="410"/>
  <c r="Z33" i="410"/>
  <c r="Y33" i="410"/>
  <c r="X33" i="410"/>
  <c r="W33" i="410"/>
  <c r="V33" i="410"/>
  <c r="U33" i="410"/>
  <c r="AB32" i="410"/>
  <c r="AA32" i="410"/>
  <c r="Z32" i="410"/>
  <c r="Y32" i="410"/>
  <c r="X32" i="410"/>
  <c r="W32" i="410"/>
  <c r="V32" i="410"/>
  <c r="U32" i="410"/>
  <c r="AB25" i="410"/>
  <c r="AA25" i="410"/>
  <c r="Z25" i="410"/>
  <c r="Y25" i="410"/>
  <c r="X25" i="410"/>
  <c r="W25" i="410"/>
  <c r="V25" i="410"/>
  <c r="U25" i="410"/>
  <c r="AB24" i="410"/>
  <c r="AA24" i="410"/>
  <c r="Z24" i="410"/>
  <c r="Y24" i="410"/>
  <c r="X24" i="410"/>
  <c r="W24" i="410"/>
  <c r="V24" i="410"/>
  <c r="U24" i="410"/>
  <c r="AB23" i="410"/>
  <c r="AA23" i="410"/>
  <c r="Z23" i="410"/>
  <c r="Y23" i="410"/>
  <c r="X23" i="410"/>
  <c r="W23" i="410"/>
  <c r="V23" i="410"/>
  <c r="U23" i="410"/>
  <c r="AA10" i="410"/>
  <c r="AB10" i="410"/>
  <c r="Z10" i="410"/>
  <c r="Y10" i="410"/>
  <c r="V10" i="410"/>
  <c r="W10" i="410"/>
  <c r="X10" i="410"/>
  <c r="U10" i="410"/>
  <c r="F54" i="410"/>
  <c r="J54" i="410" s="1"/>
  <c r="F53" i="410"/>
  <c r="J53" i="410" s="1"/>
  <c r="F52" i="410"/>
  <c r="J52" i="410" s="1"/>
  <c r="F51" i="410"/>
  <c r="J51" i="410" s="1"/>
  <c r="J44" i="410"/>
  <c r="F44" i="410"/>
  <c r="F43" i="410"/>
  <c r="J43" i="410" s="1"/>
  <c r="F42" i="410"/>
  <c r="J42" i="410" s="1"/>
  <c r="J41" i="410"/>
  <c r="F41" i="410"/>
  <c r="F34" i="410"/>
  <c r="J34" i="410" s="1"/>
  <c r="J33" i="410"/>
  <c r="F33" i="410"/>
  <c r="F32" i="410"/>
  <c r="J32" i="410" s="1"/>
  <c r="F25" i="410"/>
  <c r="J25" i="410" s="1"/>
  <c r="J24" i="410"/>
  <c r="F24" i="410"/>
  <c r="J23" i="410"/>
  <c r="F23" i="410"/>
  <c r="AE16" i="410"/>
  <c r="AD16" i="410"/>
  <c r="S16" i="410"/>
  <c r="R16" i="410"/>
  <c r="Q16" i="410"/>
  <c r="P16" i="410"/>
  <c r="O16" i="410"/>
  <c r="N16" i="410"/>
  <c r="M16" i="410"/>
  <c r="L16" i="410"/>
  <c r="I16" i="410"/>
  <c r="H16" i="410"/>
  <c r="G16" i="410"/>
  <c r="E13" i="209" s="1"/>
  <c r="E16" i="410"/>
  <c r="D16" i="410"/>
  <c r="B16" i="410"/>
  <c r="AE15" i="410"/>
  <c r="AD15" i="410"/>
  <c r="S15" i="410"/>
  <c r="R15" i="410"/>
  <c r="Q15" i="410"/>
  <c r="P15" i="410"/>
  <c r="O15" i="410"/>
  <c r="N15" i="410"/>
  <c r="M15" i="410"/>
  <c r="L15" i="410"/>
  <c r="I15" i="410"/>
  <c r="H15" i="410"/>
  <c r="G15" i="410"/>
  <c r="E12" i="209" s="1"/>
  <c r="E15" i="410"/>
  <c r="D15" i="410"/>
  <c r="B15" i="410"/>
  <c r="AE14" i="410"/>
  <c r="AD14" i="410"/>
  <c r="AD20" i="410" s="1"/>
  <c r="S14" i="410"/>
  <c r="R14" i="410"/>
  <c r="Q14" i="410"/>
  <c r="P14" i="410"/>
  <c r="O14" i="410"/>
  <c r="N14" i="410"/>
  <c r="M14" i="410"/>
  <c r="L14" i="410"/>
  <c r="I14" i="410"/>
  <c r="H14" i="410"/>
  <c r="G14" i="410"/>
  <c r="E11" i="209" s="1"/>
  <c r="E14" i="410"/>
  <c r="D14" i="410"/>
  <c r="B14" i="410"/>
  <c r="AE13" i="410"/>
  <c r="AD13" i="410"/>
  <c r="S13" i="410"/>
  <c r="R13" i="410"/>
  <c r="Q13" i="410"/>
  <c r="P13" i="410"/>
  <c r="O13" i="410"/>
  <c r="N13" i="410"/>
  <c r="M13" i="410"/>
  <c r="L13" i="410"/>
  <c r="I13" i="410"/>
  <c r="H13" i="410"/>
  <c r="G13" i="410"/>
  <c r="E10" i="209" s="1"/>
  <c r="E13" i="410"/>
  <c r="D13" i="410"/>
  <c r="F13" i="410" s="1"/>
  <c r="B13" i="410"/>
  <c r="J10" i="410"/>
  <c r="D15" i="110" l="1"/>
  <c r="D16" i="110" s="1"/>
  <c r="J16" i="110" s="1"/>
  <c r="AK35" i="409"/>
  <c r="D27" i="110"/>
  <c r="D28" i="110" s="1"/>
  <c r="AK36" i="409"/>
  <c r="I31" i="2"/>
  <c r="D19" i="110"/>
  <c r="D20" i="110" s="1"/>
  <c r="K28" i="110"/>
  <c r="L28" i="110"/>
  <c r="J28" i="110"/>
  <c r="I27" i="2"/>
  <c r="D11" i="110"/>
  <c r="I30" i="2"/>
  <c r="D23" i="110"/>
  <c r="D24" i="110" s="1"/>
  <c r="I26" i="2"/>
  <c r="D10" i="110"/>
  <c r="J13" i="410"/>
  <c r="F10" i="209"/>
  <c r="H10" i="209"/>
  <c r="G10" i="209"/>
  <c r="H13" i="209"/>
  <c r="G13" i="209"/>
  <c r="K13" i="209" s="1"/>
  <c r="G10" i="45"/>
  <c r="G11" i="45" s="1"/>
  <c r="G12" i="45"/>
  <c r="F11" i="45"/>
  <c r="J257" i="2"/>
  <c r="J258" i="2"/>
  <c r="I206" i="2"/>
  <c r="I207" i="2"/>
  <c r="E9" i="2"/>
  <c r="F8" i="2"/>
  <c r="F8" i="8" s="1"/>
  <c r="F9" i="8"/>
  <c r="F5" i="2"/>
  <c r="I8" i="2"/>
  <c r="I8" i="8" s="1"/>
  <c r="J9" i="2"/>
  <c r="I5" i="2"/>
  <c r="I9" i="8"/>
  <c r="H10" i="8"/>
  <c r="E94" i="2"/>
  <c r="H5" i="8"/>
  <c r="H60" i="2"/>
  <c r="H139" i="2"/>
  <c r="B266" i="2" s="1"/>
  <c r="B267" i="2" s="1"/>
  <c r="B268" i="2" s="1"/>
  <c r="B269" i="2" s="1"/>
  <c r="B270" i="2" s="1"/>
  <c r="B271" i="2" s="1"/>
  <c r="B272" i="2" s="1"/>
  <c r="B273" i="2" s="1"/>
  <c r="B274" i="2" s="1"/>
  <c r="B275" i="2" s="1"/>
  <c r="B276" i="2" s="1"/>
  <c r="H23" i="2"/>
  <c r="G23" i="2"/>
  <c r="G5" i="8"/>
  <c r="G139" i="2"/>
  <c r="G60" i="2"/>
  <c r="I28" i="2"/>
  <c r="G10" i="2"/>
  <c r="G10" i="8" s="1"/>
  <c r="H180" i="2"/>
  <c r="H32" i="2"/>
  <c r="I29" i="2"/>
  <c r="J143" i="2"/>
  <c r="I64" i="2"/>
  <c r="F14" i="410"/>
  <c r="F15" i="410"/>
  <c r="K65" i="2"/>
  <c r="AD19" i="410"/>
  <c r="X13" i="410"/>
  <c r="AE19" i="410"/>
  <c r="Z13" i="410"/>
  <c r="AA13" i="410"/>
  <c r="Y13" i="410"/>
  <c r="AE20" i="410"/>
  <c r="Y15" i="410"/>
  <c r="Z15" i="410"/>
  <c r="AA15" i="410"/>
  <c r="AE17" i="410"/>
  <c r="AD17" i="410"/>
  <c r="F16" i="410"/>
  <c r="F13" i="209" s="1"/>
  <c r="U13" i="410"/>
  <c r="AE18" i="410"/>
  <c r="V13" i="410"/>
  <c r="AD18" i="410"/>
  <c r="J15" i="410"/>
  <c r="W13" i="410"/>
  <c r="AB13" i="410"/>
  <c r="L34" i="1"/>
  <c r="O34" i="1" s="1"/>
  <c r="M34" i="1"/>
  <c r="N34" i="1"/>
  <c r="K34" i="1"/>
  <c r="J29" i="1"/>
  <c r="K29" i="1"/>
  <c r="L29" i="1"/>
  <c r="M29" i="1"/>
  <c r="N29" i="1"/>
  <c r="K26" i="1"/>
  <c r="L26" i="1"/>
  <c r="M26" i="1"/>
  <c r="N26" i="1"/>
  <c r="J26" i="1"/>
  <c r="K23" i="1"/>
  <c r="L23" i="1"/>
  <c r="M23" i="1"/>
  <c r="N23" i="1"/>
  <c r="J23" i="1"/>
  <c r="O23" i="1" s="1"/>
  <c r="N13" i="1"/>
  <c r="M13" i="1"/>
  <c r="L13" i="1"/>
  <c r="K13" i="1"/>
  <c r="O13" i="1" s="1"/>
  <c r="N12" i="1"/>
  <c r="M12" i="1"/>
  <c r="L12" i="1"/>
  <c r="K12" i="1"/>
  <c r="N11" i="1"/>
  <c r="M11" i="1"/>
  <c r="L11" i="1"/>
  <c r="K11" i="1"/>
  <c r="O11" i="1" s="1"/>
  <c r="N10" i="1"/>
  <c r="M10" i="1"/>
  <c r="L10" i="1"/>
  <c r="K10" i="1"/>
  <c r="N9" i="1"/>
  <c r="M9" i="1"/>
  <c r="L9" i="1"/>
  <c r="K9" i="1"/>
  <c r="O9" i="1" s="1"/>
  <c r="N8" i="1"/>
  <c r="M8" i="1"/>
  <c r="L8" i="1"/>
  <c r="K8" i="1"/>
  <c r="O8" i="1" s="1"/>
  <c r="J5" i="1"/>
  <c r="B156" i="2"/>
  <c r="B157" i="2" s="1"/>
  <c r="B158" i="2" s="1"/>
  <c r="B159" i="2" s="1"/>
  <c r="B160" i="2" s="1"/>
  <c r="B161" i="2" s="1"/>
  <c r="B162" i="2" s="1"/>
  <c r="B163" i="2" s="1"/>
  <c r="B164" i="2" s="1"/>
  <c r="B165" i="2" s="1"/>
  <c r="B166" i="2" s="1"/>
  <c r="AK39" i="409" l="1"/>
  <c r="J30" i="2"/>
  <c r="AL37" i="409"/>
  <c r="J27" i="2"/>
  <c r="AL34" i="409"/>
  <c r="J29" i="2"/>
  <c r="AL36" i="409"/>
  <c r="K16" i="110"/>
  <c r="J31" i="2"/>
  <c r="AL38" i="409"/>
  <c r="L16" i="110"/>
  <c r="D12" i="110"/>
  <c r="J12" i="110" s="1"/>
  <c r="J31" i="110" s="1"/>
  <c r="J28" i="2"/>
  <c r="AL35" i="409"/>
  <c r="J26" i="2"/>
  <c r="AM33" i="409" s="1"/>
  <c r="AL33" i="409"/>
  <c r="L24" i="110"/>
  <c r="K24" i="110"/>
  <c r="J24" i="110"/>
  <c r="H150" i="2"/>
  <c r="H263" i="2"/>
  <c r="L20" i="110"/>
  <c r="K20" i="110"/>
  <c r="J20" i="110"/>
  <c r="K10" i="209"/>
  <c r="J14" i="410"/>
  <c r="F11" i="209"/>
  <c r="Z14" i="410"/>
  <c r="AB14" i="410"/>
  <c r="AA14" i="410"/>
  <c r="AB15" i="410"/>
  <c r="F12" i="209"/>
  <c r="H10" i="45"/>
  <c r="H11" i="45"/>
  <c r="H12" i="45"/>
  <c r="Y14" i="410"/>
  <c r="J259" i="2"/>
  <c r="K256" i="2" s="1"/>
  <c r="I208" i="2"/>
  <c r="J205" i="2" s="1"/>
  <c r="J206" i="2" s="1"/>
  <c r="J207" i="2" s="1"/>
  <c r="J208" i="2" s="1"/>
  <c r="K205" i="2" s="1"/>
  <c r="I10" i="2"/>
  <c r="I32" i="2"/>
  <c r="I5" i="8"/>
  <c r="I23" i="2"/>
  <c r="I139" i="2"/>
  <c r="I60" i="2"/>
  <c r="F60" i="2"/>
  <c r="F23" i="2"/>
  <c r="F5" i="8"/>
  <c r="F139" i="2"/>
  <c r="K143" i="2"/>
  <c r="J64" i="2"/>
  <c r="D9" i="2"/>
  <c r="E5" i="2"/>
  <c r="E8" i="2"/>
  <c r="E8" i="8" s="1"/>
  <c r="E9" i="8"/>
  <c r="K9" i="2"/>
  <c r="J8" i="2"/>
  <c r="J8" i="8" s="1"/>
  <c r="J9" i="8"/>
  <c r="J5" i="2"/>
  <c r="J10" i="2"/>
  <c r="I180" i="2"/>
  <c r="F10" i="2"/>
  <c r="F10" i="8" s="1"/>
  <c r="H78" i="2"/>
  <c r="H113" i="2" s="1"/>
  <c r="H38" i="2"/>
  <c r="H40" i="2"/>
  <c r="H178" i="2"/>
  <c r="H79" i="2"/>
  <c r="H114" i="2" s="1"/>
  <c r="H39" i="2"/>
  <c r="H19" i="2"/>
  <c r="H41" i="2"/>
  <c r="H67" i="2"/>
  <c r="H111" i="2" s="1"/>
  <c r="H35" i="2"/>
  <c r="L65" i="2"/>
  <c r="J16" i="410"/>
  <c r="Z16" i="410"/>
  <c r="Z19" i="410" s="1"/>
  <c r="AA16" i="410"/>
  <c r="AA17" i="410" s="1"/>
  <c r="AB16" i="410"/>
  <c r="AB18" i="410" s="1"/>
  <c r="Y16" i="410"/>
  <c r="Y19" i="410" s="1"/>
  <c r="X15" i="410"/>
  <c r="V15" i="410"/>
  <c r="W15" i="410"/>
  <c r="U15" i="410"/>
  <c r="X14" i="410"/>
  <c r="W14" i="410"/>
  <c r="V14" i="410"/>
  <c r="U14" i="410"/>
  <c r="O26" i="1"/>
  <c r="O12" i="1"/>
  <c r="O10" i="1"/>
  <c r="O29" i="1"/>
  <c r="D5" i="1"/>
  <c r="K5" i="1" s="1"/>
  <c r="K12" i="110" l="1"/>
  <c r="L12" i="110"/>
  <c r="L31" i="110" s="1"/>
  <c r="D31" i="110"/>
  <c r="K26" i="2"/>
  <c r="AN33" i="409" s="1"/>
  <c r="K28" i="2"/>
  <c r="AM35" i="409"/>
  <c r="K31" i="2"/>
  <c r="AM38" i="409"/>
  <c r="J32" i="2"/>
  <c r="J263" i="2" s="1"/>
  <c r="K29" i="2"/>
  <c r="AM36" i="409"/>
  <c r="L26" i="2"/>
  <c r="AL39" i="409"/>
  <c r="AM34" i="409"/>
  <c r="K27" i="2"/>
  <c r="K30" i="2"/>
  <c r="AM37" i="409"/>
  <c r="K31" i="110"/>
  <c r="H156" i="2"/>
  <c r="H118" i="2"/>
  <c r="K34" i="110"/>
  <c r="K37" i="110" s="1"/>
  <c r="G31" i="110"/>
  <c r="I263" i="2"/>
  <c r="I150" i="2"/>
  <c r="H244" i="2"/>
  <c r="H266" i="2"/>
  <c r="F31" i="110"/>
  <c r="J34" i="110"/>
  <c r="J37" i="110" s="1"/>
  <c r="H11" i="209"/>
  <c r="G11" i="209"/>
  <c r="H12" i="209"/>
  <c r="G12" i="209"/>
  <c r="K12" i="209" s="1"/>
  <c r="I10" i="45"/>
  <c r="I12" i="45"/>
  <c r="I11" i="45"/>
  <c r="K257" i="2"/>
  <c r="K258" i="2"/>
  <c r="L9" i="2"/>
  <c r="K8" i="2"/>
  <c r="K8" i="8" s="1"/>
  <c r="K5" i="2"/>
  <c r="K9" i="8"/>
  <c r="K10" i="2"/>
  <c r="J10" i="8"/>
  <c r="H183" i="2"/>
  <c r="H194" i="2" s="1"/>
  <c r="H196" i="2" s="1"/>
  <c r="H198" i="2" s="1"/>
  <c r="H212" i="2"/>
  <c r="J5" i="8"/>
  <c r="J139" i="2"/>
  <c r="J60" i="2"/>
  <c r="J23" i="2"/>
  <c r="E60" i="2"/>
  <c r="E23" i="2"/>
  <c r="E5" i="8"/>
  <c r="E139" i="2"/>
  <c r="H66" i="2"/>
  <c r="H110" i="2" s="1"/>
  <c r="E10" i="2"/>
  <c r="E10" i="8" s="1"/>
  <c r="I38" i="2"/>
  <c r="I67" i="2"/>
  <c r="I111" i="2" s="1"/>
  <c r="I39" i="2"/>
  <c r="I40" i="2"/>
  <c r="I35" i="2"/>
  <c r="I19" i="2"/>
  <c r="I41" i="2"/>
  <c r="I78" i="2"/>
  <c r="I113" i="2" s="1"/>
  <c r="I178" i="2"/>
  <c r="I79" i="2"/>
  <c r="I114" i="2" s="1"/>
  <c r="C9" i="2"/>
  <c r="D9" i="8"/>
  <c r="D8" i="2"/>
  <c r="D8" i="8" s="1"/>
  <c r="D5" i="2"/>
  <c r="I10" i="8"/>
  <c r="K206" i="2"/>
  <c r="K207" i="2"/>
  <c r="K208" i="2"/>
  <c r="L205" i="2" s="1"/>
  <c r="J180" i="2"/>
  <c r="L143" i="2"/>
  <c r="K64" i="2"/>
  <c r="Y20" i="410"/>
  <c r="Z17" i="410"/>
  <c r="M65" i="2"/>
  <c r="X16" i="410"/>
  <c r="X20" i="410" s="1"/>
  <c r="W16" i="410"/>
  <c r="V16" i="410"/>
  <c r="U16" i="410"/>
  <c r="U18" i="410" s="1"/>
  <c r="AA18" i="410"/>
  <c r="AA20" i="410"/>
  <c r="AB19" i="410"/>
  <c r="AA19" i="410"/>
  <c r="Y17" i="410"/>
  <c r="Y18" i="410"/>
  <c r="Z18" i="410"/>
  <c r="Z20" i="410"/>
  <c r="AB20" i="410"/>
  <c r="AB17" i="410"/>
  <c r="E5" i="1"/>
  <c r="L50" i="110"/>
  <c r="L54" i="110"/>
  <c r="D41" i="110"/>
  <c r="F41" i="110"/>
  <c r="J41" i="110"/>
  <c r="D42" i="110"/>
  <c r="F42" i="110"/>
  <c r="G42" i="110"/>
  <c r="H42" i="110"/>
  <c r="J42" i="110"/>
  <c r="K42" i="110"/>
  <c r="L42" i="110"/>
  <c r="B43" i="110"/>
  <c r="P67" i="110" s="1"/>
  <c r="B44" i="110"/>
  <c r="P68" i="110" s="1"/>
  <c r="B45" i="110"/>
  <c r="P70" i="110" s="1"/>
  <c r="B46" i="110"/>
  <c r="P69" i="110" s="1"/>
  <c r="B47" i="110"/>
  <c r="P71" i="110" s="1"/>
  <c r="B50" i="110"/>
  <c r="J50" i="110"/>
  <c r="K50" i="110"/>
  <c r="B52" i="110"/>
  <c r="B54" i="110"/>
  <c r="J54" i="110"/>
  <c r="B56" i="110"/>
  <c r="B57" i="45"/>
  <c r="B58" i="45"/>
  <c r="B59" i="45"/>
  <c r="I8" i="1"/>
  <c r="I9" i="1"/>
  <c r="I10" i="1"/>
  <c r="I11" i="1"/>
  <c r="I12" i="1"/>
  <c r="I13" i="1"/>
  <c r="I16" i="1"/>
  <c r="I17" i="1"/>
  <c r="C18" i="1"/>
  <c r="D18" i="1"/>
  <c r="E18" i="1"/>
  <c r="F18" i="1"/>
  <c r="G18" i="1"/>
  <c r="I18" i="1"/>
  <c r="I19" i="1"/>
  <c r="I20" i="1"/>
  <c r="I21" i="1"/>
  <c r="C82" i="1"/>
  <c r="G110" i="1"/>
  <c r="G111" i="1"/>
  <c r="D141" i="1"/>
  <c r="E141" i="1"/>
  <c r="F141" i="1"/>
  <c r="G141" i="1"/>
  <c r="D145" i="1"/>
  <c r="E145" i="1"/>
  <c r="F145" i="1"/>
  <c r="G145" i="1"/>
  <c r="C146" i="1"/>
  <c r="D146" i="1"/>
  <c r="E146" i="1"/>
  <c r="B289" i="2"/>
  <c r="B290" i="2"/>
  <c r="B291" i="2"/>
  <c r="T19" i="829"/>
  <c r="U19" i="829"/>
  <c r="T20" i="829"/>
  <c r="U20" i="829"/>
  <c r="T21" i="829"/>
  <c r="U21" i="829"/>
  <c r="T18" i="829"/>
  <c r="F4" i="409"/>
  <c r="AF14" i="409"/>
  <c r="AF15" i="409"/>
  <c r="AK23" i="409"/>
  <c r="AL23" i="409"/>
  <c r="AF33" i="409"/>
  <c r="AF34" i="409"/>
  <c r="AF35" i="409"/>
  <c r="AF36" i="409"/>
  <c r="AF37" i="409"/>
  <c r="AF38" i="409"/>
  <c r="H31" i="110" l="1"/>
  <c r="L34" i="110"/>
  <c r="L37" i="110" s="1"/>
  <c r="J150" i="2"/>
  <c r="AM39" i="409"/>
  <c r="L29" i="2"/>
  <c r="AN36" i="409"/>
  <c r="J39" i="2"/>
  <c r="J35" i="2"/>
  <c r="J66" i="2" s="1"/>
  <c r="J79" i="2"/>
  <c r="J114" i="2" s="1"/>
  <c r="J40" i="2"/>
  <c r="J41" i="2"/>
  <c r="J178" i="2"/>
  <c r="J78" i="2"/>
  <c r="J113" i="2" s="1"/>
  <c r="J38" i="2"/>
  <c r="J19" i="2"/>
  <c r="K32" i="2"/>
  <c r="K35" i="2" s="1"/>
  <c r="K66" i="2" s="1"/>
  <c r="L30" i="2"/>
  <c r="AN37" i="409"/>
  <c r="L31" i="2"/>
  <c r="AN38" i="409"/>
  <c r="J67" i="2"/>
  <c r="M26" i="2"/>
  <c r="N26" i="2" s="1"/>
  <c r="O26" i="2" s="1"/>
  <c r="P26" i="2" s="1"/>
  <c r="Q26" i="2" s="1"/>
  <c r="AO33" i="409"/>
  <c r="AN34" i="409"/>
  <c r="L27" i="2"/>
  <c r="L28" i="2"/>
  <c r="AN35" i="409"/>
  <c r="I157" i="2"/>
  <c r="J157" i="2" s="1"/>
  <c r="K157" i="2" s="1"/>
  <c r="L157" i="2" s="1"/>
  <c r="M157" i="2" s="1"/>
  <c r="N157" i="2" s="1"/>
  <c r="O157" i="2" s="1"/>
  <c r="P157" i="2" s="1"/>
  <c r="Q157" i="2" s="1"/>
  <c r="R157" i="2" s="1"/>
  <c r="I118" i="2"/>
  <c r="J158" i="2"/>
  <c r="K158" i="2" s="1"/>
  <c r="L158" i="2" s="1"/>
  <c r="M158" i="2" s="1"/>
  <c r="N158" i="2" s="1"/>
  <c r="O158" i="2" s="1"/>
  <c r="P158" i="2" s="1"/>
  <c r="Q158" i="2" s="1"/>
  <c r="R158" i="2" s="1"/>
  <c r="J118" i="2"/>
  <c r="I244" i="2"/>
  <c r="I267" i="2"/>
  <c r="J267" i="2" s="1"/>
  <c r="K267" i="2" s="1"/>
  <c r="L267" i="2" s="1"/>
  <c r="M267" i="2" s="1"/>
  <c r="N267" i="2" s="1"/>
  <c r="O267" i="2" s="1"/>
  <c r="P267" i="2" s="1"/>
  <c r="Q267" i="2" s="1"/>
  <c r="R267" i="2" s="1"/>
  <c r="I177" i="2"/>
  <c r="J111" i="2"/>
  <c r="H277" i="2"/>
  <c r="H279" i="2" s="1"/>
  <c r="I266" i="2"/>
  <c r="H122" i="2"/>
  <c r="H291" i="2" s="1"/>
  <c r="H343" i="2"/>
  <c r="H167" i="2"/>
  <c r="H169" i="2" s="1"/>
  <c r="I156" i="2"/>
  <c r="J268" i="2"/>
  <c r="K268" i="2" s="1"/>
  <c r="L268" i="2" s="1"/>
  <c r="M268" i="2" s="1"/>
  <c r="N268" i="2" s="1"/>
  <c r="O268" i="2" s="1"/>
  <c r="P268" i="2" s="1"/>
  <c r="Q268" i="2" s="1"/>
  <c r="R268" i="2" s="1"/>
  <c r="J244" i="2"/>
  <c r="K11" i="209"/>
  <c r="G28" i="209"/>
  <c r="G29" i="209"/>
  <c r="H29" i="209"/>
  <c r="H28" i="209"/>
  <c r="J10" i="45"/>
  <c r="J11" i="45" s="1"/>
  <c r="K259" i="2"/>
  <c r="L256" i="2" s="1"/>
  <c r="D139" i="2"/>
  <c r="D23" i="2"/>
  <c r="D60" i="2"/>
  <c r="D5" i="8"/>
  <c r="I66" i="2"/>
  <c r="I110" i="2" s="1"/>
  <c r="K180" i="2"/>
  <c r="D10" i="2"/>
  <c r="D10" i="8" s="1"/>
  <c r="K10" i="8"/>
  <c r="M143" i="2"/>
  <c r="L64" i="2"/>
  <c r="C5" i="2"/>
  <c r="C9" i="8"/>
  <c r="C8" i="2"/>
  <c r="C8" i="8" s="1"/>
  <c r="L206" i="2"/>
  <c r="K5" i="8"/>
  <c r="K139" i="2"/>
  <c r="K60" i="2"/>
  <c r="K23" i="2"/>
  <c r="H215" i="2"/>
  <c r="H226" i="2" s="1"/>
  <c r="I212" i="2"/>
  <c r="I216" i="2" s="1"/>
  <c r="I184" i="2"/>
  <c r="M9" i="2"/>
  <c r="L5" i="2"/>
  <c r="L9" i="8"/>
  <c r="L8" i="2"/>
  <c r="L8" i="8" s="1"/>
  <c r="U20" i="410"/>
  <c r="U17" i="410"/>
  <c r="U19" i="410"/>
  <c r="N65" i="2"/>
  <c r="X18" i="410"/>
  <c r="X17" i="410"/>
  <c r="X19" i="410"/>
  <c r="V20" i="410"/>
  <c r="V18" i="410"/>
  <c r="V17" i="410"/>
  <c r="V19" i="410"/>
  <c r="W18" i="410"/>
  <c r="W20" i="410"/>
  <c r="W19" i="410"/>
  <c r="W17" i="410"/>
  <c r="M37" i="1"/>
  <c r="O37" i="1" s="1"/>
  <c r="M36" i="1"/>
  <c r="M33" i="1"/>
  <c r="N37" i="1"/>
  <c r="N36" i="1"/>
  <c r="N33" i="1"/>
  <c r="L33" i="1"/>
  <c r="L36" i="1"/>
  <c r="K33" i="1"/>
  <c r="K36" i="1"/>
  <c r="J33" i="1"/>
  <c r="O33" i="1" s="1"/>
  <c r="J36" i="1"/>
  <c r="K18" i="1"/>
  <c r="K20" i="1"/>
  <c r="K17" i="1"/>
  <c r="K31" i="1"/>
  <c r="K19" i="1"/>
  <c r="K27" i="1"/>
  <c r="K21" i="1"/>
  <c r="K16" i="1"/>
  <c r="K30" i="1"/>
  <c r="N30" i="1"/>
  <c r="N17" i="1"/>
  <c r="N19" i="1"/>
  <c r="N21" i="1"/>
  <c r="N16" i="1"/>
  <c r="N31" i="1"/>
  <c r="N18" i="1"/>
  <c r="N27" i="1"/>
  <c r="N20" i="1"/>
  <c r="M20" i="1"/>
  <c r="M30" i="1"/>
  <c r="M17" i="1"/>
  <c r="M19" i="1"/>
  <c r="M21" i="1"/>
  <c r="M16" i="1"/>
  <c r="M27" i="1"/>
  <c r="M31" i="1"/>
  <c r="M18" i="1"/>
  <c r="L30" i="1"/>
  <c r="L20" i="1"/>
  <c r="L17" i="1"/>
  <c r="L31" i="1"/>
  <c r="L21" i="1"/>
  <c r="L27" i="1"/>
  <c r="L16" i="1"/>
  <c r="L19" i="1"/>
  <c r="L18" i="1"/>
  <c r="J27" i="1"/>
  <c r="J18" i="1"/>
  <c r="J30" i="1"/>
  <c r="J20" i="1"/>
  <c r="J17" i="1"/>
  <c r="J19" i="1"/>
  <c r="J31" i="1"/>
  <c r="J21" i="1"/>
  <c r="J16" i="1"/>
  <c r="L5" i="1"/>
  <c r="F5" i="1"/>
  <c r="T17" i="829"/>
  <c r="U18" i="829"/>
  <c r="U17" i="829"/>
  <c r="K54" i="110"/>
  <c r="AN39" i="409" l="1"/>
  <c r="K110" i="2"/>
  <c r="K150" i="2"/>
  <c r="AO34" i="409"/>
  <c r="M27" i="2"/>
  <c r="N27" i="2" s="1"/>
  <c r="L32" i="2"/>
  <c r="K263" i="2"/>
  <c r="K269" i="2" s="1"/>
  <c r="L269" i="2" s="1"/>
  <c r="M269" i="2" s="1"/>
  <c r="N269" i="2" s="1"/>
  <c r="O269" i="2" s="1"/>
  <c r="P269" i="2" s="1"/>
  <c r="Q269" i="2" s="1"/>
  <c r="R269" i="2" s="1"/>
  <c r="J212" i="2"/>
  <c r="J217" i="2" s="1"/>
  <c r="J185" i="2"/>
  <c r="M31" i="2"/>
  <c r="N31" i="2" s="1"/>
  <c r="O31" i="2" s="1"/>
  <c r="P31" i="2" s="1"/>
  <c r="Q31" i="2" s="1"/>
  <c r="R31" i="2" s="1"/>
  <c r="T56" i="846" s="1"/>
  <c r="AO38" i="409"/>
  <c r="M28" i="2"/>
  <c r="N28" i="2" s="1"/>
  <c r="O28" i="2" s="1"/>
  <c r="P28" i="2" s="1"/>
  <c r="Q28" i="2" s="1"/>
  <c r="R28" i="2" s="1"/>
  <c r="T53" i="846" s="1"/>
  <c r="AO35" i="409"/>
  <c r="K178" i="2"/>
  <c r="K79" i="2"/>
  <c r="K114" i="2" s="1"/>
  <c r="K39" i="2"/>
  <c r="K38" i="2"/>
  <c r="K67" i="2"/>
  <c r="K111" i="2" s="1"/>
  <c r="K40" i="2"/>
  <c r="K19" i="2"/>
  <c r="K41" i="2"/>
  <c r="K78" i="2"/>
  <c r="K113" i="2" s="1"/>
  <c r="M30" i="2"/>
  <c r="N30" i="2" s="1"/>
  <c r="O30" i="2" s="1"/>
  <c r="P30" i="2" s="1"/>
  <c r="Q30" i="2" s="1"/>
  <c r="R30" i="2" s="1"/>
  <c r="T55" i="846" s="1"/>
  <c r="AO37" i="409"/>
  <c r="M29" i="2"/>
  <c r="N29" i="2" s="1"/>
  <c r="O29" i="2" s="1"/>
  <c r="P29" i="2" s="1"/>
  <c r="Q29" i="2" s="1"/>
  <c r="R29" i="2" s="1"/>
  <c r="T54" i="846" s="1"/>
  <c r="AO36" i="409"/>
  <c r="H105" i="2"/>
  <c r="H330" i="2" s="1"/>
  <c r="H340" i="2" s="1"/>
  <c r="H171" i="2"/>
  <c r="K118" i="2"/>
  <c r="K159" i="2"/>
  <c r="L159" i="2" s="1"/>
  <c r="M159" i="2" s="1"/>
  <c r="N159" i="2" s="1"/>
  <c r="O159" i="2" s="1"/>
  <c r="P159" i="2" s="1"/>
  <c r="Q159" i="2" s="1"/>
  <c r="R159" i="2" s="1"/>
  <c r="H285" i="2"/>
  <c r="H37" i="2" s="1"/>
  <c r="H36" i="2" s="1"/>
  <c r="H247" i="2"/>
  <c r="H248" i="2" s="1"/>
  <c r="H250" i="2" s="1"/>
  <c r="H280" i="2"/>
  <c r="I277" i="2"/>
  <c r="J266" i="2"/>
  <c r="J122" i="2"/>
  <c r="J291" i="2" s="1"/>
  <c r="J343" i="2"/>
  <c r="J110" i="2"/>
  <c r="I122" i="2"/>
  <c r="I291" i="2" s="1"/>
  <c r="I343" i="2"/>
  <c r="H228" i="2"/>
  <c r="H229" i="2" s="1"/>
  <c r="H236" i="2"/>
  <c r="H126" i="2" s="1"/>
  <c r="J156" i="2"/>
  <c r="I167" i="2"/>
  <c r="I169" i="2" s="1"/>
  <c r="K29" i="209"/>
  <c r="K28" i="209"/>
  <c r="J12" i="45"/>
  <c r="K10" i="45"/>
  <c r="K11" i="45" s="1"/>
  <c r="L257" i="2"/>
  <c r="L180" i="2"/>
  <c r="L10" i="2"/>
  <c r="N143" i="2"/>
  <c r="M64" i="2"/>
  <c r="C139" i="2"/>
  <c r="C60" i="2"/>
  <c r="C23" i="2"/>
  <c r="C5" i="8"/>
  <c r="C10" i="2"/>
  <c r="C10" i="8" s="1"/>
  <c r="L5" i="8"/>
  <c r="L139" i="2"/>
  <c r="L60" i="2"/>
  <c r="L23" i="2"/>
  <c r="N9" i="2"/>
  <c r="M9" i="8"/>
  <c r="M8" i="2"/>
  <c r="M8" i="8" s="1"/>
  <c r="M5" i="2"/>
  <c r="M10" i="2"/>
  <c r="L207" i="2"/>
  <c r="L208" i="2" s="1"/>
  <c r="M205" i="2" s="1"/>
  <c r="O65" i="2"/>
  <c r="R26" i="2"/>
  <c r="T51" i="846" s="1"/>
  <c r="O36" i="1"/>
  <c r="O31" i="1"/>
  <c r="M5" i="1"/>
  <c r="G5" i="1"/>
  <c r="N5" i="1" s="1"/>
  <c r="O16" i="1"/>
  <c r="O21" i="1"/>
  <c r="O19" i="1"/>
  <c r="O17" i="1"/>
  <c r="O20" i="1"/>
  <c r="O30" i="1"/>
  <c r="O18" i="1"/>
  <c r="O27" i="1"/>
  <c r="D45" i="110"/>
  <c r="D46" i="110"/>
  <c r="AK13" i="409"/>
  <c r="AK32" i="409"/>
  <c r="D44" i="110"/>
  <c r="K244" i="2" l="1"/>
  <c r="N32" i="2"/>
  <c r="N263" i="2" s="1"/>
  <c r="AO39" i="409"/>
  <c r="O27" i="2"/>
  <c r="P27" i="2" s="1"/>
  <c r="L38" i="2"/>
  <c r="L40" i="2"/>
  <c r="L19" i="2"/>
  <c r="L39" i="2"/>
  <c r="L263" i="2"/>
  <c r="L79" i="2"/>
  <c r="L114" i="2" s="1"/>
  <c r="L150" i="2"/>
  <c r="L41" i="2"/>
  <c r="L35" i="2"/>
  <c r="L66" i="2" s="1"/>
  <c r="L110" i="2" s="1"/>
  <c r="L78" i="2"/>
  <c r="L113" i="2" s="1"/>
  <c r="L178" i="2"/>
  <c r="M32" i="2"/>
  <c r="N19" i="2" s="1"/>
  <c r="K212" i="2"/>
  <c r="K218" i="2" s="1"/>
  <c r="K186" i="2"/>
  <c r="H106" i="2"/>
  <c r="H77" i="2"/>
  <c r="H42" i="2"/>
  <c r="H43" i="2" s="1"/>
  <c r="K122" i="2"/>
  <c r="K291" i="2" s="1"/>
  <c r="K343" i="2"/>
  <c r="K156" i="2"/>
  <c r="J167" i="2"/>
  <c r="J169" i="2" s="1"/>
  <c r="K266" i="2"/>
  <c r="J277" i="2"/>
  <c r="I211" i="2"/>
  <c r="I213" i="2" s="1"/>
  <c r="I235" i="2" s="1"/>
  <c r="I45" i="2" s="1"/>
  <c r="H231" i="2"/>
  <c r="H233" i="2" s="1"/>
  <c r="I149" i="2"/>
  <c r="I171" i="2" s="1"/>
  <c r="J149" i="2" s="1"/>
  <c r="H199" i="2"/>
  <c r="H69" i="2" s="1"/>
  <c r="H282" i="2"/>
  <c r="H284" i="2" s="1"/>
  <c r="I262" i="2"/>
  <c r="H70" i="2"/>
  <c r="I243" i="2"/>
  <c r="N150" i="2"/>
  <c r="K12" i="45"/>
  <c r="R29" i="209"/>
  <c r="R30" i="209" s="1"/>
  <c r="R32" i="209" s="1"/>
  <c r="Q29" i="209"/>
  <c r="Q30" i="209" s="1"/>
  <c r="Q32" i="209" s="1"/>
  <c r="R33" i="209" s="1"/>
  <c r="F28" i="143" s="1"/>
  <c r="L10" i="45"/>
  <c r="L11" i="45" s="1"/>
  <c r="L258" i="2"/>
  <c r="L259" i="2" s="1"/>
  <c r="M256" i="2" s="1"/>
  <c r="M206" i="2"/>
  <c r="M207" i="2" s="1"/>
  <c r="M208" i="2"/>
  <c r="N205" i="2" s="1"/>
  <c r="N38" i="2"/>
  <c r="N35" i="2"/>
  <c r="N41" i="2"/>
  <c r="N78" i="2"/>
  <c r="N178" i="2"/>
  <c r="N79" i="2"/>
  <c r="N40" i="2"/>
  <c r="O9" i="2"/>
  <c r="N5" i="2"/>
  <c r="N9" i="8"/>
  <c r="N8" i="2"/>
  <c r="N8" i="8" s="1"/>
  <c r="L10" i="8"/>
  <c r="L67" i="2"/>
  <c r="L111" i="2" s="1"/>
  <c r="O143" i="2"/>
  <c r="N64" i="2"/>
  <c r="M10" i="8"/>
  <c r="M180" i="2"/>
  <c r="M139" i="2"/>
  <c r="M60" i="2"/>
  <c r="M23" i="2"/>
  <c r="M5" i="8"/>
  <c r="P65" i="2"/>
  <c r="F43" i="110"/>
  <c r="G47" i="110"/>
  <c r="AN32" i="409"/>
  <c r="AN13" i="409"/>
  <c r="AL13" i="409"/>
  <c r="AL32" i="409"/>
  <c r="B215" i="2"/>
  <c r="B183" i="2"/>
  <c r="AM13" i="409"/>
  <c r="AM32" i="409"/>
  <c r="D47" i="110"/>
  <c r="G43" i="110"/>
  <c r="AJ32" i="409"/>
  <c r="AJ13" i="409"/>
  <c r="N39" i="2" l="1"/>
  <c r="L212" i="2"/>
  <c r="L219" i="2" s="1"/>
  <c r="L187" i="2"/>
  <c r="L270" i="2"/>
  <c r="M270" i="2" s="1"/>
  <c r="N270" i="2" s="1"/>
  <c r="O270" i="2" s="1"/>
  <c r="P270" i="2" s="1"/>
  <c r="Q270" i="2" s="1"/>
  <c r="R270" i="2" s="1"/>
  <c r="L244" i="2"/>
  <c r="L118" i="2"/>
  <c r="L160" i="2"/>
  <c r="M160" i="2" s="1"/>
  <c r="N160" i="2" s="1"/>
  <c r="O160" i="2" s="1"/>
  <c r="P160" i="2" s="1"/>
  <c r="Q160" i="2" s="1"/>
  <c r="R160" i="2" s="1"/>
  <c r="O32" i="2"/>
  <c r="O263" i="2" s="1"/>
  <c r="M79" i="2"/>
  <c r="M114" i="2" s="1"/>
  <c r="M38" i="2"/>
  <c r="M19" i="2"/>
  <c r="M78" i="2"/>
  <c r="M113" i="2" s="1"/>
  <c r="M40" i="2"/>
  <c r="M39" i="2"/>
  <c r="M150" i="2"/>
  <c r="M41" i="2"/>
  <c r="M263" i="2"/>
  <c r="M67" i="2"/>
  <c r="M111" i="2" s="1"/>
  <c r="M35" i="2"/>
  <c r="M66" i="2" s="1"/>
  <c r="M110" i="2" s="1"/>
  <c r="M178" i="2"/>
  <c r="J171" i="2"/>
  <c r="K149" i="2" s="1"/>
  <c r="H81" i="2"/>
  <c r="O150" i="2"/>
  <c r="L266" i="2"/>
  <c r="K277" i="2"/>
  <c r="N244" i="2"/>
  <c r="N272" i="2"/>
  <c r="O272" i="2" s="1"/>
  <c r="P272" i="2" s="1"/>
  <c r="Q272" i="2" s="1"/>
  <c r="R272" i="2" s="1"/>
  <c r="N118" i="2"/>
  <c r="N162" i="2"/>
  <c r="O162" i="2" s="1"/>
  <c r="P162" i="2" s="1"/>
  <c r="Q162" i="2" s="1"/>
  <c r="R162" i="2" s="1"/>
  <c r="L156" i="2"/>
  <c r="K167" i="2"/>
  <c r="K169" i="2" s="1"/>
  <c r="H337" i="2"/>
  <c r="H329" i="2"/>
  <c r="H331" i="2" s="1"/>
  <c r="H48" i="2"/>
  <c r="H49" i="2" s="1"/>
  <c r="H51" i="2" s="1"/>
  <c r="AK16" i="409" s="1"/>
  <c r="T15" i="409" s="1"/>
  <c r="H80" i="2"/>
  <c r="H112" i="2"/>
  <c r="H344" i="2" s="1"/>
  <c r="H88" i="2"/>
  <c r="H333" i="2"/>
  <c r="H341" i="2" s="1"/>
  <c r="I264" i="2"/>
  <c r="I279" i="2" s="1"/>
  <c r="L12" i="45"/>
  <c r="M10" i="45"/>
  <c r="M11" i="45" s="1"/>
  <c r="M12" i="45"/>
  <c r="M257" i="2"/>
  <c r="N212" i="2"/>
  <c r="N221" i="2" s="1"/>
  <c r="N189" i="2"/>
  <c r="N10" i="2"/>
  <c r="N139" i="2"/>
  <c r="N60" i="2"/>
  <c r="N23" i="2"/>
  <c r="N5" i="8"/>
  <c r="P9" i="2"/>
  <c r="O5" i="2"/>
  <c r="O9" i="8"/>
  <c r="O8" i="2"/>
  <c r="O8" i="8" s="1"/>
  <c r="P143" i="2"/>
  <c r="O64" i="2"/>
  <c r="N180" i="2"/>
  <c r="B184" i="2"/>
  <c r="I183" i="2"/>
  <c r="I194" i="2" s="1"/>
  <c r="I196" i="2" s="1"/>
  <c r="N66" i="2"/>
  <c r="B216" i="2"/>
  <c r="I215" i="2"/>
  <c r="I226" i="2" s="1"/>
  <c r="N206" i="2"/>
  <c r="N207" i="2"/>
  <c r="N208" i="2" s="1"/>
  <c r="O205" i="2" s="1"/>
  <c r="Q65" i="2"/>
  <c r="Q27" i="2"/>
  <c r="P32" i="2"/>
  <c r="AO32" i="409"/>
  <c r="AO13" i="409"/>
  <c r="L46" i="110"/>
  <c r="H46" i="110"/>
  <c r="U40" i="2"/>
  <c r="U41" i="2"/>
  <c r="U39" i="2"/>
  <c r="U38" i="2"/>
  <c r="K44" i="110"/>
  <c r="Q68" i="110" s="1"/>
  <c r="G44" i="110"/>
  <c r="J46" i="110"/>
  <c r="F46" i="110"/>
  <c r="L45" i="110"/>
  <c r="H45" i="110"/>
  <c r="L44" i="110"/>
  <c r="H44" i="110"/>
  <c r="D43" i="110"/>
  <c r="D48" i="110" s="1"/>
  <c r="J44" i="110"/>
  <c r="F44" i="110"/>
  <c r="K47" i="110"/>
  <c r="Q71" i="110" s="1"/>
  <c r="K43" i="110"/>
  <c r="K45" i="110"/>
  <c r="Q69" i="110" s="1"/>
  <c r="G45" i="110"/>
  <c r="AI32" i="409"/>
  <c r="AI13" i="409"/>
  <c r="J47" i="110"/>
  <c r="F47" i="110"/>
  <c r="K46" i="110"/>
  <c r="Q70" i="110" s="1"/>
  <c r="G46" i="110"/>
  <c r="H43" i="110"/>
  <c r="J45" i="110"/>
  <c r="F45" i="110"/>
  <c r="L47" i="110"/>
  <c r="H47" i="110"/>
  <c r="O79" i="2" l="1"/>
  <c r="O114" i="2" s="1"/>
  <c r="J183" i="2"/>
  <c r="N113" i="2"/>
  <c r="O38" i="2"/>
  <c r="I280" i="2"/>
  <c r="O39" i="2"/>
  <c r="O178" i="2"/>
  <c r="O212" i="2" s="1"/>
  <c r="O222" i="2" s="1"/>
  <c r="M212" i="2"/>
  <c r="M220" i="2" s="1"/>
  <c r="M188" i="2"/>
  <c r="L122" i="2"/>
  <c r="L291" i="2" s="1"/>
  <c r="L343" i="2"/>
  <c r="N114" i="2"/>
  <c r="N110" i="2"/>
  <c r="O78" i="2"/>
  <c r="O113" i="2" s="1"/>
  <c r="M118" i="2"/>
  <c r="M161" i="2"/>
  <c r="N161" i="2" s="1"/>
  <c r="O161" i="2" s="1"/>
  <c r="P161" i="2" s="1"/>
  <c r="Q161" i="2" s="1"/>
  <c r="R161" i="2" s="1"/>
  <c r="M244" i="2"/>
  <c r="M271" i="2"/>
  <c r="N271" i="2" s="1"/>
  <c r="O271" i="2" s="1"/>
  <c r="P271" i="2" s="1"/>
  <c r="Q271" i="2" s="1"/>
  <c r="R271" i="2" s="1"/>
  <c r="O19" i="2"/>
  <c r="O35" i="2"/>
  <c r="O41" i="2"/>
  <c r="O40" i="2"/>
  <c r="H84" i="2"/>
  <c r="J215" i="2"/>
  <c r="K215" i="2" s="1"/>
  <c r="H334" i="2"/>
  <c r="M266" i="2"/>
  <c r="L277" i="2"/>
  <c r="H103" i="2"/>
  <c r="H115" i="2" s="1"/>
  <c r="H290" i="2" s="1"/>
  <c r="H292" i="2" s="1"/>
  <c r="H90" i="2"/>
  <c r="I228" i="2"/>
  <c r="I229" i="2" s="1"/>
  <c r="I236" i="2"/>
  <c r="I126" i="2" s="1"/>
  <c r="H338" i="2"/>
  <c r="H339" i="2" s="1"/>
  <c r="H345" i="2" s="1"/>
  <c r="K171" i="2"/>
  <c r="L149" i="2" s="1"/>
  <c r="J262" i="2"/>
  <c r="I282" i="2"/>
  <c r="I284" i="2" s="1"/>
  <c r="O244" i="2"/>
  <c r="O273" i="2"/>
  <c r="P273" i="2" s="1"/>
  <c r="Q273" i="2" s="1"/>
  <c r="R273" i="2" s="1"/>
  <c r="M156" i="2"/>
  <c r="L167" i="2"/>
  <c r="L169" i="2" s="1"/>
  <c r="I198" i="2"/>
  <c r="I105" i="2"/>
  <c r="I330" i="2" s="1"/>
  <c r="I340" i="2" s="1"/>
  <c r="I285" i="2"/>
  <c r="I37" i="2" s="1"/>
  <c r="I36" i="2" s="1"/>
  <c r="I247" i="2"/>
  <c r="I248" i="2" s="1"/>
  <c r="I250" i="2" s="1"/>
  <c r="O118" i="2"/>
  <c r="O163" i="2"/>
  <c r="P163" i="2" s="1"/>
  <c r="Q163" i="2" s="1"/>
  <c r="R163" i="2" s="1"/>
  <c r="P263" i="2"/>
  <c r="P150" i="2"/>
  <c r="N122" i="2"/>
  <c r="N291" i="2" s="1"/>
  <c r="N343" i="2"/>
  <c r="N10" i="45"/>
  <c r="N11" i="45" s="1"/>
  <c r="M258" i="2"/>
  <c r="M259" i="2" s="1"/>
  <c r="N256" i="2" s="1"/>
  <c r="O206" i="2"/>
  <c r="Q9" i="2"/>
  <c r="P9" i="8"/>
  <c r="P8" i="2"/>
  <c r="P8" i="8" s="1"/>
  <c r="P5" i="2"/>
  <c r="P10" i="2"/>
  <c r="O10" i="2"/>
  <c r="O139" i="2"/>
  <c r="O60" i="2"/>
  <c r="O23" i="2"/>
  <c r="O5" i="8"/>
  <c r="B185" i="2"/>
  <c r="J184" i="2"/>
  <c r="K184" i="2" s="1"/>
  <c r="L184" i="2" s="1"/>
  <c r="M184" i="2" s="1"/>
  <c r="N184" i="2" s="1"/>
  <c r="O180" i="2"/>
  <c r="N10" i="8"/>
  <c r="N67" i="2"/>
  <c r="N111" i="2" s="1"/>
  <c r="B217" i="2"/>
  <c r="J216" i="2"/>
  <c r="K216" i="2" s="1"/>
  <c r="L216" i="2" s="1"/>
  <c r="M216" i="2" s="1"/>
  <c r="N216" i="2" s="1"/>
  <c r="K183" i="2"/>
  <c r="P38" i="2"/>
  <c r="P39" i="2"/>
  <c r="P40" i="2"/>
  <c r="P19" i="2"/>
  <c r="P41" i="2"/>
  <c r="P78" i="2"/>
  <c r="P35" i="2"/>
  <c r="P178" i="2"/>
  <c r="P79" i="2"/>
  <c r="P114" i="2" s="1"/>
  <c r="Q143" i="2"/>
  <c r="P64" i="2"/>
  <c r="R65" i="2"/>
  <c r="R27" i="2"/>
  <c r="Q32" i="2"/>
  <c r="L43" i="110"/>
  <c r="L48" i="110" s="1"/>
  <c r="H48" i="110" s="1"/>
  <c r="J43" i="110"/>
  <c r="J48" i="110" s="1"/>
  <c r="F48" i="110" s="1"/>
  <c r="U35" i="2"/>
  <c r="K48" i="110"/>
  <c r="Q67" i="110"/>
  <c r="AH13" i="409"/>
  <c r="AH32" i="409"/>
  <c r="O190" i="2" l="1"/>
  <c r="P113" i="2"/>
  <c r="M122" i="2"/>
  <c r="M291" i="2" s="1"/>
  <c r="M343" i="2"/>
  <c r="E14" i="45"/>
  <c r="AK14" i="409"/>
  <c r="T14" i="409" s="1"/>
  <c r="E15" i="45"/>
  <c r="E23" i="45" s="1"/>
  <c r="AK15" i="409"/>
  <c r="R32" i="2"/>
  <c r="R39" i="2" s="1"/>
  <c r="T52" i="846"/>
  <c r="H295" i="2"/>
  <c r="H294" i="2"/>
  <c r="J264" i="2"/>
  <c r="J279" i="2" s="1"/>
  <c r="P118" i="2"/>
  <c r="P164" i="2"/>
  <c r="Q164" i="2" s="1"/>
  <c r="R164" i="2" s="1"/>
  <c r="L171" i="2"/>
  <c r="M149" i="2" s="1"/>
  <c r="N266" i="2"/>
  <c r="M277" i="2"/>
  <c r="P274" i="2"/>
  <c r="Q274" i="2" s="1"/>
  <c r="R274" i="2" s="1"/>
  <c r="P244" i="2"/>
  <c r="Q150" i="2"/>
  <c r="Q263" i="2"/>
  <c r="J226" i="2"/>
  <c r="O122" i="2"/>
  <c r="O291" i="2" s="1"/>
  <c r="O343" i="2"/>
  <c r="J243" i="2"/>
  <c r="I70" i="2"/>
  <c r="N156" i="2"/>
  <c r="M167" i="2"/>
  <c r="M169" i="2" s="1"/>
  <c r="I106" i="2"/>
  <c r="I77" i="2"/>
  <c r="I42" i="2"/>
  <c r="I43" i="2" s="1"/>
  <c r="J177" i="2"/>
  <c r="I199" i="2"/>
  <c r="I69" i="2" s="1"/>
  <c r="I231" i="2"/>
  <c r="I233" i="2" s="1"/>
  <c r="I81" i="2" s="1"/>
  <c r="J211" i="2"/>
  <c r="J213" i="2" s="1"/>
  <c r="J235" i="2" s="1"/>
  <c r="J45" i="2" s="1"/>
  <c r="N12" i="45"/>
  <c r="O10" i="45"/>
  <c r="O11" i="45" s="1"/>
  <c r="N257" i="2"/>
  <c r="O10" i="8"/>
  <c r="O67" i="2"/>
  <c r="O111" i="2" s="1"/>
  <c r="R143" i="2"/>
  <c r="R64" i="2" s="1"/>
  <c r="Q64" i="2"/>
  <c r="P10" i="8"/>
  <c r="P191" i="2"/>
  <c r="P212" i="2"/>
  <c r="P223" i="2" s="1"/>
  <c r="O66" i="2"/>
  <c r="O110" i="2" s="1"/>
  <c r="R9" i="2"/>
  <c r="Q5" i="2"/>
  <c r="Q8" i="2"/>
  <c r="Q8" i="8" s="1"/>
  <c r="Q9" i="8"/>
  <c r="P139" i="2"/>
  <c r="P60" i="2"/>
  <c r="P23" i="2"/>
  <c r="P5" i="8"/>
  <c r="Q178" i="2"/>
  <c r="Q79" i="2"/>
  <c r="Q114" i="2" s="1"/>
  <c r="Q38" i="2"/>
  <c r="Q39" i="2"/>
  <c r="Q40" i="2"/>
  <c r="Q19" i="2"/>
  <c r="Q35" i="2"/>
  <c r="Q41" i="2"/>
  <c r="Q78" i="2"/>
  <c r="Q113" i="2" s="1"/>
  <c r="L215" i="2"/>
  <c r="P180" i="2"/>
  <c r="O184" i="2"/>
  <c r="B186" i="2"/>
  <c r="K185" i="2"/>
  <c r="L185" i="2" s="1"/>
  <c r="M185" i="2" s="1"/>
  <c r="N185" i="2" s="1"/>
  <c r="O185" i="2" s="1"/>
  <c r="P185" i="2" s="1"/>
  <c r="J194" i="2"/>
  <c r="J196" i="2" s="1"/>
  <c r="P67" i="2"/>
  <c r="O216" i="2"/>
  <c r="P216" i="2" s="1"/>
  <c r="P66" i="2"/>
  <c r="L183" i="2"/>
  <c r="B218" i="2"/>
  <c r="K217" i="2"/>
  <c r="L217" i="2" s="1"/>
  <c r="M217" i="2" s="1"/>
  <c r="N217" i="2" s="1"/>
  <c r="O217" i="2" s="1"/>
  <c r="O207" i="2"/>
  <c r="O208" i="2" s="1"/>
  <c r="P205" i="2" s="1"/>
  <c r="G48" i="110"/>
  <c r="Q72" i="110"/>
  <c r="R79" i="2" l="1"/>
  <c r="R114" i="2" s="1"/>
  <c r="R178" i="2"/>
  <c r="R78" i="2"/>
  <c r="R38" i="2"/>
  <c r="R263" i="2"/>
  <c r="R244" i="2" s="1"/>
  <c r="R35" i="2"/>
  <c r="R41" i="2"/>
  <c r="R150" i="2"/>
  <c r="R118" i="2" s="1"/>
  <c r="R19" i="2"/>
  <c r="R40" i="2"/>
  <c r="J280" i="2"/>
  <c r="K262" i="2" s="1"/>
  <c r="J228" i="2"/>
  <c r="J229" i="2" s="1"/>
  <c r="J236" i="2"/>
  <c r="J126" i="2" s="1"/>
  <c r="Q244" i="2"/>
  <c r="Q275" i="2"/>
  <c r="R275" i="2" s="1"/>
  <c r="H310" i="2"/>
  <c r="H311" i="2"/>
  <c r="I333" i="2"/>
  <c r="I341" i="2" s="1"/>
  <c r="I88" i="2"/>
  <c r="Q165" i="2"/>
  <c r="R165" i="2" s="1"/>
  <c r="Q118" i="2"/>
  <c r="P110" i="2"/>
  <c r="O156" i="2"/>
  <c r="N167" i="2"/>
  <c r="N169" i="2" s="1"/>
  <c r="P111" i="2"/>
  <c r="M171" i="2"/>
  <c r="N149" i="2" s="1"/>
  <c r="J198" i="2"/>
  <c r="J105" i="2"/>
  <c r="J330" i="2" s="1"/>
  <c r="J340" i="2" s="1"/>
  <c r="R276" i="2"/>
  <c r="O266" i="2"/>
  <c r="N277" i="2"/>
  <c r="R113" i="2"/>
  <c r="P343" i="2"/>
  <c r="P122" i="2"/>
  <c r="P291" i="2" s="1"/>
  <c r="J285" i="2"/>
  <c r="J37" i="2" s="1"/>
  <c r="J36" i="2" s="1"/>
  <c r="J247" i="2"/>
  <c r="J248" i="2" s="1"/>
  <c r="J250" i="2" s="1"/>
  <c r="I337" i="2"/>
  <c r="I329" i="2"/>
  <c r="I331" i="2" s="1"/>
  <c r="H296" i="2"/>
  <c r="H86" i="2"/>
  <c r="I80" i="2"/>
  <c r="I84" i="2" s="1"/>
  <c r="I112" i="2"/>
  <c r="I344" i="2" s="1"/>
  <c r="O12" i="45"/>
  <c r="N258" i="2"/>
  <c r="N259" i="2" s="1"/>
  <c r="O256" i="2" s="1"/>
  <c r="P206" i="2"/>
  <c r="P207" i="2" s="1"/>
  <c r="Q185" i="2"/>
  <c r="P217" i="2"/>
  <c r="Q217" i="2" s="1"/>
  <c r="B219" i="2"/>
  <c r="L218" i="2"/>
  <c r="M218" i="2" s="1"/>
  <c r="N218" i="2" s="1"/>
  <c r="O218" i="2" s="1"/>
  <c r="P218" i="2" s="1"/>
  <c r="K194" i="2"/>
  <c r="K196" i="2" s="1"/>
  <c r="K105" i="2" s="1"/>
  <c r="K330" i="2" s="1"/>
  <c r="K340" i="2" s="1"/>
  <c r="Q60" i="2"/>
  <c r="Q23" i="2"/>
  <c r="Q5" i="8"/>
  <c r="Q139" i="2"/>
  <c r="M183" i="2"/>
  <c r="R193" i="2"/>
  <c r="R212" i="2"/>
  <c r="R225" i="2" s="1"/>
  <c r="Q66" i="2"/>
  <c r="Q110" i="2" s="1"/>
  <c r="B187" i="2"/>
  <c r="L186" i="2"/>
  <c r="M186" i="2" s="1"/>
  <c r="N186" i="2" s="1"/>
  <c r="O186" i="2" s="1"/>
  <c r="P186" i="2" s="1"/>
  <c r="P184" i="2"/>
  <c r="Q10" i="2"/>
  <c r="Q180" i="2"/>
  <c r="K226" i="2"/>
  <c r="R8" i="2"/>
  <c r="R8" i="8" s="1"/>
  <c r="R9" i="8"/>
  <c r="R5" i="2"/>
  <c r="M215" i="2"/>
  <c r="Q192" i="2"/>
  <c r="Q212" i="2"/>
  <c r="Q224" i="2" s="1"/>
  <c r="K56" i="110"/>
  <c r="K52" i="110"/>
  <c r="J56" i="110"/>
  <c r="J52" i="110"/>
  <c r="L56" i="110"/>
  <c r="L52" i="110"/>
  <c r="R166" i="2" l="1"/>
  <c r="R167" i="2" s="1"/>
  <c r="R169" i="2" s="1"/>
  <c r="J282" i="2"/>
  <c r="J284" i="2" s="1"/>
  <c r="N171" i="2"/>
  <c r="O149" i="2" s="1"/>
  <c r="L226" i="2"/>
  <c r="L236" i="2" s="1"/>
  <c r="L126" i="2" s="1"/>
  <c r="L194" i="2"/>
  <c r="L196" i="2" s="1"/>
  <c r="L105" i="2" s="1"/>
  <c r="L330" i="2" s="1"/>
  <c r="L340" i="2" s="1"/>
  <c r="K243" i="2"/>
  <c r="J70" i="2"/>
  <c r="I338" i="2"/>
  <c r="I339" i="2" s="1"/>
  <c r="I345" i="2" s="1"/>
  <c r="K264" i="2"/>
  <c r="K279" i="2" s="1"/>
  <c r="Q122" i="2"/>
  <c r="Q291" i="2" s="1"/>
  <c r="Q343" i="2"/>
  <c r="K228" i="2"/>
  <c r="K229" i="2" s="1"/>
  <c r="K236" i="2"/>
  <c r="K126" i="2" s="1"/>
  <c r="R343" i="2"/>
  <c r="R122" i="2"/>
  <c r="R291" i="2" s="1"/>
  <c r="K177" i="2"/>
  <c r="K198" i="2" s="1"/>
  <c r="J199" i="2"/>
  <c r="J69" i="2" s="1"/>
  <c r="H91" i="2"/>
  <c r="H92" i="2" s="1"/>
  <c r="P266" i="2"/>
  <c r="O277" i="2"/>
  <c r="H55" i="2"/>
  <c r="H56" i="2"/>
  <c r="P156" i="2"/>
  <c r="O167" i="2"/>
  <c r="O169" i="2" s="1"/>
  <c r="O171" i="2" s="1"/>
  <c r="P149" i="2" s="1"/>
  <c r="J106" i="2"/>
  <c r="J333" i="2" s="1"/>
  <c r="J341" i="2" s="1"/>
  <c r="J77" i="2"/>
  <c r="J42" i="2"/>
  <c r="J43" i="2" s="1"/>
  <c r="I334" i="2"/>
  <c r="K211" i="2"/>
  <c r="K213" i="2" s="1"/>
  <c r="K235" i="2" s="1"/>
  <c r="K45" i="2" s="1"/>
  <c r="J231" i="2"/>
  <c r="J233" i="2" s="1"/>
  <c r="O257" i="2"/>
  <c r="O258" i="2" s="1"/>
  <c r="O259" i="2" s="1"/>
  <c r="P256" i="2" s="1"/>
  <c r="B220" i="2"/>
  <c r="M219" i="2"/>
  <c r="N219" i="2" s="1"/>
  <c r="O219" i="2" s="1"/>
  <c r="P219" i="2" s="1"/>
  <c r="Q219" i="2" s="1"/>
  <c r="R60" i="2"/>
  <c r="R23" i="2"/>
  <c r="R5" i="8"/>
  <c r="R139" i="2"/>
  <c r="N183" i="2"/>
  <c r="R180" i="2"/>
  <c r="Q10" i="8"/>
  <c r="Q67" i="2"/>
  <c r="Q111" i="2" s="1"/>
  <c r="Q184" i="2"/>
  <c r="Q216" i="2"/>
  <c r="Q186" i="2"/>
  <c r="R10" i="2"/>
  <c r="N215" i="2"/>
  <c r="B188" i="2"/>
  <c r="M187" i="2"/>
  <c r="N187" i="2" s="1"/>
  <c r="O187" i="2" s="1"/>
  <c r="P187" i="2" s="1"/>
  <c r="Q187" i="2" s="1"/>
  <c r="Q218" i="2"/>
  <c r="P208" i="2"/>
  <c r="Q205" i="2" s="1"/>
  <c r="U36" i="2"/>
  <c r="J81" i="2" l="1"/>
  <c r="F15" i="45"/>
  <c r="F23" i="45" s="1"/>
  <c r="AL15" i="409"/>
  <c r="F14" i="45"/>
  <c r="AL14" i="409"/>
  <c r="U14" i="409" s="1"/>
  <c r="M194" i="2"/>
  <c r="M196" i="2" s="1"/>
  <c r="M105" i="2" s="1"/>
  <c r="M330" i="2" s="1"/>
  <c r="J88" i="2"/>
  <c r="K280" i="2"/>
  <c r="L262" i="2" s="1"/>
  <c r="M226" i="2"/>
  <c r="M236" i="2" s="1"/>
  <c r="M126" i="2" s="1"/>
  <c r="Q266" i="2"/>
  <c r="P277" i="2"/>
  <c r="H52" i="2"/>
  <c r="J337" i="2"/>
  <c r="J329" i="2"/>
  <c r="J331" i="2" s="1"/>
  <c r="J334" i="2" s="1"/>
  <c r="K285" i="2"/>
  <c r="K37" i="2" s="1"/>
  <c r="K36" i="2" s="1"/>
  <c r="K247" i="2"/>
  <c r="K248" i="2" s="1"/>
  <c r="K250" i="2" s="1"/>
  <c r="L211" i="2"/>
  <c r="L213" i="2" s="1"/>
  <c r="K231" i="2"/>
  <c r="K233" i="2" s="1"/>
  <c r="J80" i="2"/>
  <c r="J112" i="2"/>
  <c r="J344" i="2" s="1"/>
  <c r="L177" i="2"/>
  <c r="L198" i="2" s="1"/>
  <c r="K199" i="2"/>
  <c r="K69" i="2" s="1"/>
  <c r="Q156" i="2"/>
  <c r="Q167" i="2" s="1"/>
  <c r="Q169" i="2" s="1"/>
  <c r="P167" i="2"/>
  <c r="P169" i="2" s="1"/>
  <c r="P171" i="2" s="1"/>
  <c r="Q149" i="2" s="1"/>
  <c r="H53" i="2"/>
  <c r="P257" i="2"/>
  <c r="R215" i="2"/>
  <c r="R183" i="2"/>
  <c r="O215" i="2"/>
  <c r="R216" i="2"/>
  <c r="R10" i="8"/>
  <c r="R67" i="2"/>
  <c r="R111" i="2" s="1"/>
  <c r="R66" i="2"/>
  <c r="R110" i="2" s="1"/>
  <c r="R186" i="2"/>
  <c r="Q206" i="2"/>
  <c r="Q207" i="2" s="1"/>
  <c r="Q208" i="2" s="1"/>
  <c r="R205" i="2" s="1"/>
  <c r="R217" i="2"/>
  <c r="R219" i="2"/>
  <c r="B221" i="2"/>
  <c r="N220" i="2"/>
  <c r="O220" i="2" s="1"/>
  <c r="P220" i="2" s="1"/>
  <c r="Q220" i="2" s="1"/>
  <c r="R220" i="2" s="1"/>
  <c r="O183" i="2"/>
  <c r="R185" i="2"/>
  <c r="R184" i="2"/>
  <c r="R218" i="2"/>
  <c r="R187" i="2"/>
  <c r="B189" i="2"/>
  <c r="N188" i="2"/>
  <c r="O188" i="2" s="1"/>
  <c r="P188" i="2" s="1"/>
  <c r="Q188" i="2" s="1"/>
  <c r="R188" i="2" s="1"/>
  <c r="J84" i="2" l="1"/>
  <c r="G14" i="45"/>
  <c r="AM14" i="409"/>
  <c r="N194" i="2"/>
  <c r="N196" i="2" s="1"/>
  <c r="N105" i="2" s="1"/>
  <c r="N330" i="2" s="1"/>
  <c r="Q171" i="2"/>
  <c r="R149" i="2" s="1"/>
  <c r="R171" i="2" s="1"/>
  <c r="K282" i="2"/>
  <c r="K284" i="2" s="1"/>
  <c r="K81" i="2" s="1"/>
  <c r="L243" i="2"/>
  <c r="K70" i="2"/>
  <c r="J338" i="2"/>
  <c r="J339" i="2" s="1"/>
  <c r="J345" i="2" s="1"/>
  <c r="M177" i="2"/>
  <c r="M198" i="2" s="1"/>
  <c r="L199" i="2"/>
  <c r="L69" i="2" s="1"/>
  <c r="N340" i="2"/>
  <c r="L264" i="2"/>
  <c r="L279" i="2" s="1"/>
  <c r="M340" i="2"/>
  <c r="L228" i="2"/>
  <c r="L229" i="2" s="1"/>
  <c r="L235" i="2"/>
  <c r="L45" i="2" s="1"/>
  <c r="R266" i="2"/>
  <c r="R277" i="2" s="1"/>
  <c r="Q277" i="2"/>
  <c r="K106" i="2"/>
  <c r="K42" i="2"/>
  <c r="K43" i="2" s="1"/>
  <c r="K77" i="2"/>
  <c r="P258" i="2"/>
  <c r="P259" i="2" s="1"/>
  <c r="Q256" i="2" s="1"/>
  <c r="R206" i="2"/>
  <c r="R207" i="2" s="1"/>
  <c r="R208" i="2" s="1"/>
  <c r="P183" i="2"/>
  <c r="B222" i="2"/>
  <c r="O221" i="2"/>
  <c r="P221" i="2" s="1"/>
  <c r="Q221" i="2" s="1"/>
  <c r="R221" i="2" s="1"/>
  <c r="P215" i="2"/>
  <c r="B190" i="2"/>
  <c r="O189" i="2"/>
  <c r="P189" i="2" s="1"/>
  <c r="Q189" i="2" s="1"/>
  <c r="R189" i="2" s="1"/>
  <c r="N226" i="2"/>
  <c r="N236" i="2" s="1"/>
  <c r="N126" i="2" s="1"/>
  <c r="G15" i="45" l="1"/>
  <c r="G23" i="45" s="1"/>
  <c r="AM15" i="409"/>
  <c r="L280" i="2"/>
  <c r="O226" i="2"/>
  <c r="O236" i="2" s="1"/>
  <c r="O126" i="2" s="1"/>
  <c r="L247" i="2"/>
  <c r="L248" i="2" s="1"/>
  <c r="L285" i="2"/>
  <c r="L37" i="2" s="1"/>
  <c r="L36" i="2" s="1"/>
  <c r="M262" i="2"/>
  <c r="L282" i="2"/>
  <c r="L284" i="2" s="1"/>
  <c r="M211" i="2"/>
  <c r="L231" i="2"/>
  <c r="L233" i="2" s="1"/>
  <c r="K80" i="2"/>
  <c r="K84" i="2" s="1"/>
  <c r="K112" i="2"/>
  <c r="K344" i="2" s="1"/>
  <c r="K337" i="2"/>
  <c r="K329" i="2"/>
  <c r="K331" i="2" s="1"/>
  <c r="K333" i="2"/>
  <c r="K341" i="2" s="1"/>
  <c r="K88" i="2"/>
  <c r="N177" i="2"/>
  <c r="N198" i="2" s="1"/>
  <c r="M199" i="2"/>
  <c r="M69" i="2" s="1"/>
  <c r="L250" i="2"/>
  <c r="Q257" i="2"/>
  <c r="Q215" i="2"/>
  <c r="B191" i="2"/>
  <c r="P190" i="2"/>
  <c r="Q190" i="2" s="1"/>
  <c r="R190" i="2" s="1"/>
  <c r="B223" i="2"/>
  <c r="P222" i="2"/>
  <c r="Q222" i="2" s="1"/>
  <c r="R222" i="2" s="1"/>
  <c r="O194" i="2"/>
  <c r="O196" i="2" s="1"/>
  <c r="Q183" i="2"/>
  <c r="L81" i="2" l="1"/>
  <c r="O105" i="2"/>
  <c r="O330" i="2" s="1"/>
  <c r="K334" i="2"/>
  <c r="K338" i="2"/>
  <c r="K339" i="2" s="1"/>
  <c r="K345" i="2" s="1"/>
  <c r="M213" i="2"/>
  <c r="M243" i="2"/>
  <c r="L70" i="2"/>
  <c r="M264" i="2"/>
  <c r="M279" i="2" s="1"/>
  <c r="L106" i="2"/>
  <c r="L333" i="2" s="1"/>
  <c r="L341" i="2" s="1"/>
  <c r="L42" i="2"/>
  <c r="L43" i="2" s="1"/>
  <c r="L77" i="2"/>
  <c r="P194" i="2"/>
  <c r="P196" i="2" s="1"/>
  <c r="P105" i="2" s="1"/>
  <c r="P330" i="2" s="1"/>
  <c r="P340" i="2" s="1"/>
  <c r="O177" i="2"/>
  <c r="O198" i="2" s="1"/>
  <c r="N199" i="2"/>
  <c r="N69" i="2" s="1"/>
  <c r="Q258" i="2"/>
  <c r="Q259" i="2" s="1"/>
  <c r="R256" i="2" s="1"/>
  <c r="B224" i="2"/>
  <c r="Q223" i="2"/>
  <c r="R223" i="2" s="1"/>
  <c r="B192" i="2"/>
  <c r="Q191" i="2"/>
  <c r="R191" i="2" s="1"/>
  <c r="P226" i="2"/>
  <c r="P236" i="2" s="1"/>
  <c r="P126" i="2" s="1"/>
  <c r="H15" i="45" l="1"/>
  <c r="H23" i="45" s="1"/>
  <c r="AN15" i="409"/>
  <c r="H14" i="45"/>
  <c r="AN14" i="409"/>
  <c r="L88" i="2"/>
  <c r="P177" i="2"/>
  <c r="P198" i="2" s="1"/>
  <c r="O199" i="2"/>
  <c r="O69" i="2" s="1"/>
  <c r="M247" i="2"/>
  <c r="M248" i="2" s="1"/>
  <c r="M250" i="2" s="1"/>
  <c r="M285" i="2"/>
  <c r="M37" i="2" s="1"/>
  <c r="M36" i="2" s="1"/>
  <c r="M280" i="2"/>
  <c r="L80" i="2"/>
  <c r="L84" i="2" s="1"/>
  <c r="L112" i="2"/>
  <c r="L344" i="2" s="1"/>
  <c r="M228" i="2"/>
  <c r="M229" i="2" s="1"/>
  <c r="M235" i="2"/>
  <c r="M45" i="2" s="1"/>
  <c r="Q226" i="2"/>
  <c r="Q236" i="2" s="1"/>
  <c r="Q126" i="2" s="1"/>
  <c r="L337" i="2"/>
  <c r="L329" i="2"/>
  <c r="L331" i="2" s="1"/>
  <c r="L334" i="2" s="1"/>
  <c r="O340" i="2"/>
  <c r="R257" i="2"/>
  <c r="B193" i="2"/>
  <c r="R192" i="2"/>
  <c r="R194" i="2" s="1"/>
  <c r="R196" i="2" s="1"/>
  <c r="R105" i="2" s="1"/>
  <c r="R330" i="2" s="1"/>
  <c r="R340" i="2" s="1"/>
  <c r="B225" i="2"/>
  <c r="R224" i="2"/>
  <c r="R226" i="2" s="1"/>
  <c r="R236" i="2" s="1"/>
  <c r="R126" i="2" s="1"/>
  <c r="Q194" i="2"/>
  <c r="Q196" i="2" s="1"/>
  <c r="I14" i="45" l="1"/>
  <c r="AO14" i="409"/>
  <c r="N243" i="2"/>
  <c r="M70" i="2"/>
  <c r="Q105" i="2"/>
  <c r="Q330" i="2" s="1"/>
  <c r="N262" i="2"/>
  <c r="M282" i="2"/>
  <c r="M284" i="2" s="1"/>
  <c r="N211" i="2"/>
  <c r="N213" i="2" s="1"/>
  <c r="M231" i="2"/>
  <c r="M233" i="2" s="1"/>
  <c r="M106" i="2"/>
  <c r="M42" i="2"/>
  <c r="M43" i="2" s="1"/>
  <c r="M77" i="2"/>
  <c r="L338" i="2"/>
  <c r="L339" i="2" s="1"/>
  <c r="L345" i="2" s="1"/>
  <c r="Q177" i="2"/>
  <c r="Q198" i="2" s="1"/>
  <c r="P199" i="2"/>
  <c r="P69" i="2" s="1"/>
  <c r="R258" i="2"/>
  <c r="R259" i="2" s="1"/>
  <c r="I15" i="45" l="1"/>
  <c r="I23" i="45" s="1"/>
  <c r="AO15" i="409"/>
  <c r="M81" i="2"/>
  <c r="R177" i="2"/>
  <c r="R198" i="2" s="1"/>
  <c r="R199" i="2" s="1"/>
  <c r="R69" i="2" s="1"/>
  <c r="Q199" i="2"/>
  <c r="Q69" i="2" s="1"/>
  <c r="M80" i="2"/>
  <c r="M84" i="2" s="1"/>
  <c r="M112" i="2"/>
  <c r="M344" i="2" s="1"/>
  <c r="M333" i="2"/>
  <c r="M341" i="2" s="1"/>
  <c r="M88" i="2"/>
  <c r="N235" i="2"/>
  <c r="N45" i="2" s="1"/>
  <c r="N228" i="2"/>
  <c r="N229" i="2" s="1"/>
  <c r="M337" i="2"/>
  <c r="M329" i="2"/>
  <c r="M331" i="2" s="1"/>
  <c r="N264" i="2"/>
  <c r="N279" i="2" s="1"/>
  <c r="Q340" i="2"/>
  <c r="M334" i="2" l="1"/>
  <c r="J14" i="45" s="1"/>
  <c r="N247" i="2"/>
  <c r="N248" i="2" s="1"/>
  <c r="N250" i="2" s="1"/>
  <c r="N285" i="2"/>
  <c r="N37" i="2" s="1"/>
  <c r="N36" i="2" s="1"/>
  <c r="O211" i="2"/>
  <c r="N231" i="2"/>
  <c r="N233" i="2" s="1"/>
  <c r="M338" i="2"/>
  <c r="M339" i="2" s="1"/>
  <c r="M345" i="2" s="1"/>
  <c r="J15" i="45" s="1"/>
  <c r="J23" i="45" s="1"/>
  <c r="N280" i="2"/>
  <c r="O262" i="2" l="1"/>
  <c r="N282" i="2"/>
  <c r="N284" i="2" s="1"/>
  <c r="N81" i="2" s="1"/>
  <c r="O213" i="2"/>
  <c r="N106" i="2"/>
  <c r="N42" i="2"/>
  <c r="N43" i="2" s="1"/>
  <c r="N77" i="2"/>
  <c r="O243" i="2"/>
  <c r="N70" i="2"/>
  <c r="N337" i="2" l="1"/>
  <c r="N329" i="2"/>
  <c r="N331" i="2" s="1"/>
  <c r="N80" i="2"/>
  <c r="N84" i="2" s="1"/>
  <c r="N112" i="2"/>
  <c r="N344" i="2" s="1"/>
  <c r="N333" i="2"/>
  <c r="N341" i="2" s="1"/>
  <c r="N88" i="2"/>
  <c r="O228" i="2"/>
  <c r="O229" i="2" s="1"/>
  <c r="O235" i="2"/>
  <c r="O45" i="2" s="1"/>
  <c r="O264" i="2"/>
  <c r="O279" i="2" s="1"/>
  <c r="O280" i="2" l="1"/>
  <c r="P211" i="2"/>
  <c r="O231" i="2"/>
  <c r="O233" i="2" s="1"/>
  <c r="O247" i="2"/>
  <c r="O248" i="2" s="1"/>
  <c r="O250" i="2" s="1"/>
  <c r="O285" i="2"/>
  <c r="O37" i="2" s="1"/>
  <c r="O36" i="2" s="1"/>
  <c r="N334" i="2"/>
  <c r="K14" i="45" s="1"/>
  <c r="N338" i="2"/>
  <c r="N339" i="2" s="1"/>
  <c r="N345" i="2" s="1"/>
  <c r="K15" i="45" s="1"/>
  <c r="K23" i="45" s="1"/>
  <c r="H317" i="2"/>
  <c r="H125" i="2" s="1"/>
  <c r="H130" i="2" s="1"/>
  <c r="H133" i="2" s="1"/>
  <c r="H135" i="2" s="1"/>
  <c r="P262" i="2" l="1"/>
  <c r="O282" i="2"/>
  <c r="O284" i="2" s="1"/>
  <c r="O81" i="2" s="1"/>
  <c r="O106" i="2"/>
  <c r="O42" i="2"/>
  <c r="O43" i="2" s="1"/>
  <c r="O77" i="2"/>
  <c r="P243" i="2"/>
  <c r="O70" i="2"/>
  <c r="P213" i="2"/>
  <c r="H63" i="2"/>
  <c r="I100" i="2"/>
  <c r="O80" i="2" l="1"/>
  <c r="O84" i="2" s="1"/>
  <c r="O112" i="2"/>
  <c r="O344" i="2" s="1"/>
  <c r="P264" i="2"/>
  <c r="P279" i="2" s="1"/>
  <c r="P228" i="2"/>
  <c r="P229" i="2" s="1"/>
  <c r="P235" i="2"/>
  <c r="P45" i="2" s="1"/>
  <c r="O337" i="2"/>
  <c r="O329" i="2"/>
  <c r="O331" i="2" s="1"/>
  <c r="O333" i="2"/>
  <c r="O341" i="2" s="1"/>
  <c r="O88" i="2"/>
  <c r="I44" i="2"/>
  <c r="I47" i="2" s="1"/>
  <c r="I48" i="2" s="1"/>
  <c r="H142" i="2"/>
  <c r="H145" i="2" s="1"/>
  <c r="H68" i="2"/>
  <c r="H73" i="2" s="1"/>
  <c r="H94" i="2" s="1"/>
  <c r="I289" i="2"/>
  <c r="O334" i="2" l="1"/>
  <c r="L14" i="45" s="1"/>
  <c r="P285" i="2"/>
  <c r="P37" i="2" s="1"/>
  <c r="P36" i="2" s="1"/>
  <c r="P247" i="2"/>
  <c r="P248" i="2" s="1"/>
  <c r="P250" i="2" s="1"/>
  <c r="O338" i="2"/>
  <c r="O339" i="2" s="1"/>
  <c r="O345" i="2" s="1"/>
  <c r="L15" i="45" s="1"/>
  <c r="L23" i="45" s="1"/>
  <c r="Q211" i="2"/>
  <c r="P231" i="2"/>
  <c r="P233" i="2" s="1"/>
  <c r="P280" i="2"/>
  <c r="I49" i="2"/>
  <c r="I51" i="2" s="1"/>
  <c r="AL16" i="409" s="1"/>
  <c r="U15" i="409" s="1"/>
  <c r="Q262" i="2" l="1"/>
  <c r="P282" i="2"/>
  <c r="P284" i="2" s="1"/>
  <c r="P81" i="2" s="1"/>
  <c r="Q213" i="2"/>
  <c r="Q243" i="2"/>
  <c r="P70" i="2"/>
  <c r="P106" i="2"/>
  <c r="P42" i="2"/>
  <c r="P43" i="2" s="1"/>
  <c r="P77" i="2"/>
  <c r="I90" i="2"/>
  <c r="I103" i="2"/>
  <c r="I115" i="2" s="1"/>
  <c r="P80" i="2" l="1"/>
  <c r="P84" i="2" s="1"/>
  <c r="P112" i="2"/>
  <c r="P344" i="2" s="1"/>
  <c r="P337" i="2"/>
  <c r="P329" i="2"/>
  <c r="P331" i="2" s="1"/>
  <c r="Q228" i="2"/>
  <c r="Q229" i="2" s="1"/>
  <c r="Q235" i="2"/>
  <c r="Q45" i="2" s="1"/>
  <c r="P333" i="2"/>
  <c r="P341" i="2" s="1"/>
  <c r="P88" i="2"/>
  <c r="Q264" i="2"/>
  <c r="Q279" i="2" s="1"/>
  <c r="I290" i="2"/>
  <c r="I292" i="2" s="1"/>
  <c r="R211" i="2" l="1"/>
  <c r="Q231" i="2"/>
  <c r="Q233" i="2" s="1"/>
  <c r="Q285" i="2"/>
  <c r="Q37" i="2" s="1"/>
  <c r="Q36" i="2" s="1"/>
  <c r="Q247" i="2"/>
  <c r="Q248" i="2" s="1"/>
  <c r="Q250" i="2" s="1"/>
  <c r="P334" i="2"/>
  <c r="M14" i="45" s="1"/>
  <c r="Q280" i="2"/>
  <c r="P338" i="2"/>
  <c r="P339" i="2" s="1"/>
  <c r="P345" i="2" s="1"/>
  <c r="M15" i="45" s="1"/>
  <c r="M23" i="45" s="1"/>
  <c r="I295" i="2"/>
  <c r="I294" i="2"/>
  <c r="I311" i="2" s="1"/>
  <c r="R262" i="2" l="1"/>
  <c r="Q282" i="2"/>
  <c r="Q284" i="2" s="1"/>
  <c r="Q81" i="2" s="1"/>
  <c r="I296" i="2"/>
  <c r="I86" i="2"/>
  <c r="R243" i="2"/>
  <c r="Q70" i="2"/>
  <c r="Q106" i="2"/>
  <c r="Q42" i="2"/>
  <c r="Q43" i="2" s="1"/>
  <c r="Q77" i="2"/>
  <c r="R213" i="2"/>
  <c r="I310" i="2"/>
  <c r="Q80" i="2" l="1"/>
  <c r="Q84" i="2" s="1"/>
  <c r="Q112" i="2"/>
  <c r="Q344" i="2" s="1"/>
  <c r="Q333" i="2"/>
  <c r="Q341" i="2" s="1"/>
  <c r="Q88" i="2"/>
  <c r="I91" i="2"/>
  <c r="I92" i="2" s="1"/>
  <c r="R264" i="2"/>
  <c r="R279" i="2" s="1"/>
  <c r="R228" i="2"/>
  <c r="R229" i="2" s="1"/>
  <c r="R231" i="2" s="1"/>
  <c r="R233" i="2" s="1"/>
  <c r="R235" i="2"/>
  <c r="R45" i="2" s="1"/>
  <c r="Q337" i="2"/>
  <c r="Q329" i="2"/>
  <c r="Q331" i="2" s="1"/>
  <c r="Q334" i="2" s="1"/>
  <c r="N14" i="45" s="1"/>
  <c r="I55" i="2"/>
  <c r="I56" i="2"/>
  <c r="I317" i="2"/>
  <c r="I125" i="2" s="1"/>
  <c r="I130" i="2" s="1"/>
  <c r="I133" i="2" s="1"/>
  <c r="I135" i="2" s="1"/>
  <c r="Q338" i="2" l="1"/>
  <c r="Q339" i="2" s="1"/>
  <c r="Q345" i="2" s="1"/>
  <c r="N15" i="45" s="1"/>
  <c r="N23" i="45" s="1"/>
  <c r="R285" i="2"/>
  <c r="R37" i="2" s="1"/>
  <c r="R36" i="2" s="1"/>
  <c r="R247" i="2"/>
  <c r="R248" i="2" s="1"/>
  <c r="R250" i="2" s="1"/>
  <c r="R70" i="2" s="1"/>
  <c r="R280" i="2"/>
  <c r="R282" i="2" s="1"/>
  <c r="R284" i="2" s="1"/>
  <c r="R81" i="2" s="1"/>
  <c r="I53" i="2"/>
  <c r="I52" i="2"/>
  <c r="I63" i="2"/>
  <c r="J100" i="2"/>
  <c r="J44" i="2" s="1"/>
  <c r="J47" i="2" s="1"/>
  <c r="J48" i="2" s="1"/>
  <c r="J49" i="2" s="1"/>
  <c r="J51" i="2" s="1"/>
  <c r="AM16" i="409" s="1"/>
  <c r="R106" i="2" l="1"/>
  <c r="R42" i="2"/>
  <c r="R43" i="2" s="1"/>
  <c r="R77" i="2"/>
  <c r="J90" i="2"/>
  <c r="J103" i="2"/>
  <c r="J115" i="2" s="1"/>
  <c r="J290" i="2" s="1"/>
  <c r="I142" i="2"/>
  <c r="I145" i="2" s="1"/>
  <c r="I68" i="2"/>
  <c r="I73" i="2" s="1"/>
  <c r="I94" i="2" s="1"/>
  <c r="J289" i="2"/>
  <c r="R80" i="2" l="1"/>
  <c r="R84" i="2" s="1"/>
  <c r="R112" i="2"/>
  <c r="R344" i="2" s="1"/>
  <c r="R333" i="2"/>
  <c r="R341" i="2" s="1"/>
  <c r="R88" i="2"/>
  <c r="R337" i="2"/>
  <c r="R329" i="2"/>
  <c r="R331" i="2" s="1"/>
  <c r="J292" i="2"/>
  <c r="J295" i="2" s="1"/>
  <c r="J296" i="2" l="1"/>
  <c r="J86" i="2"/>
  <c r="R334" i="2"/>
  <c r="O14" i="45" s="1"/>
  <c r="O18" i="45" s="1"/>
  <c r="R338" i="2"/>
  <c r="R339" i="2" s="1"/>
  <c r="R345" i="2" s="1"/>
  <c r="O15" i="45" s="1"/>
  <c r="J294" i="2"/>
  <c r="J311" i="2"/>
  <c r="J310" i="2"/>
  <c r="O19" i="45" l="1"/>
  <c r="O20" i="45" s="1"/>
  <c r="O22" i="45" s="1"/>
  <c r="O24" i="45" s="1"/>
  <c r="F29" i="45" s="1"/>
  <c r="C58" i="45" s="1"/>
  <c r="O23" i="45"/>
  <c r="F28" i="45" s="1"/>
  <c r="J91" i="2"/>
  <c r="J92" i="2" s="1"/>
  <c r="J56" i="2"/>
  <c r="J55" i="2"/>
  <c r="J317" i="2"/>
  <c r="J125" i="2" s="1"/>
  <c r="J130" i="2" s="1"/>
  <c r="J133" i="2" s="1"/>
  <c r="J135" i="2" s="1"/>
  <c r="J63" i="2" s="1"/>
  <c r="K289" i="2" s="1"/>
  <c r="K100" i="2" l="1"/>
  <c r="K44" i="2" s="1"/>
  <c r="K47" i="2" s="1"/>
  <c r="K48" i="2" s="1"/>
  <c r="K49" i="2" s="1"/>
  <c r="K51" i="2" s="1"/>
  <c r="AN16" i="409" s="1"/>
  <c r="J52" i="2"/>
  <c r="J53" i="2"/>
  <c r="F30" i="45"/>
  <c r="C57" i="45"/>
  <c r="J142" i="2"/>
  <c r="J145" i="2" s="1"/>
  <c r="J68" i="2"/>
  <c r="J73" i="2" s="1"/>
  <c r="J94" i="2" s="1"/>
  <c r="K103" i="2"/>
  <c r="K115" i="2" s="1"/>
  <c r="K90" i="2"/>
  <c r="F32" i="45" l="1"/>
  <c r="F34" i="45" s="1"/>
  <c r="C59" i="45"/>
  <c r="K290" i="2"/>
  <c r="K292" i="2" s="1"/>
  <c r="J30" i="45" l="1"/>
  <c r="J38" i="45"/>
  <c r="K295" i="2"/>
  <c r="K294" i="2"/>
  <c r="K296" i="2" l="1"/>
  <c r="K86" i="2"/>
  <c r="K311" i="2"/>
  <c r="K310" i="2"/>
  <c r="K55" i="2" l="1"/>
  <c r="K56" i="2"/>
  <c r="K91" i="2"/>
  <c r="K92" i="2" s="1"/>
  <c r="K317" i="2"/>
  <c r="K125" i="2" s="1"/>
  <c r="K130" i="2" s="1"/>
  <c r="K133" i="2" s="1"/>
  <c r="K135" i="2" s="1"/>
  <c r="K52" i="2" l="1"/>
  <c r="K53" i="2"/>
  <c r="K63" i="2"/>
  <c r="L100" i="2"/>
  <c r="L44" i="2" s="1"/>
  <c r="L47" i="2" s="1"/>
  <c r="L48" i="2" s="1"/>
  <c r="L49" i="2" s="1"/>
  <c r="L51" i="2" s="1"/>
  <c r="AO16" i="409" s="1"/>
  <c r="L90" i="2" l="1"/>
  <c r="L103" i="2"/>
  <c r="L115" i="2" s="1"/>
  <c r="L290" i="2" s="1"/>
  <c r="K68" i="2"/>
  <c r="K73" i="2" s="1"/>
  <c r="K94" i="2" s="1"/>
  <c r="K142" i="2"/>
  <c r="K145" i="2" s="1"/>
  <c r="L289" i="2"/>
  <c r="L292" i="2" l="1"/>
  <c r="L294" i="2" s="1"/>
  <c r="L311" i="2" l="1"/>
  <c r="L295" i="2"/>
  <c r="L310" i="2"/>
  <c r="L296" i="2" l="1"/>
  <c r="L86" i="2"/>
  <c r="L317" i="2"/>
  <c r="L125" i="2" s="1"/>
  <c r="L130" i="2" s="1"/>
  <c r="L133" i="2" s="1"/>
  <c r="L135" i="2" s="1"/>
  <c r="M100" i="2" s="1"/>
  <c r="M44" i="2" s="1"/>
  <c r="M47" i="2" s="1"/>
  <c r="M48" i="2" s="1"/>
  <c r="M49" i="2" s="1"/>
  <c r="M51" i="2" s="1"/>
  <c r="L91" i="2" l="1"/>
  <c r="L92" i="2" s="1"/>
  <c r="L56" i="2"/>
  <c r="L55" i="2"/>
  <c r="L63" i="2"/>
  <c r="M289" i="2" s="1"/>
  <c r="L142" i="2"/>
  <c r="L145" i="2" s="1"/>
  <c r="L68" i="2"/>
  <c r="L73" i="2" s="1"/>
  <c r="M103" i="2"/>
  <c r="M115" i="2" s="1"/>
  <c r="M90" i="2"/>
  <c r="L94" i="2" l="1"/>
  <c r="L52" i="2"/>
  <c r="L53" i="2"/>
  <c r="M290" i="2"/>
  <c r="M292" i="2" s="1"/>
  <c r="M295" i="2" l="1"/>
  <c r="M294" i="2"/>
  <c r="M296" i="2" l="1"/>
  <c r="M86" i="2"/>
  <c r="M311" i="2"/>
  <c r="M310" i="2"/>
  <c r="M55" i="2" l="1"/>
  <c r="M56" i="2"/>
  <c r="M91" i="2"/>
  <c r="M92" i="2" s="1"/>
  <c r="M317" i="2"/>
  <c r="M125" i="2" s="1"/>
  <c r="M130" i="2" s="1"/>
  <c r="M133" i="2" s="1"/>
  <c r="M135" i="2" s="1"/>
  <c r="M53" i="2" l="1"/>
  <c r="M52" i="2"/>
  <c r="N100" i="2"/>
  <c r="N44" i="2" s="1"/>
  <c r="N47" i="2" s="1"/>
  <c r="N48" i="2" s="1"/>
  <c r="N49" i="2" s="1"/>
  <c r="N51" i="2" s="1"/>
  <c r="M63" i="2"/>
  <c r="N103" i="2" l="1"/>
  <c r="N115" i="2" s="1"/>
  <c r="N290" i="2" s="1"/>
  <c r="M142" i="2"/>
  <c r="M145" i="2" s="1"/>
  <c r="N289" i="2"/>
  <c r="M68" i="2"/>
  <c r="M73" i="2" s="1"/>
  <c r="M94" i="2" s="1"/>
  <c r="N90" i="2"/>
  <c r="N292" i="2" l="1"/>
  <c r="N295" i="2" s="1"/>
  <c r="N296" i="2" l="1"/>
  <c r="N86" i="2"/>
  <c r="N294" i="2"/>
  <c r="N91" i="2" l="1"/>
  <c r="N92" i="2" s="1"/>
  <c r="N56" i="2"/>
  <c r="N55" i="2"/>
  <c r="N311" i="2"/>
  <c r="N310" i="2"/>
  <c r="N52" i="2" l="1"/>
  <c r="N53" i="2"/>
  <c r="N317" i="2"/>
  <c r="N125" i="2" s="1"/>
  <c r="N130" i="2" s="1"/>
  <c r="N133" i="2" s="1"/>
  <c r="N135" i="2" s="1"/>
  <c r="N63" i="2" l="1"/>
  <c r="O100" i="2"/>
  <c r="O44" i="2" s="1"/>
  <c r="O47" i="2" s="1"/>
  <c r="O48" i="2" s="1"/>
  <c r="O49" i="2" s="1"/>
  <c r="O51" i="2" s="1"/>
  <c r="O103" i="2" l="1"/>
  <c r="O115" i="2" s="1"/>
  <c r="O290" i="2" s="1"/>
  <c r="O90" i="2"/>
  <c r="N142" i="2"/>
  <c r="N145" i="2" s="1"/>
  <c r="O289" i="2"/>
  <c r="N68" i="2"/>
  <c r="N73" i="2" s="1"/>
  <c r="N94" i="2" s="1"/>
  <c r="O292" i="2" l="1"/>
  <c r="O295" i="2" l="1"/>
  <c r="O294" i="2"/>
  <c r="O311" i="2" s="1"/>
  <c r="O296" i="2" l="1"/>
  <c r="O86" i="2"/>
  <c r="O310" i="2"/>
  <c r="O55" i="2" l="1"/>
  <c r="O56" i="2"/>
  <c r="O91" i="2"/>
  <c r="O92" i="2" s="1"/>
  <c r="O317" i="2"/>
  <c r="O125" i="2" s="1"/>
  <c r="O130" i="2" s="1"/>
  <c r="O133" i="2" s="1"/>
  <c r="O135" i="2" s="1"/>
  <c r="O52" i="2" l="1"/>
  <c r="O53" i="2"/>
  <c r="P100" i="2"/>
  <c r="P44" i="2" s="1"/>
  <c r="P47" i="2" s="1"/>
  <c r="P48" i="2" s="1"/>
  <c r="P49" i="2" s="1"/>
  <c r="P51" i="2" s="1"/>
  <c r="O63" i="2"/>
  <c r="P90" i="2" l="1"/>
  <c r="P103" i="2"/>
  <c r="P115" i="2" s="1"/>
  <c r="P290" i="2" s="1"/>
  <c r="P289" i="2"/>
  <c r="O142" i="2"/>
  <c r="O145" i="2" s="1"/>
  <c r="O68" i="2"/>
  <c r="O73" i="2" s="1"/>
  <c r="O94" i="2" s="1"/>
  <c r="P292" i="2" l="1"/>
  <c r="P295" i="2" s="1"/>
  <c r="P296" i="2" l="1"/>
  <c r="P86" i="2"/>
  <c r="P294" i="2"/>
  <c r="P311" i="2" s="1"/>
  <c r="P91" i="2" l="1"/>
  <c r="P92" i="2" s="1"/>
  <c r="P55" i="2"/>
  <c r="P56" i="2"/>
  <c r="P310" i="2"/>
  <c r="P317" i="2"/>
  <c r="P125" i="2" s="1"/>
  <c r="P130" i="2" s="1"/>
  <c r="P133" i="2" s="1"/>
  <c r="P135" i="2" s="1"/>
  <c r="P63" i="2" s="1"/>
  <c r="P53" i="2" l="1"/>
  <c r="P52" i="2"/>
  <c r="Q100" i="2"/>
  <c r="Q44" i="2" s="1"/>
  <c r="Q47" i="2" s="1"/>
  <c r="Q48" i="2" s="1"/>
  <c r="Q49" i="2" s="1"/>
  <c r="Q51" i="2" s="1"/>
  <c r="P142" i="2"/>
  <c r="P145" i="2" s="1"/>
  <c r="P68" i="2"/>
  <c r="P73" i="2" s="1"/>
  <c r="P94" i="2" s="1"/>
  <c r="Q289" i="2"/>
  <c r="Q103" i="2" l="1"/>
  <c r="Q115" i="2" s="1"/>
  <c r="Q290" i="2" s="1"/>
  <c r="Q292" i="2" s="1"/>
  <c r="Q90" i="2"/>
  <c r="Q294" i="2" l="1"/>
  <c r="Q311" i="2" s="1"/>
  <c r="Q295" i="2"/>
  <c r="Q296" i="2" l="1"/>
  <c r="Q86" i="2"/>
  <c r="Q310" i="2"/>
  <c r="Q91" i="2" l="1"/>
  <c r="Q92" i="2" s="1"/>
  <c r="Q56" i="2"/>
  <c r="Q55" i="2"/>
  <c r="Q317" i="2"/>
  <c r="Q125" i="2" s="1"/>
  <c r="Q130" i="2" s="1"/>
  <c r="Q133" i="2" s="1"/>
  <c r="Q135" i="2" s="1"/>
  <c r="Q52" i="2" l="1"/>
  <c r="Q53" i="2"/>
  <c r="Q63" i="2"/>
  <c r="R100" i="2"/>
  <c r="R44" i="2" s="1"/>
  <c r="R47" i="2" s="1"/>
  <c r="R48" i="2" s="1"/>
  <c r="R49" i="2" s="1"/>
  <c r="R51" i="2" s="1"/>
  <c r="R103" i="2" l="1"/>
  <c r="R115" i="2" s="1"/>
  <c r="R290" i="2" s="1"/>
  <c r="R90" i="2"/>
  <c r="Q68" i="2"/>
  <c r="Q73" i="2" s="1"/>
  <c r="Q94" i="2" s="1"/>
  <c r="R289" i="2"/>
  <c r="Q142" i="2"/>
  <c r="Q145" i="2" s="1"/>
  <c r="R292" i="2" l="1"/>
  <c r="R295" i="2" s="1"/>
  <c r="R294" i="2" l="1"/>
  <c r="R311" i="2" s="1"/>
  <c r="R296" i="2"/>
  <c r="R86" i="2"/>
  <c r="R91" i="2" s="1"/>
  <c r="R92" i="2" s="1"/>
  <c r="R310" i="2" l="1"/>
  <c r="R317" i="2" s="1"/>
  <c r="R125" i="2" s="1"/>
  <c r="R130" i="2" s="1"/>
  <c r="R133" i="2" s="1"/>
  <c r="R135" i="2" s="1"/>
  <c r="R63" i="2" s="1"/>
  <c r="R55" i="2"/>
  <c r="R52" i="2" s="1"/>
  <c r="R56" i="2"/>
  <c r="R53" i="2" s="1"/>
  <c r="R68" i="2" l="1"/>
  <c r="R73" i="2" s="1"/>
  <c r="R94" i="2" s="1"/>
  <c r="R142" i="2"/>
  <c r="R145" i="2" s="1"/>
</calcChain>
</file>

<file path=xl/sharedStrings.xml><?xml version="1.0" encoding="utf-8"?>
<sst xmlns="http://schemas.openxmlformats.org/spreadsheetml/2006/main" count="1244" uniqueCount="725">
  <si>
    <t>Net Product Sales</t>
  </si>
  <si>
    <t>Net Service Sales</t>
  </si>
  <si>
    <t>Total Net Sales</t>
  </si>
  <si>
    <t>Operating Expenses:</t>
  </si>
  <si>
    <t>Cost of Sales</t>
  </si>
  <si>
    <t>Fulfillment</t>
  </si>
  <si>
    <t>Marketing</t>
  </si>
  <si>
    <t>Technology and Content</t>
  </si>
  <si>
    <t>General and Administrative</t>
  </si>
  <si>
    <t>Other Operating Expense, net</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</si>
  <si>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</si>
  <si>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</si>
  <si>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</si>
  <si>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</si>
  <si>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</si>
  <si>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</si>
  <si>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</si>
  <si>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</si>
  <si>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</si>
  <si>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Net Income</t>
  </si>
  <si>
    <t>Basic Earnings per Share</t>
  </si>
  <si>
    <t>Diluted Earnings per Share</t>
  </si>
  <si>
    <t>Weighted-Average Shares used in Computation of Earnings per Share:</t>
  </si>
  <si>
    <t>Basic</t>
  </si>
  <si>
    <t>Diluted</t>
  </si>
  <si>
    <t/>
  </si>
  <si>
    <t>Current Assets:</t>
  </si>
  <si>
    <t>Cash and Cash Equivalents</t>
  </si>
  <si>
    <t>Marketable Securities</t>
  </si>
  <si>
    <t>Inventories</t>
  </si>
  <si>
    <t>Accounts Receivable, net and other</t>
  </si>
  <si>
    <t>Total Current Assets</t>
  </si>
  <si>
    <t>Property And Equipment, net</t>
  </si>
  <si>
    <t>Goodwill</t>
  </si>
  <si>
    <t>Other Assets</t>
  </si>
  <si>
    <t>Total Assets</t>
  </si>
  <si>
    <t>LIABILITIES AND STOCKHOLDERS’ EQUITY</t>
  </si>
  <si>
    <t>Current Liabilities:</t>
  </si>
  <si>
    <t>Accounts Payable</t>
  </si>
  <si>
    <t>Accrued Expenses and Other</t>
  </si>
  <si>
    <t>Unearned Revenue</t>
  </si>
  <si>
    <t>Total Current Liabilities</t>
  </si>
  <si>
    <t>Long-Term Debt</t>
  </si>
  <si>
    <t>Other Long-Term Liabilities</t>
  </si>
  <si>
    <t>Stockholders’ Equity:</t>
  </si>
  <si>
    <t>Preferred Stock, $0.01 Par Value:</t>
  </si>
  <si>
    <t>Authorized Shares — 500</t>
  </si>
  <si>
    <t>Issued and Outstanding Shares — None</t>
  </si>
  <si>
    <t>Common Stock, $0.01 Par Value:</t>
  </si>
  <si>
    <t>Authorized Shares — 5,000</t>
  </si>
  <si>
    <t>Issued Shares — 500 and 507</t>
  </si>
  <si>
    <t>Outstanding Shares — 477 and 484</t>
  </si>
  <si>
    <t>Treasury Stock, at Cost</t>
  </si>
  <si>
    <t>Additional Paid-In Capital</t>
  </si>
  <si>
    <t>Accumulated Other Comprehensive Loss</t>
  </si>
  <si>
    <t>Retained Earnings</t>
  </si>
  <si>
    <t>Total Stockholders’ Equity</t>
  </si>
  <si>
    <t>Total Liabilities and Stockholders’ Equity</t>
  </si>
  <si>
    <t>OPERATING ACTIVITIES:</t>
  </si>
  <si>
    <t>Adjustments to Reconcile Net Income to Net Cash from Operating Activities:</t>
  </si>
  <si>
    <t>Depreciation of Property and Equipment, Including Internal-Use Software Website Development, and Other Amortization, Including Capitalized Content</t>
  </si>
  <si>
    <t>Stock-Based Compensation</t>
  </si>
  <si>
    <t>Other Expense (Income), net</t>
  </si>
  <si>
    <t>Deferred Income Taxes</t>
  </si>
  <si>
    <t>Changes in Operating Assets and Liabilities:</t>
  </si>
  <si>
    <t>Net Cash Provided by (used in) Operating Activities</t>
  </si>
  <si>
    <t>Purchases of Property and Equipment, Including Internal-Use Software and Website Development</t>
  </si>
  <si>
    <t>Proceeds from Property and Equipment Incentives</t>
  </si>
  <si>
    <t>Acquisitions, net of cash acquired, and other</t>
  </si>
  <si>
    <t>Sales and Maturities of Marketable Securities</t>
  </si>
  <si>
    <t>Purchases of Marketable Securities</t>
  </si>
  <si>
    <t>Net Cash Provided by (used in) Investing Activities</t>
  </si>
  <si>
    <t>Proceeds from Long-Term Debt and Other</t>
  </si>
  <si>
    <t>Repayments of Long-Term Debt and Other</t>
  </si>
  <si>
    <t>Net Cash Provided by (used in) Financing Activities</t>
  </si>
  <si>
    <t>Net Increase (Decrease) in Cash and Cash Equivalents</t>
  </si>
  <si>
    <t>© Corporate Finance Institute. All rights reserved.</t>
  </si>
  <si>
    <t>Tax Rate</t>
  </si>
  <si>
    <t>Income Statement</t>
  </si>
  <si>
    <t>Balance Sheet</t>
  </si>
  <si>
    <t>Total Liabilities</t>
  </si>
  <si>
    <t>Common Shares – 477 and 484</t>
  </si>
  <si>
    <t>Cash Flow Statement</t>
  </si>
  <si>
    <t>Stock-Based Compensation (SBC) (% of SG&amp;A)</t>
  </si>
  <si>
    <t>Inventory Days</t>
  </si>
  <si>
    <t>Accounts Receivable Days</t>
  </si>
  <si>
    <t>Accounts Payable Days</t>
  </si>
  <si>
    <t>Cash Capex % of revenue</t>
  </si>
  <si>
    <t>Depreciation % of PPE (Opening Balance)</t>
  </si>
  <si>
    <t>Time Periods</t>
  </si>
  <si>
    <t>BOP</t>
  </si>
  <si>
    <t>Days</t>
  </si>
  <si>
    <t>EOP</t>
  </si>
  <si>
    <t>Supporting Schedules</t>
  </si>
  <si>
    <t>PP&amp;E Schedule</t>
  </si>
  <si>
    <t>Opening Balance</t>
  </si>
  <si>
    <t>Plus: Capex</t>
  </si>
  <si>
    <t>Plus: Other Net Additions</t>
  </si>
  <si>
    <t>Closing Balance</t>
  </si>
  <si>
    <t>Long-Term Debt on Balance Sheet</t>
  </si>
  <si>
    <t>Less: Principal Repayments</t>
  </si>
  <si>
    <t>Plus: Net Additions</t>
  </si>
  <si>
    <t>Segmented Revenue</t>
  </si>
  <si>
    <t>Online Stores</t>
  </si>
  <si>
    <t>Physical Stores</t>
  </si>
  <si>
    <t>Retail Third-Party Seller Services</t>
  </si>
  <si>
    <t>Retail Subscription Services</t>
  </si>
  <si>
    <t>AWS</t>
  </si>
  <si>
    <t>Other</t>
  </si>
  <si>
    <t>Segmented Revenue Growth</t>
  </si>
  <si>
    <t>Check</t>
  </si>
  <si>
    <t>Sales (Purchases) of Marketable Securities, net</t>
  </si>
  <si>
    <t>Proceeds (Repayments) from Long-Term Debt and Other</t>
  </si>
  <si>
    <t>Proceeds from Issuing Equity (Common, Treasury, Paid-in, etc)</t>
  </si>
  <si>
    <t>Payment of Dividends</t>
  </si>
  <si>
    <t>Advertising</t>
  </si>
  <si>
    <t>Cloud</t>
  </si>
  <si>
    <t>Amazon 1P</t>
  </si>
  <si>
    <t>Amazon 3P</t>
  </si>
  <si>
    <t>Revenue</t>
  </si>
  <si>
    <t>1P</t>
  </si>
  <si>
    <t>3P</t>
  </si>
  <si>
    <t>Subs</t>
  </si>
  <si>
    <t>EBIT</t>
  </si>
  <si>
    <t>D&amp;A</t>
  </si>
  <si>
    <t>EBITDA (Including SBC)</t>
  </si>
  <si>
    <t>Stock-Based Compensation (SBC)</t>
  </si>
  <si>
    <t>EBITDA (Excluding SBC)</t>
  </si>
  <si>
    <t>Free Cash Flow to Firm (FCFF)</t>
  </si>
  <si>
    <t>Operating Profit</t>
  </si>
  <si>
    <t>Less: Unlevered Taxes</t>
  </si>
  <si>
    <t>Net Operating Profit After Tax (NOPAT)</t>
  </si>
  <si>
    <t>Plus: Depreciation &amp; Amortization</t>
  </si>
  <si>
    <t>Plus: Stock-Based Compensation</t>
  </si>
  <si>
    <t>Plus: Other Non-Cash Expenses</t>
  </si>
  <si>
    <t>Less: Cash Capex</t>
  </si>
  <si>
    <t>Plus: Changes in Net Working Capital</t>
  </si>
  <si>
    <t>Valuation Date</t>
  </si>
  <si>
    <t>Terminal Value</t>
  </si>
  <si>
    <t>Equity Value</t>
  </si>
  <si>
    <t>BULL CASE</t>
  </si>
  <si>
    <t>BEAR CASE</t>
  </si>
  <si>
    <t>OTHER CASE</t>
  </si>
  <si>
    <t>Name</t>
  </si>
  <si>
    <t>LIVE CASE</t>
  </si>
  <si>
    <t>Ticker</t>
  </si>
  <si>
    <t>Levered</t>
  </si>
  <si>
    <t>Total</t>
  </si>
  <si>
    <t>Mkt. Val.</t>
  </si>
  <si>
    <t>Unlevered</t>
  </si>
  <si>
    <t>Beta</t>
  </si>
  <si>
    <t>Debt</t>
  </si>
  <si>
    <t>Equity</t>
  </si>
  <si>
    <t>Market Cap</t>
  </si>
  <si>
    <t>Country</t>
  </si>
  <si>
    <t>Size Premium</t>
  </si>
  <si>
    <t>Average</t>
  </si>
  <si>
    <t>Risk Free Rate</t>
  </si>
  <si>
    <t>WACC</t>
  </si>
  <si>
    <t>Notes:</t>
  </si>
  <si>
    <t>EV/Revenue</t>
  </si>
  <si>
    <t>EV/EBITDA</t>
  </si>
  <si>
    <t>Company Name</t>
  </si>
  <si>
    <t>Market Capitalization</t>
  </si>
  <si>
    <t>Enterprise Value</t>
  </si>
  <si>
    <t>Median</t>
  </si>
  <si>
    <t>Advertising Comps</t>
  </si>
  <si>
    <t>Cloud Comps</t>
  </si>
  <si>
    <t>Subscription</t>
  </si>
  <si>
    <t>Amazon.com, Inc.</t>
  </si>
  <si>
    <t>Recommendation:</t>
  </si>
  <si>
    <t>Buy</t>
  </si>
  <si>
    <t>Company Overview</t>
  </si>
  <si>
    <t>Price</t>
  </si>
  <si>
    <t>Market</t>
  </si>
  <si>
    <t>Football Field Chart</t>
  </si>
  <si>
    <t>lo (bar)</t>
  </si>
  <si>
    <t>hi (bar)</t>
  </si>
  <si>
    <t>Valuation Summary - Equity Value per Share ($)</t>
  </si>
  <si>
    <t>Share Price Chart</t>
  </si>
  <si>
    <t>Low</t>
  </si>
  <si>
    <t>Dates</t>
  </si>
  <si>
    <r>
      <rPr>
        <b/>
        <sz val="11"/>
        <color theme="0"/>
        <rFont val="Arial Narrow"/>
        <family val="2"/>
      </rPr>
      <t>Amazon.com, Inc. (NasdaqGS:AMZN) - Share Pricing</t>
    </r>
  </si>
  <si>
    <t>Amazon.com, Inc. (AMZN) Valuation Model</t>
  </si>
  <si>
    <t>Notes</t>
  </si>
  <si>
    <t>This Excel model is provided "as is" and designed for educational purposes only and should not be used for any other reason.</t>
  </si>
  <si>
    <t>CFI Education Inc. and its affiliates have no liability arising out of your use of this model.</t>
  </si>
  <si>
    <t>The model is Copyright material of CFI Education Inc., all rights reserved.</t>
  </si>
  <si>
    <t>https://corporatefinanceinstitute.com/</t>
  </si>
  <si>
    <t xml:space="preserve">All rights reserved.  The contents of this publication, including but not limited to all written material, content layout, images, formulas, and code, are protected under international copyright and trademark laws.  </t>
  </si>
  <si>
    <t xml:space="preserve">No part of this publication may be modified, manipulated, reproduced, distributed, or transmitted in any form by any means, including photocopying, recording, or other electronic or mechanical methods, </t>
  </si>
  <si>
    <t>without prior written permission of the publisher, except in the case of certain noncommercial uses permitted by copyright law.</t>
  </si>
  <si>
    <t>Operating leases</t>
  </si>
  <si>
    <t>Long-term lease liabilities</t>
  </si>
  <si>
    <t>CASH, CASH EQUIVALENTS, AND RESTRICTED CASH, BEGINNING OF PERIOD</t>
  </si>
  <si>
    <t>Foreign currency effect on cash, cash equivalents, and restricted cash</t>
  </si>
  <si>
    <t>Cash, Cash Equivalents, and Restricted Cash, End of Period</t>
  </si>
  <si>
    <t>Cash and cash equivalents</t>
  </si>
  <si>
    <t>Restricted cash included in accounts receivable, net and other</t>
  </si>
  <si>
    <t>Restricted cash included in other assets</t>
  </si>
  <si>
    <t>Total cash, cash equivalents, and restricted cash shown in the consolidated statements of cash flows</t>
  </si>
  <si>
    <t>Cash paid for interest on long-term debt</t>
  </si>
  <si>
    <t>Cash paid for operating leases</t>
  </si>
  <si>
    <t>Cash paid for interest on capital and finance lease obligations</t>
  </si>
  <si>
    <t>Cash paid for interest on financing obligations</t>
  </si>
  <si>
    <t>Cash paid for income taxes, net of refunds</t>
  </si>
  <si>
    <t>Assets acquired under operating leases</t>
  </si>
  <si>
    <t>Property and equipment acquired under capital and finance leases</t>
  </si>
  <si>
    <t>Property and equipment acquired under build-to-suit arrangements</t>
  </si>
  <si>
    <t>Long-term Lease Liabilities</t>
  </si>
  <si>
    <t>Depreciation and Amortization</t>
  </si>
  <si>
    <t>Historical Analysis and Projections</t>
  </si>
  <si>
    <t>Principal repayments of Financing Obligations</t>
  </si>
  <si>
    <t>Comparable Trading Metrics</t>
  </si>
  <si>
    <t>All Amounts Denominated in US$MM Unless Otherwise Stated</t>
  </si>
  <si>
    <t>Current Capitalization</t>
  </si>
  <si>
    <t>Leverage Multiples</t>
  </si>
  <si>
    <t>Share</t>
  </si>
  <si>
    <t>Enterprise</t>
  </si>
  <si>
    <t>EBITDA</t>
  </si>
  <si>
    <t>Earnings</t>
  </si>
  <si>
    <t>Cash Flow</t>
  </si>
  <si>
    <t>P/E</t>
  </si>
  <si>
    <t>P/CF</t>
  </si>
  <si>
    <t>Debt /</t>
  </si>
  <si>
    <t>Net Debt</t>
  </si>
  <si>
    <t>FY+1</t>
  </si>
  <si>
    <t>FY+2</t>
  </si>
  <si>
    <t>Book Cap.</t>
  </si>
  <si>
    <t>[$/sh.]</t>
  </si>
  <si>
    <t>[MM]</t>
  </si>
  <si>
    <t>[$MM]</t>
  </si>
  <si>
    <t>[x]</t>
  </si>
  <si>
    <t>[%]</t>
  </si>
  <si>
    <t>1.  Fully diluted (treasury stock method)</t>
  </si>
  <si>
    <t>2.  Market capitalization plus long term debt net of working capital as at the most recently disclosed quarter, adjusted for subsequent acquisitions and financings</t>
  </si>
  <si>
    <t>NYSE: TGT</t>
  </si>
  <si>
    <t>NYSE: LOW</t>
  </si>
  <si>
    <t>NYSE: HD</t>
  </si>
  <si>
    <t>NYSE: WMT</t>
  </si>
  <si>
    <t>Shares1</t>
  </si>
  <si>
    <t>NASDAQ: EBAY</t>
  </si>
  <si>
    <t>NASDAQ: ETSY</t>
  </si>
  <si>
    <t>NYSE: BABA</t>
  </si>
  <si>
    <t>NYSE:TWTR</t>
  </si>
  <si>
    <t>NASDAQ: FB</t>
  </si>
  <si>
    <t>NYSE: ORCL</t>
  </si>
  <si>
    <t>NYSE: CRM</t>
  </si>
  <si>
    <t>NYSE: VMW</t>
  </si>
  <si>
    <t>NASDAQ: ROKU</t>
  </si>
  <si>
    <t>NYSE: SPOT</t>
  </si>
  <si>
    <t>NASDAQGS: SIRI</t>
  </si>
  <si>
    <t>NASDAQ: NFLX</t>
  </si>
  <si>
    <r>
      <t>Value</t>
    </r>
    <r>
      <rPr>
        <b/>
        <u val="singleAccounting"/>
        <vertAlign val="superscript"/>
        <sz val="11"/>
        <rFont val="Arial Narrow"/>
        <family val="2"/>
      </rPr>
      <t>2</t>
    </r>
  </si>
  <si>
    <t>Subscription Services</t>
  </si>
  <si>
    <t>Mid</t>
  </si>
  <si>
    <t>High</t>
  </si>
  <si>
    <t>Discounted Cash Flow Analysis</t>
  </si>
  <si>
    <t>Subject Company</t>
  </si>
  <si>
    <t>Input</t>
  </si>
  <si>
    <t>Defined Name</t>
  </si>
  <si>
    <t>General Assumptions</t>
  </si>
  <si>
    <r>
      <t>Cap.</t>
    </r>
    <r>
      <rPr>
        <b/>
        <u val="singleAccounting"/>
        <vertAlign val="superscript"/>
        <sz val="11"/>
        <rFont val="Arial Narrow"/>
        <family val="2"/>
      </rPr>
      <t>1</t>
    </r>
  </si>
  <si>
    <t>Less: Net Debt</t>
  </si>
  <si>
    <t>NASDAQ: GOOG.L</t>
  </si>
  <si>
    <t>5-Year Average Tax Rate</t>
  </si>
  <si>
    <t>Equity Risk Premium</t>
  </si>
  <si>
    <t>Levered Equity Beta</t>
  </si>
  <si>
    <t>Country Risk Premium</t>
  </si>
  <si>
    <t>Company Specific Risk Premium</t>
  </si>
  <si>
    <t>Cost of Debt</t>
  </si>
  <si>
    <t>Selected WACC</t>
  </si>
  <si>
    <t>Principal repayments of Finance Leases</t>
  </si>
  <si>
    <t>Operating Lease Net Additions % of Revenue</t>
  </si>
  <si>
    <t>Determination of EBITDA &amp; Free Cash Flow</t>
  </si>
  <si>
    <t>Principal repayments of Capital Lease Obligations</t>
  </si>
  <si>
    <t>Thereafter</t>
  </si>
  <si>
    <t>Plus: Additions</t>
  </si>
  <si>
    <t>Total Long-Term Debt</t>
  </si>
  <si>
    <t xml:space="preserve"> </t>
  </si>
  <si>
    <t>Debt Additions Schedule</t>
  </si>
  <si>
    <t>Accrued Expenses as a % of Revenue</t>
  </si>
  <si>
    <t>Unearned Revenue as a % of Revenue</t>
  </si>
  <si>
    <t>PP&amp;E Acquired under Financing Leases (% Revenue)</t>
  </si>
  <si>
    <t>+ for Bull Case</t>
  </si>
  <si>
    <t>Accrued Expenses (% of Revenue)</t>
  </si>
  <si>
    <t>Unearned Revenue (% of Revenue)</t>
  </si>
  <si>
    <t>(-) for Bear Case</t>
  </si>
  <si>
    <t>Operating Leases Schedule</t>
  </si>
  <si>
    <t>Commitments and Contingencies</t>
  </si>
  <si>
    <t xml:space="preserve">XTRA:SAP </t>
  </si>
  <si>
    <t>Operating Lease Expense</t>
  </si>
  <si>
    <t>Interest Expense on Long-Term Debt</t>
  </si>
  <si>
    <t>Interest Rate on Long-Term Debt</t>
  </si>
  <si>
    <t>Hold</t>
  </si>
  <si>
    <t>Sell</t>
  </si>
  <si>
    <t>Historical Financial Information</t>
  </si>
  <si>
    <t>Income Statement Information</t>
  </si>
  <si>
    <t>Balance Sheet Information</t>
  </si>
  <si>
    <t>Cash Flow Statement Information</t>
  </si>
  <si>
    <t>Toggles and Controls (DO NOT DELETE)</t>
  </si>
  <si>
    <t>Scenario Selection Toggle</t>
  </si>
  <si>
    <t>Scenario</t>
  </si>
  <si>
    <t>Valuation Assumptions</t>
  </si>
  <si>
    <t>Comparable Companies Beta</t>
  </si>
  <si>
    <t>5-Yr. Avg.</t>
  </si>
  <si>
    <t>Amazon WACC Calculation</t>
  </si>
  <si>
    <t>Target Capital Structure</t>
  </si>
  <si>
    <t>Target Capital Structure (% Debt)</t>
  </si>
  <si>
    <t>Proportion of Debt</t>
  </si>
  <si>
    <t>Proportion of Equity</t>
  </si>
  <si>
    <t>Debt / Equity</t>
  </si>
  <si>
    <t>Pre-Tax Cost of Debt</t>
  </si>
  <si>
    <t>Interest Rate</t>
  </si>
  <si>
    <t>After-Tax Cost of Debt</t>
  </si>
  <si>
    <t>Cost of Equity</t>
  </si>
  <si>
    <t>Current Capital Structure</t>
  </si>
  <si>
    <t>Total Debt</t>
  </si>
  <si>
    <t>Terminal Value Methodology</t>
  </si>
  <si>
    <t>Discounted Cash Flow (DCF) Analysis</t>
  </si>
  <si>
    <t>Weighted-Average Cost of Capital (WACC)</t>
  </si>
  <si>
    <r>
      <rPr>
        <b/>
        <sz val="12"/>
        <color theme="1"/>
        <rFont val="Arial Narrow"/>
        <family val="2"/>
      </rPr>
      <t>Source:</t>
    </r>
    <r>
      <rPr>
        <sz val="12"/>
        <color theme="1"/>
        <rFont val="Arial Narrow"/>
        <family val="2"/>
      </rPr>
      <t xml:space="preserve"> https://ir.aboutamazon.com/annual-reports</t>
    </r>
  </si>
  <si>
    <t>Year Fraction</t>
  </si>
  <si>
    <t>Date for NPV Calculation</t>
  </si>
  <si>
    <t>Valuation Date / Fiscal Year-End</t>
  </si>
  <si>
    <t>Terminal Value EBITDA Multiple</t>
  </si>
  <si>
    <t>Terminal Value: Exit Multiple</t>
  </si>
  <si>
    <t>Terminal Value: Perpetual Growth</t>
  </si>
  <si>
    <t>Terminal Value: Average</t>
  </si>
  <si>
    <t>Terminal Value Methodology Toggle</t>
  </si>
  <si>
    <t>Valuation FCFF</t>
  </si>
  <si>
    <t>Selected Terminal Value</t>
  </si>
  <si>
    <t>WACC Assumptions</t>
  </si>
  <si>
    <t>DCF Assumptions</t>
  </si>
  <si>
    <t>Target Price Thresholds (Versus Current Price)</t>
  </si>
  <si>
    <t>Historical Share Price Performance</t>
  </si>
  <si>
    <r>
      <t xml:space="preserve">Current Capitalization </t>
    </r>
    <r>
      <rPr>
        <i/>
        <sz val="12"/>
        <color theme="0"/>
        <rFont val="Arial Narrow"/>
        <family val="2"/>
      </rPr>
      <t>(US$MM)</t>
    </r>
  </si>
  <si>
    <r>
      <t xml:space="preserve">Current Share Price </t>
    </r>
    <r>
      <rPr>
        <i/>
        <sz val="12"/>
        <color theme="1"/>
        <rFont val="Arial Narrow"/>
        <family val="2"/>
      </rPr>
      <t>(US$/sh.)</t>
    </r>
  </si>
  <si>
    <t>2021E</t>
  </si>
  <si>
    <t>2022E</t>
  </si>
  <si>
    <t>EV / EBITDA</t>
  </si>
  <si>
    <t>Total Debt / Equity</t>
  </si>
  <si>
    <t>Financial Estimates3</t>
  </si>
  <si>
    <t>1P Comps</t>
  </si>
  <si>
    <t>Average: 1P Comps</t>
  </si>
  <si>
    <t>Median: 1P Comps</t>
  </si>
  <si>
    <t>3P Comps</t>
  </si>
  <si>
    <t>Average: 3P Comps</t>
  </si>
  <si>
    <t>Median: 3P Comps</t>
  </si>
  <si>
    <t>Average: Advertising Comps</t>
  </si>
  <si>
    <t>Median: Advertising Comps</t>
  </si>
  <si>
    <t>Average: Cloud Comps</t>
  </si>
  <si>
    <t>Median: Cloud Comps</t>
  </si>
  <si>
    <t>Subscription Comps</t>
  </si>
  <si>
    <t>Average: Subscription Comps</t>
  </si>
  <si>
    <t>Median: Subscription Comps</t>
  </si>
  <si>
    <t>Total Debt / Book Capital</t>
  </si>
  <si>
    <t>3.  Based on Consensus research estimates</t>
  </si>
  <si>
    <t>Amazon Sum-of-the-Parts (SOTP) Valuation</t>
  </si>
  <si>
    <t>Comparable Multiple Range</t>
  </si>
  <si>
    <t>Total Amazon 1P</t>
  </si>
  <si>
    <t>Implied Enterprise Value</t>
  </si>
  <si>
    <t>Total Amazon 3P</t>
  </si>
  <si>
    <t>Total Amazon Subscription Services</t>
  </si>
  <si>
    <t>Total Amazon Advertising</t>
  </si>
  <si>
    <t>Total Amazon Cloud</t>
  </si>
  <si>
    <t>Total Amazon Implied Enterprise Value</t>
  </si>
  <si>
    <t>Total Amazon Implied Equity Value</t>
  </si>
  <si>
    <r>
      <t xml:space="preserve">Fully Diluted Shares Outstanding </t>
    </r>
    <r>
      <rPr>
        <i/>
        <sz val="11"/>
        <color theme="1"/>
        <rFont val="Arial Narrow"/>
        <family val="2"/>
      </rPr>
      <t>(MM)</t>
    </r>
  </si>
  <si>
    <r>
      <t xml:space="preserve">Total Amazon Implied Equity Value per Share </t>
    </r>
    <r>
      <rPr>
        <b/>
        <i/>
        <sz val="11"/>
        <color theme="1"/>
        <rFont val="Arial Narrow"/>
        <family val="2"/>
      </rPr>
      <t>($/sh.)</t>
    </r>
  </si>
  <si>
    <t>SOTP</t>
  </si>
  <si>
    <t>Cash</t>
  </si>
  <si>
    <t>Capital</t>
  </si>
  <si>
    <t>Base CASE</t>
  </si>
  <si>
    <t>Equity Analyst Coverage</t>
  </si>
  <si>
    <t>Research Contributor</t>
  </si>
  <si>
    <t>Target Price</t>
  </si>
  <si>
    <t>Recommendation</t>
  </si>
  <si>
    <t>Mean</t>
  </si>
  <si>
    <t>Mode</t>
  </si>
  <si>
    <t>Base Case Annual Growth Taper</t>
  </si>
  <si>
    <t>Revenue Forecast Assumptions</t>
  </si>
  <si>
    <t>Expense Forecast Assumptions</t>
  </si>
  <si>
    <t>Balance Sheet Forecast Assumptions</t>
  </si>
  <si>
    <t>Operating Lease Asset</t>
  </si>
  <si>
    <t>Operating Lease Liability</t>
  </si>
  <si>
    <t>Beginning Balance</t>
  </si>
  <si>
    <t>Right-of-Use Asset</t>
  </si>
  <si>
    <t>Plus: Interest</t>
  </si>
  <si>
    <t>Lease Liability</t>
  </si>
  <si>
    <t>Principal Repayments on Existing Long-Term Debt</t>
  </si>
  <si>
    <t>Repayment</t>
  </si>
  <si>
    <t>Existing Long-Term Debt Schedule</t>
  </si>
  <si>
    <t>Additional Capital Requirnments Schedule</t>
  </si>
  <si>
    <t>Additional Capital - Long-Term Debt</t>
  </si>
  <si>
    <t>Additional Common Shares</t>
  </si>
  <si>
    <t>Less: Principal Repayments - Existing Long-Term Debt</t>
  </si>
  <si>
    <t>Other Non-Cash Expense, net</t>
  </si>
  <si>
    <t>Common-Size Summary &amp; Historical Analysis</t>
  </si>
  <si>
    <t>Projected Capital Raise - % Debt Financing</t>
  </si>
  <si>
    <t>Projected Capital Raise - % Equity Financing</t>
  </si>
  <si>
    <t>Precedent M&amp;A Transactions</t>
  </si>
  <si>
    <t>Announced</t>
  </si>
  <si>
    <t>Transaction</t>
  </si>
  <si>
    <t>Current</t>
  </si>
  <si>
    <t>Implied</t>
  </si>
  <si>
    <t>Implied Transaction Multiples (LTM)</t>
  </si>
  <si>
    <t>Target LTM Financials</t>
  </si>
  <si>
    <t>#</t>
  </si>
  <si>
    <t>Date</t>
  </si>
  <si>
    <t>Acquirer</t>
  </si>
  <si>
    <t>Target</t>
  </si>
  <si>
    <t>Type</t>
  </si>
  <si>
    <t>Value</t>
  </si>
  <si>
    <t>Comments</t>
  </si>
  <si>
    <t>Exit Multiple</t>
  </si>
  <si>
    <t>Discount Rate</t>
  </si>
  <si>
    <t>Market Size</t>
  </si>
  <si>
    <t>Ecommerce</t>
  </si>
  <si>
    <t>Convert Millions to Billions</t>
  </si>
  <si>
    <t>US Market Size</t>
  </si>
  <si>
    <t>US Market Size Growth Rate</t>
  </si>
  <si>
    <t>Amazon Inc.</t>
  </si>
  <si>
    <t>Supplemental Cash Flow Information:</t>
  </si>
  <si>
    <r>
      <t>Current Trading Multiples</t>
    </r>
    <r>
      <rPr>
        <b/>
        <u val="singleAccounting"/>
        <vertAlign val="superscript"/>
        <sz val="11"/>
        <rFont val="Arial Narrow"/>
        <family val="2"/>
      </rPr>
      <t>3</t>
    </r>
  </si>
  <si>
    <t>Macroeconomic Analysis</t>
  </si>
  <si>
    <t>GDP Growth</t>
  </si>
  <si>
    <t>Global (Purchasing Power Parity ("PPP") rate)</t>
  </si>
  <si>
    <t>Inflation</t>
  </si>
  <si>
    <t>https://www.pwc.com/gx/en/research-insights/economy/global-economy-watch/projections.html</t>
  </si>
  <si>
    <t>Sources:</t>
  </si>
  <si>
    <t>https://www.cbo.gov/publication/56465</t>
  </si>
  <si>
    <t>https://economics.td.com/ca-long-term-forecast</t>
  </si>
  <si>
    <t>US Consumer Expenditure</t>
  </si>
  <si>
    <t>Macroeconomic Forecasts</t>
  </si>
  <si>
    <t>Implied Multiple Range</t>
  </si>
  <si>
    <t>Total Proceeds (Repayments) from Long-Term Debt and Other</t>
  </si>
  <si>
    <t>Current Portion of Long-Term Debt (Accrued Expenses)</t>
  </si>
  <si>
    <t>Total Property And Equipment, net</t>
  </si>
  <si>
    <t>Restricted Cash</t>
  </si>
  <si>
    <t>Restricted Cash and equivalents</t>
  </si>
  <si>
    <t>Bull Case Growth (+ Base %)</t>
  </si>
  <si>
    <t>Bear Case Growth (- Base %)</t>
  </si>
  <si>
    <t>Cost of Sales (% of Revenue)</t>
  </si>
  <si>
    <t>Cost of Sales (% Revenue)</t>
  </si>
  <si>
    <t>Sensitivities - Instrinsic Value ($/share)</t>
  </si>
  <si>
    <t>© 2021 CFI Education Inc.</t>
  </si>
  <si>
    <t>Dashboard</t>
  </si>
  <si>
    <t>Control Panel</t>
  </si>
  <si>
    <t>DCF</t>
  </si>
  <si>
    <t>Scenerios</t>
  </si>
  <si>
    <t>Amazon Precedent Transactions Valuation</t>
  </si>
  <si>
    <t>Precedent Transactions Valuation</t>
  </si>
  <si>
    <t>Sum-of-the-parts Analysis</t>
  </si>
  <si>
    <t>Consensus</t>
  </si>
  <si>
    <t>Projections Summary</t>
  </si>
  <si>
    <r>
      <t xml:space="preserve">Revenue Summary </t>
    </r>
    <r>
      <rPr>
        <i/>
        <sz val="12"/>
        <color theme="0"/>
        <rFont val="Arial Narrow"/>
        <family val="2"/>
      </rPr>
      <t>(US$MM)</t>
    </r>
  </si>
  <si>
    <t>Funding Shortfall</t>
  </si>
  <si>
    <t>Forecast Scenerios</t>
  </si>
  <si>
    <t>Financial Forecast</t>
  </si>
  <si>
    <t>Inputs and Assumptions (Control Panel)</t>
  </si>
  <si>
    <t>Finance Lease Information</t>
  </si>
  <si>
    <t>Operating Lease Information</t>
  </si>
  <si>
    <t>Weighted Average Discount Rate</t>
  </si>
  <si>
    <t>Weighted-average remaining lease term</t>
  </si>
  <si>
    <t>Depreciation expense</t>
  </si>
  <si>
    <t>n/a</t>
  </si>
  <si>
    <t>Annual Report Opening Balance</t>
  </si>
  <si>
    <t>Annual Report Closing Balance</t>
  </si>
  <si>
    <t>Weighted-Average Remaining Lease Tern</t>
  </si>
  <si>
    <t>Additions</t>
  </si>
  <si>
    <t>Lease Payments</t>
  </si>
  <si>
    <t>Supplemental Balance Sheet Information</t>
  </si>
  <si>
    <t>Restricted Cash Included In Accounts Receivable, Net and Other</t>
  </si>
  <si>
    <t>Restricted Cash Included in Other Assets</t>
  </si>
  <si>
    <t>52-week high</t>
  </si>
  <si>
    <t>52-week low</t>
  </si>
  <si>
    <t>52-week average</t>
  </si>
  <si>
    <t>Valuation Summary</t>
  </si>
  <si>
    <t>Equity Value ($) per Share</t>
  </si>
  <si>
    <t>Fully Diluted Shares Outstanding (MM)</t>
  </si>
  <si>
    <r>
      <t xml:space="preserve">DCF Value Summary </t>
    </r>
    <r>
      <rPr>
        <b/>
        <i/>
        <sz val="11"/>
        <color theme="0"/>
        <rFont val="Arial Narrow"/>
        <family val="2"/>
      </rPr>
      <t>(US$MM)</t>
    </r>
  </si>
  <si>
    <t>Segmented Growth</t>
  </si>
  <si>
    <t>Opening PPE Balance, not including Capital/Finance Leases</t>
  </si>
  <si>
    <t>PP&amp;E Opening Balance, Net</t>
  </si>
  <si>
    <t>Depreciation on Existing PP&amp;E</t>
  </si>
  <si>
    <t>Depreciation on New Capex</t>
  </si>
  <si>
    <t>Less: Total Depreciation Expense</t>
  </si>
  <si>
    <t>PP&amp;E Closing Balance, Net, Not Including Capital/Finance Leases</t>
  </si>
  <si>
    <t>Amortization on Existing ROU Assets</t>
  </si>
  <si>
    <t>Depreciation on New Additions</t>
  </si>
  <si>
    <t>Right-of-use Assets</t>
  </si>
  <si>
    <t>Right-of-use Asset Ending Balance</t>
  </si>
  <si>
    <t>Existing Lease Liabilities</t>
  </si>
  <si>
    <t>Beginning Balance, Existing Lease Liability</t>
  </si>
  <si>
    <t>Less: Lease Payments on Existing Lease Liability</t>
  </si>
  <si>
    <t>Ending Balance, Existing Lease Liability</t>
  </si>
  <si>
    <t>New Lease Liabilities</t>
  </si>
  <si>
    <t>Beginning Balance, New Lease Liability</t>
  </si>
  <si>
    <t>Principle Payments on New Additions</t>
  </si>
  <si>
    <t>Less: Lease Payments on New Lease Liabilities</t>
  </si>
  <si>
    <t>Ending Balance, New Lease Liabilities</t>
  </si>
  <si>
    <t>Principle Repayment on New Lease Liabilities</t>
  </si>
  <si>
    <t>Total Operating Lease Expense</t>
  </si>
  <si>
    <t>Finance Leases Schedule</t>
  </si>
  <si>
    <t>Finance Lease Liability</t>
  </si>
  <si>
    <t>Ending Balance, Total Operating Lease Liabilities</t>
  </si>
  <si>
    <t>Finance Leases - Total Interest Expense</t>
  </si>
  <si>
    <t>Finance Leases - Total Principal Repayments</t>
  </si>
  <si>
    <t>Current Portion Closing Balance</t>
  </si>
  <si>
    <t>Less: Current Portion of Finance Leases</t>
  </si>
  <si>
    <t>Less: Current Portion of Operating Lease Liabilities</t>
  </si>
  <si>
    <t>Ending Balance, Long-Term Finance Lease Liabilities</t>
  </si>
  <si>
    <t>Ending Balance, Long-term Finance Lease Liabilities</t>
  </si>
  <si>
    <t>Ending Balance, Long-Term Operating Lease Liabilities</t>
  </si>
  <si>
    <t>Additions to Existing Long-Term Debt</t>
  </si>
  <si>
    <t>Label</t>
  </si>
  <si>
    <t>52-week Trading</t>
  </si>
  <si>
    <t>Equity Analyst Target Prices</t>
  </si>
  <si>
    <t>Low: 1P Comps</t>
  </si>
  <si>
    <t>High: 1P Comps</t>
  </si>
  <si>
    <t>Low: 3P Comps</t>
  </si>
  <si>
    <t>High: 3P Comps</t>
  </si>
  <si>
    <t>Low: Advertising Comps</t>
  </si>
  <si>
    <t>High: Advertising Comps</t>
  </si>
  <si>
    <t>Low: Cloud Comps</t>
  </si>
  <si>
    <t>High: Cloud Comps</t>
  </si>
  <si>
    <t>Low: Subscription Comps</t>
  </si>
  <si>
    <t>High: Subscription Comps</t>
  </si>
  <si>
    <t>Term of Additional Long-Term Debt</t>
  </si>
  <si>
    <t>NPV - Future Cash Flows</t>
  </si>
  <si>
    <t>NPV - Terminal Value</t>
  </si>
  <si>
    <t>AMZN Enterprise Value</t>
  </si>
  <si>
    <t>X</t>
  </si>
  <si>
    <t>Y</t>
  </si>
  <si>
    <t>Current Share Price</t>
  </si>
  <si>
    <t>Average Implied Value</t>
  </si>
  <si>
    <t xml:space="preserve">Consensus Research </t>
  </si>
  <si>
    <t>Precedent Tx</t>
  </si>
  <si>
    <t>52-Week Trading</t>
  </si>
  <si>
    <t>Implied Value Summary</t>
  </si>
  <si>
    <t>Plus: Net Debt</t>
  </si>
  <si>
    <t>52-week Trading Range (per Share)</t>
  </si>
  <si>
    <t>Equity Analyst Target Prices (Per Share)</t>
  </si>
  <si>
    <t>Precedent Transactions</t>
  </si>
  <si>
    <t>($) Per Share</t>
  </si>
  <si>
    <t>Valuation Summary - Waterfall Chart</t>
  </si>
  <si>
    <t>Long-Term Growth Rate</t>
  </si>
  <si>
    <t>Last Fiscal Year End Before Valuation Date</t>
  </si>
  <si>
    <t>Next Fiscal Year End After Valuation Date</t>
  </si>
  <si>
    <t>Annual Growth in Marketable Securities</t>
  </si>
  <si>
    <t xml:space="preserve">Sensitivities Control </t>
  </si>
  <si>
    <t xml:space="preserve">Total Long-Term Debt Schedule </t>
  </si>
  <si>
    <t>Liabilities And Stockholders’ Equity</t>
  </si>
  <si>
    <t>Cash, Cash Equivalents, And Restricted Cash, End Of Period</t>
  </si>
  <si>
    <t>Financing Activities:</t>
  </si>
  <si>
    <t>Investing Activities:</t>
  </si>
  <si>
    <t>Operating Activities:</t>
  </si>
  <si>
    <t>Cash, Cash Equivalents, And Restricted Cash, Beginning Of Period</t>
  </si>
  <si>
    <t>Secondary Value Measures - Enterpise Value Calculation</t>
  </si>
  <si>
    <t>Rounding</t>
  </si>
  <si>
    <t>Precedents</t>
  </si>
  <si>
    <t>Days Outstanding</t>
  </si>
  <si>
    <t>Accounts</t>
  </si>
  <si>
    <t>Recivable</t>
  </si>
  <si>
    <t>Payables</t>
  </si>
  <si>
    <t>Inventory</t>
  </si>
  <si>
    <t>Current Asset &amp; Liabilities</t>
  </si>
  <si>
    <t>Property &amp; Equipment</t>
  </si>
  <si>
    <t>Cash Capex (% of Revenue)</t>
  </si>
  <si>
    <t>Asset Average Useful Life</t>
  </si>
  <si>
    <t>Operating &amp; Finance Leases</t>
  </si>
  <si>
    <t>Operating</t>
  </si>
  <si>
    <t>Finance</t>
  </si>
  <si>
    <t>Net Annual Additions (% of Revenue)</t>
  </si>
  <si>
    <t>Interest Rate on Leases</t>
  </si>
  <si>
    <t>Weighted-Average Remaining Lease Term (Existing Leases)</t>
  </si>
  <si>
    <t>Lease Term (New Leases)</t>
  </si>
  <si>
    <t>Financing Assumptions</t>
  </si>
  <si>
    <t>Income Statement Assumptions</t>
  </si>
  <si>
    <t>Other Operating Expense (Net)</t>
  </si>
  <si>
    <t>Sensitivity Inputs  (Do Not Remove)</t>
  </si>
  <si>
    <t>All Amounts Denominated in US$ Unless Otherwise Stated</t>
  </si>
  <si>
    <t>Inputs and Assumptions</t>
  </si>
  <si>
    <t>Model Outputs</t>
  </si>
  <si>
    <t>Calculations and Analytics</t>
  </si>
  <si>
    <t>Financial Statements</t>
  </si>
  <si>
    <r>
      <t xml:space="preserve">Historical and Forecast Financial Performance </t>
    </r>
    <r>
      <rPr>
        <i/>
        <sz val="12"/>
        <color theme="0"/>
        <rFont val="Arial Narrow"/>
        <family val="2"/>
      </rPr>
      <t>(US$ Billions)</t>
    </r>
  </si>
  <si>
    <t xml:space="preserve">Amortization on New ROU Assets </t>
  </si>
  <si>
    <t>Less: Total Amortization Expense</t>
  </si>
  <si>
    <r>
      <t>Beta (5-Yr)</t>
    </r>
    <r>
      <rPr>
        <b/>
        <vertAlign val="superscript"/>
        <sz val="12"/>
        <rFont val="Arial Narrow"/>
        <family val="2"/>
      </rPr>
      <t>1</t>
    </r>
  </si>
  <si>
    <t>IBISWorld Industy Research</t>
  </si>
  <si>
    <t>Source:</t>
  </si>
  <si>
    <r>
      <rPr>
        <b/>
        <sz val="11"/>
        <color theme="0"/>
        <rFont val="Arial Narrow"/>
        <family val="2"/>
      </rPr>
      <t>Disclaimer</t>
    </r>
    <r>
      <rPr>
        <sz val="11"/>
        <color theme="0"/>
        <rFont val="Arial Narrow"/>
        <family val="2"/>
      </rPr>
      <t xml:space="preserve">
This presentation is intended solely for educational and training purposes. The information contained herein does not constitute investment advice, or an offer to sell, or the solicitation of any offer to buy any securities of Amazon.com, Inc. (NasdaqGS:AMZN) or any other security.
This content in this presentation has not been approved or disapproved by (a) Amazon.com, Inc., (b) S&amp;P Global Market Intelligence Inc., (c) any equity research analyst that covers Amazon.com, Inc., or (d) any securities regulator in any province or territory of Canada, the United States Securities and Exchange Commission or any other United States federal or state regulatory authority, and no such commission or authority has passed upon the merits, accuracy or adequacy of this content, nor is it intended that any will.
The information in this presentation does not constitute the provision of investment, tax, legal or other professional advice. As with all investments, there are associated risks and you could lose money investing – including, potentially, your entire investment. Prior to making any investment, a prospective investor should consult with its own investment, accounting, legal and tax advisers to evaluate independently the risks, consequences and suitability of that investment.
No reliance may be placed for any purpose on the information and opinions contained herein or their accuracy or completeness, and nothing contained herein may be relied upon in making any investment decision.
</t>
    </r>
  </si>
  <si>
    <t>Base Case</t>
  </si>
  <si>
    <t>Bull Case</t>
  </si>
  <si>
    <t>Bear Case</t>
  </si>
  <si>
    <t>Revenue By Category (Base Case)</t>
  </si>
  <si>
    <t>Revenue Summary</t>
  </si>
  <si>
    <t>FCFF</t>
  </si>
  <si>
    <t>Summary Outputs</t>
  </si>
  <si>
    <t>Key Summary Outputs</t>
  </si>
  <si>
    <t>Total Revenues</t>
  </si>
  <si>
    <t>2020A</t>
  </si>
  <si>
    <t>Average Implied Value:</t>
  </si>
  <si>
    <r>
      <rPr>
        <vertAlign val="superscript"/>
        <sz val="12"/>
        <color theme="1"/>
        <rFont val="Arial Narrow"/>
        <family val="2"/>
      </rPr>
      <t>1</t>
    </r>
    <r>
      <rPr>
        <sz val="12"/>
        <color theme="1"/>
        <rFont val="Arial Narrow"/>
        <family val="2"/>
      </rPr>
      <t xml:space="preserve"> Sources: Yahoo Finance, Company Filings.</t>
    </r>
  </si>
  <si>
    <t>Source: Company filings</t>
  </si>
  <si>
    <t xml:space="preserve">US Unemployment Rate </t>
  </si>
  <si>
    <t>Base Case EBITDA</t>
  </si>
  <si>
    <t>Bull Case EBITDA</t>
  </si>
  <si>
    <t xml:space="preserve">Bear Case EBITDA </t>
  </si>
  <si>
    <t>EBITDA &amp; FCFF (Base Case)</t>
  </si>
  <si>
    <t>Base Case FCFF</t>
  </si>
  <si>
    <t>Bull Case FCFF</t>
  </si>
  <si>
    <t>Bear Case  FCFF</t>
  </si>
  <si>
    <t>Net Earnings</t>
  </si>
  <si>
    <t>Base Case Net Earnings</t>
  </si>
  <si>
    <t>Bull Case Net Earnings</t>
  </si>
  <si>
    <t>Bear Case  Net Earnings</t>
  </si>
  <si>
    <t>Revenue Breakdown (2020A vs. 2031E)</t>
  </si>
  <si>
    <t>Effective Date</t>
  </si>
  <si>
    <t>Action</t>
  </si>
  <si>
    <t>Additional Capital - Common Equity</t>
  </si>
  <si>
    <t>Net Earnings (Base Case)</t>
  </si>
  <si>
    <t xml:space="preserve">Please ensure iterative calculations are enabled for the functionality of this workbook. </t>
  </si>
  <si>
    <t>Historical Average</t>
  </si>
  <si>
    <t>Alibaba Group Holding Limited</t>
  </si>
  <si>
    <t>eBay Inc.</t>
  </si>
  <si>
    <t>Etsy, Inc.</t>
  </si>
  <si>
    <t>Alphabet Inc.</t>
  </si>
  <si>
    <t>Facebook, Inc.</t>
  </si>
  <si>
    <t>Twitter, Inc.</t>
  </si>
  <si>
    <t>salesforce.com, inc.</t>
  </si>
  <si>
    <t>Oracle Corporation</t>
  </si>
  <si>
    <t>SAP SE</t>
  </si>
  <si>
    <t>VMware, Inc.</t>
  </si>
  <si>
    <t>Netflix, Inc.</t>
  </si>
  <si>
    <t>Spotify Technology S.A.</t>
  </si>
  <si>
    <t>Roku, Inc.</t>
  </si>
  <si>
    <t>Sirius XM Holdings Inc.</t>
  </si>
  <si>
    <t>2023-2027</t>
  </si>
  <si>
    <t>2/3/2021</t>
  </si>
  <si>
    <t>Stifel Nicolaus</t>
  </si>
  <si>
    <t>Boost Price Target</t>
  </si>
  <si>
    <t>Truist</t>
  </si>
  <si>
    <t>Susquehanna Bancshares</t>
  </si>
  <si>
    <t>Positive</t>
  </si>
  <si>
    <t>The Goldman Sachs Group</t>
  </si>
  <si>
    <t>Guggenheim</t>
  </si>
  <si>
    <t>Oppenheimer</t>
  </si>
  <si>
    <t>Outperform</t>
  </si>
  <si>
    <t>MKM Partners</t>
  </si>
  <si>
    <t>Credit Suisse Group</t>
  </si>
  <si>
    <t>Monness Crespi &amp; Hardt</t>
  </si>
  <si>
    <t>KeyCorp</t>
  </si>
  <si>
    <t>Overweight</t>
  </si>
  <si>
    <t>Wedbush</t>
  </si>
  <si>
    <t>Reiterated Rating</t>
  </si>
  <si>
    <t>Raymond James</t>
  </si>
  <si>
    <t>Jefferies Financial Group</t>
  </si>
  <si>
    <t>Cowen</t>
  </si>
  <si>
    <t>Canaccord Genuity</t>
  </si>
  <si>
    <t>Susquehanna</t>
  </si>
  <si>
    <t>Deutsche Bank Aktiengesellschaft</t>
  </si>
  <si>
    <t>Barclays</t>
  </si>
  <si>
    <t>Buy ➝ Overweight</t>
  </si>
  <si>
    <t>Benchmark</t>
  </si>
  <si>
    <t>UBS Group</t>
  </si>
  <si>
    <t>Outperform ➝ Buy</t>
  </si>
  <si>
    <t>JMP Securities</t>
  </si>
  <si>
    <t>Market Outperform</t>
  </si>
  <si>
    <t>Pivotal Research</t>
  </si>
  <si>
    <t>1/27/2021</t>
  </si>
  <si>
    <t>JPMorgan Chase &amp; Co.</t>
  </si>
  <si>
    <t>1/21/2021</t>
  </si>
  <si>
    <t>Bank of America</t>
  </si>
  <si>
    <t>1/15/2021</t>
  </si>
  <si>
    <t>Morgan Stanley</t>
  </si>
  <si>
    <t>Amazon.com Inc.</t>
  </si>
  <si>
    <t>_Companyname</t>
  </si>
  <si>
    <t>_Vdate</t>
  </si>
  <si>
    <t>_YEdate_before</t>
  </si>
  <si>
    <t>_YEdate_after</t>
  </si>
  <si>
    <t>Base</t>
  </si>
  <si>
    <t>Bull</t>
  </si>
  <si>
    <t>Bear</t>
  </si>
  <si>
    <t>Based on Base Estimates and Demonstrated Historical Growth</t>
  </si>
  <si>
    <t>Base (-) 25%</t>
  </si>
  <si>
    <t xml:space="preserve">Base (+) 25% </t>
  </si>
  <si>
    <t>No Growth (Flat)</t>
  </si>
  <si>
    <t>Depreciation on Existing ROU Assets (Checking for over-depreciation)</t>
  </si>
  <si>
    <t>Walmart Inc.</t>
  </si>
  <si>
    <t>The Home Depot, Inc.</t>
  </si>
  <si>
    <t>Lowe's Companies, Inc.</t>
  </si>
  <si>
    <t>Target Corporation</t>
  </si>
  <si>
    <t>United States</t>
  </si>
  <si>
    <t>China</t>
  </si>
  <si>
    <t>Germany</t>
  </si>
  <si>
    <t>Luxembourg</t>
  </si>
  <si>
    <t>_WACC</t>
  </si>
  <si>
    <t>Merger/Acquisition</t>
  </si>
  <si>
    <t>Apollo Global Management, Inc. (NYSE:APO)</t>
  </si>
  <si>
    <t xml:space="preserve">	Tech Data Corporation</t>
  </si>
  <si>
    <t>Acquisition of Equity Stake (100%)</t>
  </si>
  <si>
    <t>The Hershey Company (NYSE:HSY)</t>
  </si>
  <si>
    <t>Amplify Snack Brands, Inc.</t>
  </si>
  <si>
    <t>Tivity Health, Inc. (NasdaqGS:TVTY)</t>
  </si>
  <si>
    <t>Nutrisystem, Inc.</t>
  </si>
  <si>
    <t>HGGC, LLC</t>
  </si>
  <si>
    <t>Monotype Imaging Holdings Inc.</t>
  </si>
  <si>
    <t>Elliott Management Corporation</t>
  </si>
  <si>
    <t>Barnes &amp; Noble, Inc.</t>
  </si>
  <si>
    <t xml:space="preserve">	JD Sports Fashion plc (LSE:JD.)</t>
  </si>
  <si>
    <t>The Finish Line, Inc.</t>
  </si>
  <si>
    <t xml:space="preserve">	The Catalyst Capital Group Inc.</t>
  </si>
  <si>
    <t xml:space="preserve">	Hudson's Bay Company</t>
  </si>
  <si>
    <t xml:space="preserve">	Alliance Santé Participations S.A.</t>
  </si>
  <si>
    <t>Walgreens Boots Alliance, Inc. (NasdaqGS:WBA)</t>
  </si>
  <si>
    <t>Acquisition of Equity Stake (0.17%)</t>
  </si>
  <si>
    <t>Digital Entertainment Holdings LLC</t>
  </si>
  <si>
    <t>RLJ Entertainment, Inc.</t>
  </si>
  <si>
    <t>Acquisition of Equity Stake (26%)</t>
  </si>
  <si>
    <t xml:space="preserve">	JANA Partners LLC</t>
  </si>
  <si>
    <t xml:space="preserve">	Callaway Golf Company (NYSE:ELY)</t>
  </si>
  <si>
    <t>Acquisition of Equity Stake (6.34%)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</si>
</sst>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6">
    <numFmt numFmtId="164" formatCode="&quot;$&quot;#,##0;\-&quot;$&quot;#,##0"/>
    <numFmt numFmtId="165" formatCode="&quot;$&quot;#,##0.00;\-&quot;$&quot;#,##0.00"/>
    <numFmt numFmtId="166" formatCode="_-&quot;$&quot;* #,##0.00_-;\-&quot;$&quot;* #,##0.00_-;_-&quot;$&quot;* &quot;-&quot;??_-;_-@_-"/>
    <numFmt numFmtId="167" formatCode="_-* #,##0.00_-;\-* #,##0.00_-;_-* &quot;-&quot;??_-;_-@_-"/>
    <numFmt numFmtId="168" formatCode="&quot;$&quot;#,##0_);\(&quot;$&quot;#,##0\)"/>
    <numFmt numFmtId="169" formatCode="_(&quot;$&quot;* #,##0.00_);_(&quot;$&quot;* \(#,##0.00\);_(&quot;$&quot;* &quot;-&quot;??_);_(@_)"/>
    <numFmt numFmtId="170" formatCode="_(* #,##0.00_);_(* \(#,##0.00\);_(* &quot;-&quot;??_);_(@_)"/>
    <numFmt numFmtId="171" formatCode="_-* #,##0_-;\(#,##0\)_-;_-* &quot;-&quot;_-;_-@_-"/>
    <numFmt numFmtId="172" formatCode="0&quot;A&quot;"/>
    <numFmt numFmtId="173" formatCode="0&quot;E&quot;"/>
    <numFmt numFmtId="174" formatCode="0.0%"/>
    <numFmt numFmtId="175" formatCode="_(* #,##0_);_(* \(#,##0\);_(* &quot;-&quot;??_);_(@_)"/>
    <numFmt numFmtId="176" formatCode="_(* #,##0_);_(* \(#,##0\);_(* &quot;0&quot;_);_(@_)"/>
    <numFmt numFmtId="177" formatCode="#,##0.000_);\(#,##0.000\)"/>
    <numFmt numFmtId="178" formatCode="0.0\x"/>
    <numFmt numFmtId="179" formatCode="_(* #,##0_);_(* \(#,##0\);_(* &quot;-&quot;??_);_(@_)\ &quot;/&quot;"/>
    <numFmt numFmtId="180" formatCode="&quot;/&quot;_(* #,##0_);_(* \(#,##0\);_(* &quot;-&quot;??_);_(@_)"/>
    <numFmt numFmtId="181" formatCode="[$-409]mmm\-dd\-yyyy;@"/>
    <numFmt numFmtId="182" formatCode="&quot;$&quot;#,##0.00_);\(&quot;$&quot;#,##0.00\)"/>
    <numFmt numFmtId="183" formatCode="yyyy/mm/dd;@"/>
    <numFmt numFmtId="184" formatCode="_(&quot;$&quot;* #,##0_);_(&quot;$&quot;* \(#,##0\);_(&quot;$&quot;* &quot;-&quot;??_);_(@_)"/>
    <numFmt numFmtId="185" formatCode="#,##0.00_);\(#,##0.00\)"/>
    <numFmt numFmtId="186" formatCode="&quot;$&quot;#,##0;\(&quot;$&quot;#,##0\)"/>
    <numFmt numFmtId="187" formatCode="#,##0_ ;\-#,##0\ "/>
    <numFmt numFmtId="188" formatCode="#,##0.0_ ;\-#,##0.0\ "/>
    <numFmt numFmtId="189" formatCode="0&quot; years&quot;"/>
    <numFmt numFmtId="190" formatCode="#,##0.0_)_%;\(#,##0.0\)_%;#,##0.0_)_%;@_)_%"/>
    <numFmt numFmtId="191" formatCode="&quot;$&quot;#,##0"/>
    <numFmt numFmtId="192" formatCode="#,##0.0000;\-#,##0.0000"/>
    <numFmt numFmtId="193" formatCode="0.0&quot; years&quot;"/>
    <numFmt numFmtId="194" formatCode="0.0"/>
    <numFmt numFmtId="195" formatCode="#,##0.0;\-#,##0.0"/>
    <numFmt numFmtId="196" formatCode="&quot;$&quot;#,##0_);\(&quot;$&quot;#,##0\);&quot;-&quot;"/>
    <numFmt numFmtId="197" formatCode="#,##0_);\(#,##0\)"/>
    <numFmt numFmtId="198" formatCode="&quot;$&quot;#,##0.00"/>
    <numFmt numFmtId="199" formatCode="_-* #,##0_-;\-* #,##0_-;_-* &quot;-&quot;??_-;_-@_-"/>
  </numFmts>
  <fonts count="73" x14ac:knownFonts="1">
    <font>
      <sz val="11"/>
      <color theme="1"/>
      <name val="Arial Narrow"/>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Narrow"/>
      <family val="2"/>
    </font>
    <font>
      <b/>
      <sz val="11"/>
      <color theme="0"/>
      <name val="Arial Narrow"/>
      <family val="2"/>
    </font>
    <font>
      <b/>
      <sz val="11"/>
      <color theme="1"/>
      <name val="Arial Narrow"/>
      <family val="2"/>
    </font>
    <font>
      <sz val="8"/>
      <color theme="0"/>
      <name val="Arial Narrow"/>
      <family val="2"/>
    </font>
    <font>
      <b/>
      <sz val="14"/>
      <color theme="0"/>
      <name val="Arial Narrow"/>
      <family val="2"/>
    </font>
    <font>
      <i/>
      <sz val="11"/>
      <color theme="0"/>
      <name val="Arial Narrow"/>
      <family val="2"/>
    </font>
    <font>
      <sz val="11"/>
      <color rgb="FF0000FF"/>
      <name val="Arial Narrow"/>
      <family val="2"/>
    </font>
    <font>
      <sz val="11"/>
      <name val="Arial Narrow"/>
      <family val="2"/>
    </font>
    <font>
      <i/>
      <sz val="11"/>
      <color theme="1"/>
      <name val="Arial Narrow"/>
      <family val="2"/>
    </font>
    <font>
      <sz val="11"/>
      <color theme="0"/>
      <name val="Arial Narrow"/>
      <family val="2"/>
    </font>
    <font>
      <b/>
      <sz val="11"/>
      <name val="Arial Narrow"/>
      <family val="2"/>
    </font>
    <font>
      <sz val="11"/>
      <color rgb="FF00B050"/>
      <name val="Arial Narrow"/>
      <family val="2"/>
    </font>
    <font>
      <sz val="10"/>
      <name val="Times New Roman"/>
      <family val="1"/>
    </font>
    <font>
      <sz val="10"/>
      <name val="Arial"/>
      <family val="2"/>
    </font>
    <font>
      <i/>
      <sz val="10"/>
      <color theme="0"/>
      <name val="Arial Narrow"/>
      <family val="2"/>
    </font>
    <font>
      <sz val="12"/>
      <color theme="1"/>
      <name val="Calibri"/>
      <family val="2"/>
      <scheme val="minor"/>
    </font>
    <font>
      <sz val="1"/>
      <color indexed="9"/>
      <name val="Symbol"/>
      <family val="1"/>
      <charset val="2"/>
    </font>
    <font>
      <sz val="11"/>
      <color theme="1"/>
      <name val="Calibri"/>
      <family val="2"/>
      <scheme val="minor"/>
    </font>
    <font>
      <b/>
      <sz val="22"/>
      <color theme="1"/>
      <name val="Arial Narrow"/>
      <family val="2"/>
    </font>
    <font>
      <u/>
      <sz val="10"/>
      <color theme="10"/>
      <name val="Arial"/>
      <family val="2"/>
    </font>
    <font>
      <u/>
      <sz val="10"/>
      <color rgb="FF132E57"/>
      <name val="Arial"/>
      <family val="2"/>
    </font>
    <font>
      <u/>
      <sz val="10"/>
      <color theme="1"/>
      <name val="Arial"/>
      <family val="2"/>
    </font>
    <font>
      <sz val="12"/>
      <color theme="0"/>
      <name val="Arial Narrow"/>
      <family val="2"/>
    </font>
    <font>
      <sz val="12"/>
      <color theme="1"/>
      <name val="Arial Narrow"/>
      <family val="2"/>
    </font>
    <font>
      <b/>
      <sz val="14"/>
      <color rgb="FFFFFFFF"/>
      <name val="Arial Narrow"/>
      <family val="2"/>
    </font>
    <font>
      <i/>
      <sz val="12"/>
      <color theme="0"/>
      <name val="Arial Narrow"/>
      <family val="2"/>
    </font>
    <font>
      <b/>
      <u val="singleAccounting"/>
      <sz val="11"/>
      <name val="Arial Narrow"/>
      <family val="2"/>
    </font>
    <font>
      <b/>
      <u val="singleAccounting"/>
      <vertAlign val="superscript"/>
      <sz val="11"/>
      <name val="Arial Narrow"/>
      <family val="2"/>
    </font>
    <font>
      <sz val="8"/>
      <name val="Arial Narrow"/>
      <family val="2"/>
    </font>
    <font>
      <i/>
      <sz val="8"/>
      <name val="Arial Narrow"/>
      <family val="2"/>
    </font>
    <font>
      <b/>
      <sz val="8"/>
      <name val="Arial Narrow"/>
      <family val="2"/>
    </font>
    <font>
      <b/>
      <sz val="12"/>
      <color theme="0"/>
      <name val="Arial Narrow"/>
      <family val="2"/>
    </font>
    <font>
      <b/>
      <sz val="12"/>
      <color theme="1"/>
      <name val="Arial Narrow"/>
      <family val="2"/>
    </font>
    <font>
      <sz val="12"/>
      <color rgb="FF0000FF"/>
      <name val="Arial Narrow"/>
      <family val="2"/>
    </font>
    <font>
      <b/>
      <sz val="12"/>
      <name val="Arial Narrow"/>
      <family val="2"/>
    </font>
    <font>
      <sz val="12"/>
      <name val="Arial Narrow"/>
      <family val="2"/>
    </font>
    <font>
      <b/>
      <u/>
      <sz val="12"/>
      <name val="Arial Narrow"/>
      <family val="2"/>
    </font>
    <font>
      <i/>
      <sz val="12"/>
      <color theme="1"/>
      <name val="Arial Narrow"/>
      <family val="2"/>
    </font>
    <font>
      <b/>
      <sz val="12"/>
      <color rgb="FFFFFFFF"/>
      <name val="Arial Narrow"/>
      <family val="2"/>
    </font>
    <font>
      <sz val="12"/>
      <color theme="0" tint="-0.499984740745262"/>
      <name val="Arial Narrow"/>
      <family val="2"/>
    </font>
    <font>
      <sz val="12"/>
      <color theme="1" tint="0.499984740745262"/>
      <name val="Arial Narrow"/>
      <family val="2"/>
    </font>
    <font>
      <b/>
      <u/>
      <sz val="12"/>
      <color theme="1"/>
      <name val="Arial Narrow"/>
      <family val="2"/>
    </font>
    <font>
      <b/>
      <i/>
      <sz val="11"/>
      <color theme="1"/>
      <name val="Arial Narrow"/>
      <family val="2"/>
    </font>
    <font>
      <u/>
      <sz val="11"/>
      <color theme="10"/>
      <name val="Arial Narrow"/>
      <family val="2"/>
    </font>
    <font>
      <sz val="11"/>
      <color rgb="FFFF0000"/>
      <name val="Arial Narrow"/>
      <family val="2"/>
    </font>
    <font>
      <u/>
      <sz val="11"/>
      <color theme="10"/>
      <name val="Calibri"/>
      <family val="2"/>
      <scheme val="minor"/>
    </font>
    <font>
      <b/>
      <sz val="11"/>
      <color rgb="FF0000FF"/>
      <name val="Arial Narrow"/>
      <family val="2"/>
    </font>
    <font>
      <sz val="10"/>
      <color theme="1"/>
      <name val="Arial Narrow"/>
      <family val="2"/>
    </font>
    <font>
      <sz val="11"/>
      <color theme="1"/>
      <name val="Calibri"/>
      <family val="2"/>
    </font>
    <font>
      <b/>
      <sz val="12"/>
      <color rgb="FF0000FF"/>
      <name val="Arial Narrow"/>
      <family val="2"/>
    </font>
    <font>
      <sz val="11"/>
      <color indexed="8"/>
      <name val="Arial Narrow"/>
      <family val="2"/>
    </font>
    <font>
      <b/>
      <i/>
      <sz val="11"/>
      <color theme="0"/>
      <name val="Arial Narrow"/>
      <family val="2"/>
    </font>
    <font>
      <b/>
      <sz val="10"/>
      <color theme="0"/>
      <name val="Arial Narrow"/>
      <family val="2"/>
    </font>
    <font>
      <b/>
      <sz val="10"/>
      <name val="Arial Narrow"/>
      <family val="2"/>
    </font>
    <font>
      <sz val="10"/>
      <name val="Arial Narrow"/>
      <family val="2"/>
    </font>
    <font>
      <sz val="10"/>
      <color rgb="FF0000FF"/>
      <name val="Arial Narrow"/>
      <family val="2"/>
    </font>
    <font>
      <sz val="11"/>
      <color rgb="FF808080"/>
      <name val="Arial Narrow"/>
      <family val="2"/>
    </font>
    <font>
      <sz val="12"/>
      <color rgb="FF1F995B"/>
      <name val="Arial Narrow"/>
      <family val="2"/>
    </font>
    <font>
      <sz val="11"/>
      <color rgb="FF1F995B"/>
      <name val="Arial Narrow"/>
      <family val="2"/>
    </font>
    <font>
      <b/>
      <sz val="11"/>
      <color rgb="FF1F995B"/>
      <name val="Arial Narrow"/>
      <family val="2"/>
    </font>
    <font>
      <i/>
      <sz val="12"/>
      <color rgb="FF0000FF"/>
      <name val="Arial Narrow"/>
      <family val="2"/>
    </font>
    <font>
      <i/>
      <sz val="10"/>
      <color theme="1"/>
      <name val="Arial Narrow"/>
      <family val="2"/>
    </font>
    <font>
      <i/>
      <sz val="10"/>
      <name val="Arial Narrow"/>
      <family val="2"/>
    </font>
    <font>
      <b/>
      <u/>
      <sz val="12"/>
      <color rgb="FF132E57"/>
      <name val="Arial"/>
      <family val="2"/>
    </font>
    <font>
      <b/>
      <vertAlign val="superscript"/>
      <sz val="12"/>
      <name val="Arial Narrow"/>
      <family val="2"/>
    </font>
    <font>
      <vertAlign val="superscript"/>
      <sz val="12"/>
      <color theme="1"/>
      <name val="Arial Narrow"/>
      <family val="2"/>
    </font>
  </fonts>
  <fills count="15">
    <fill>
      <patternFill patternType="none"/>
    </fill>
    <fill>
      <patternFill patternType="gray125"/>
    </fill>
    <fill>
      <patternFill patternType="solid">
        <fgColor rgb="FF132E57"/>
        <bgColor indexed="64"/>
      </patternFill>
    </fill>
    <fill>
      <patternFill patternType="solid">
        <fgColor theme="5"/>
        <bgColor indexed="64"/>
      </patternFill>
    </fill>
    <fill>
      <patternFill patternType="solid">
        <fgColor rgb="FF1E8496"/>
        <bgColor indexed="64"/>
      </patternFill>
    </fill>
    <fill>
      <patternFill patternType="solid">
        <fgColor rgb="FFED942D"/>
        <bgColor indexed="64"/>
      </patternFill>
    </fill>
    <fill>
      <patternFill patternType="solid">
        <fgColor theme="0" tint="-4.9989318521683403E-2"/>
        <bgColor indexed="64"/>
      </patternFill>
    </fill>
    <fill>
      <patternFill patternType="solid">
        <fgColor rgb="FFFA621C"/>
        <bgColor indexed="64"/>
      </patternFill>
    </fill>
    <fill>
      <patternFill patternType="solid">
        <fgColor theme="0" tint="-0.14999847407452621"/>
        <bgColor indexed="64"/>
      </patternFill>
    </fill>
    <fill>
      <patternFill patternType="solid">
        <fgColor theme="0"/>
        <bgColor indexed="64"/>
      </patternFill>
    </fill>
    <fill>
      <patternFill patternType="solid">
        <fgColor theme="1" tint="0.499984740745262"/>
        <bgColor indexed="64"/>
      </patternFill>
    </fill>
    <fill>
      <patternFill patternType="solid">
        <fgColor rgb="FFF2F2F2"/>
        <bgColor indexed="64"/>
      </patternFill>
    </fill>
    <fill>
      <patternFill patternType="solid">
        <fgColor rgb="FFFCFCFC"/>
        <bgColor indexed="64"/>
      </patternFill>
    </fill>
    <fill>
      <patternFill patternType="solid">
        <fgColor theme="2"/>
        <bgColor indexed="64"/>
      </patternFill>
    </fill>
    <fill>
      <patternFill patternType="solid">
        <fgColor theme="0" tint="-0.249977111117893"/>
        <bgColor indexed="64"/>
      </patternFill>
    </fill>
  </fills>
  <borders count="34">
    <border>
      <left/>
      <right/>
      <top/>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style="dashed">
        <color auto="1"/>
      </left>
      <right style="dashed">
        <color auto="1"/>
      </right>
      <top style="dashed">
        <color auto="1"/>
      </top>
      <bottom style="dashed">
        <color auto="1"/>
      </bottom>
      <diagonal/>
    </border>
    <border>
      <left/>
      <right/>
      <top style="thin">
        <color indexed="64"/>
      </top>
      <bottom style="thin">
        <color indexed="64"/>
      </bottom>
      <diagonal/>
    </border>
    <border>
      <left/>
      <right/>
      <top/>
      <bottom style="thin">
        <color auto="1"/>
      </bottom>
      <diagonal/>
    </border>
    <border>
      <left style="thick">
        <color theme="2"/>
      </left>
      <right/>
      <top style="thick">
        <color theme="2"/>
      </top>
      <bottom/>
      <diagonal/>
    </border>
    <border>
      <left/>
      <right/>
      <top style="thick">
        <color theme="2"/>
      </top>
      <bottom/>
      <diagonal/>
    </border>
    <border>
      <left/>
      <right style="thick">
        <color theme="2"/>
      </right>
      <top style="thick">
        <color theme="2"/>
      </top>
      <bottom/>
      <diagonal/>
    </border>
    <border>
      <left style="thick">
        <color theme="2"/>
      </left>
      <right/>
      <top/>
      <bottom/>
      <diagonal/>
    </border>
    <border>
      <left/>
      <right style="thick">
        <color theme="2"/>
      </right>
      <top/>
      <bottom/>
      <diagonal/>
    </border>
    <border>
      <left style="thick">
        <color theme="2"/>
      </left>
      <right/>
      <top/>
      <bottom style="thick">
        <color theme="2"/>
      </bottom>
      <diagonal/>
    </border>
    <border>
      <left/>
      <right/>
      <top/>
      <bottom style="thick">
        <color theme="2"/>
      </bottom>
      <diagonal/>
    </border>
    <border>
      <left style="dashed">
        <color auto="1"/>
      </left>
      <right style="dotted">
        <color indexed="64"/>
      </right>
      <top style="dashed">
        <color auto="1"/>
      </top>
      <bottom style="dashed">
        <color auto="1"/>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ashed">
        <color auto="1"/>
      </left>
      <right/>
      <top style="dashed">
        <color auto="1"/>
      </top>
      <bottom style="dashed">
        <color auto="1"/>
      </bottom>
      <diagonal/>
    </border>
    <border>
      <left style="dashed">
        <color auto="1"/>
      </left>
      <right style="dashed">
        <color auto="1"/>
      </right>
      <top/>
      <bottom style="dashed">
        <color auto="1"/>
      </bottom>
      <diagonal/>
    </border>
    <border>
      <left/>
      <right style="dashed">
        <color auto="1"/>
      </right>
      <top style="dashed">
        <color auto="1"/>
      </top>
      <bottom style="dashed">
        <color auto="1"/>
      </bottom>
      <diagonal/>
    </border>
    <border>
      <left/>
      <right/>
      <top/>
      <bottom style="medium">
        <color indexed="64"/>
      </bottom>
      <diagonal/>
    </border>
    <border>
      <left/>
      <right style="thin">
        <color indexed="64"/>
      </right>
      <top/>
      <bottom/>
      <diagonal/>
    </border>
    <border>
      <left style="thin">
        <color indexed="64"/>
      </left>
      <right/>
      <top style="thin">
        <color indexed="64"/>
      </top>
      <bottom/>
      <diagonal/>
    </border>
    <border>
      <left/>
      <right/>
      <top style="dotted">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style="dotted">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1E8496"/>
      </left>
      <right/>
      <top style="thin">
        <color rgb="FF1E8496"/>
      </top>
      <bottom style="thin">
        <color rgb="FF1E8496"/>
      </bottom>
      <diagonal/>
    </border>
    <border>
      <left/>
      <right/>
      <top style="thin">
        <color rgb="FF1E8496"/>
      </top>
      <bottom style="thin">
        <color rgb="FF1E8496"/>
      </bottom>
      <diagonal/>
    </border>
    <border>
      <left/>
      <right style="thin">
        <color rgb="FF1E8496"/>
      </right>
      <top style="thin">
        <color rgb="FF1E8496"/>
      </top>
      <bottom style="thin">
        <color rgb="FF1E8496"/>
      </bottom>
      <diagonal/>
    </border>
  </borders>
  <cellStyleXfs count="42">
    <xf numFmtId="0" fontId="0" fillId="0" borderId="0"/>
    <xf numFmtId="170" fontId="7" fillId="0" borderId="0" applyFont="0" applyFill="0" applyBorder="0" applyAlignment="0" applyProtection="0"/>
    <xf numFmtId="9" fontId="7" fillId="0" borderId="0" applyFont="0" applyFill="0" applyBorder="0" applyAlignment="0" applyProtection="0"/>
    <xf numFmtId="169" fontId="7" fillId="0" borderId="0" applyFont="0" applyFill="0" applyBorder="0" applyAlignment="0" applyProtection="0"/>
    <xf numFmtId="0" fontId="19" fillId="0" borderId="0"/>
    <xf numFmtId="9" fontId="19" fillId="0" borderId="0" applyFont="0" applyFill="0" applyBorder="0" applyAlignment="0" applyProtection="0"/>
    <xf numFmtId="170" fontId="19" fillId="0" borderId="0" applyFont="0" applyFill="0" applyBorder="0" applyAlignment="0" applyProtection="0"/>
    <xf numFmtId="0" fontId="22" fillId="0" borderId="0"/>
    <xf numFmtId="0" fontId="23" fillId="0" borderId="0" applyAlignment="0"/>
    <xf numFmtId="0" fontId="20" fillId="0" borderId="0">
      <alignment vertical="center"/>
    </xf>
    <xf numFmtId="0" fontId="24" fillId="0" borderId="0"/>
    <xf numFmtId="0" fontId="26" fillId="0" borderId="0" applyNumberFormat="0" applyFill="0" applyBorder="0" applyAlignment="0" applyProtection="0"/>
    <xf numFmtId="0" fontId="6" fillId="0" borderId="0"/>
    <xf numFmtId="0" fontId="5" fillId="0" borderId="0"/>
    <xf numFmtId="0" fontId="5" fillId="0" borderId="0"/>
    <xf numFmtId="0" fontId="20" fillId="0" borderId="0"/>
    <xf numFmtId="9" fontId="5" fillId="0" borderId="0" applyFont="0" applyFill="0" applyBorder="0" applyAlignment="0" applyProtection="0"/>
    <xf numFmtId="0" fontId="4" fillId="0" borderId="0"/>
    <xf numFmtId="0" fontId="4" fillId="0" borderId="0"/>
    <xf numFmtId="0" fontId="4" fillId="0" borderId="0"/>
    <xf numFmtId="167" fontId="4" fillId="0" borderId="0" applyFont="0" applyFill="0" applyBorder="0" applyAlignment="0" applyProtection="0"/>
    <xf numFmtId="9" fontId="4"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167" fontId="19" fillId="0" borderId="0" applyFont="0" applyFill="0" applyBorder="0" applyAlignment="0" applyProtection="0"/>
    <xf numFmtId="0" fontId="3" fillId="0" borderId="0"/>
    <xf numFmtId="0" fontId="3" fillId="0" borderId="0"/>
    <xf numFmtId="0" fontId="50" fillId="0" borderId="0" applyNumberFormat="0" applyFill="0" applyBorder="0" applyAlignment="0" applyProtection="0"/>
    <xf numFmtId="0" fontId="2" fillId="0" borderId="0"/>
    <xf numFmtId="0" fontId="2" fillId="0" borderId="0"/>
    <xf numFmtId="0" fontId="26" fillId="0" borderId="0" applyNumberFormat="0" applyFill="0" applyBorder="0" applyAlignment="0" applyProtection="0"/>
    <xf numFmtId="190" fontId="20" fillId="0" borderId="0"/>
    <xf numFmtId="0" fontId="20" fillId="0" borderId="0"/>
    <xf numFmtId="0" fontId="52" fillId="0" borderId="0" applyNumberFormat="0" applyFill="0" applyBorder="0" applyAlignment="0" applyProtection="0"/>
    <xf numFmtId="9" fontId="2" fillId="0" borderId="0" applyFont="0" applyFill="0" applyBorder="0" applyAlignment="0" applyProtection="0"/>
    <xf numFmtId="0" fontId="55" fillId="0" borderId="0"/>
    <xf numFmtId="0" fontId="20" fillId="0" borderId="0"/>
    <xf numFmtId="0" fontId="20" fillId="0" borderId="0"/>
    <xf numFmtId="167" fontId="19" fillId="0" borderId="0" applyFont="0" applyFill="0" applyBorder="0" applyAlignment="0" applyProtection="0"/>
    <xf numFmtId="0" fontId="1" fillId="0" borderId="0"/>
    <xf numFmtId="0" fontId="1" fillId="0" borderId="0"/>
    <xf numFmtId="0" fontId="1" fillId="0" borderId="0"/>
  </cellStyleXfs>
  <cellXfs count="590">
    <xf numFmtId="0" fontId="0" fillId="0" borderId="0" xfId="0"/>
    <xf numFmtId="0" fontId="9" fillId="0" borderId="0" xfId="0" applyFont="1"/>
    <xf numFmtId="171" fontId="10" fillId="2" borderId="0" xfId="1" applyNumberFormat="1" applyFont="1" applyFill="1" applyProtection="1">
      <protection locked="0"/>
    </xf>
    <xf numFmtId="171" fontId="11" fillId="2" borderId="0" xfId="1" applyNumberFormat="1" applyFont="1" applyFill="1" applyProtection="1">
      <protection locked="0"/>
    </xf>
    <xf numFmtId="0" fontId="12" fillId="2" borderId="0" xfId="0" applyFont="1" applyFill="1"/>
    <xf numFmtId="9" fontId="0" fillId="0" borderId="0" xfId="2" applyFont="1"/>
    <xf numFmtId="174" fontId="0" fillId="0" borderId="0" xfId="2" applyNumberFormat="1" applyFont="1"/>
    <xf numFmtId="0" fontId="0" fillId="0" borderId="0" xfId="0" applyAlignment="1">
      <alignment horizontal="left"/>
    </xf>
    <xf numFmtId="0" fontId="0" fillId="0" borderId="0" xfId="0" applyAlignment="1">
      <alignment horizontal="left" indent="1"/>
    </xf>
    <xf numFmtId="3" fontId="9" fillId="0" borderId="1" xfId="0" applyNumberFormat="1" applyFont="1" applyBorder="1"/>
    <xf numFmtId="0" fontId="0" fillId="0" borderId="1" xfId="0" applyBorder="1" applyAlignment="1">
      <alignment horizontal="left" indent="2"/>
    </xf>
    <xf numFmtId="0" fontId="9" fillId="0" borderId="1" xfId="0" applyFont="1" applyBorder="1"/>
    <xf numFmtId="0" fontId="0" fillId="0" borderId="1" xfId="0" applyBorder="1" applyAlignment="1">
      <alignment horizontal="left" indent="1"/>
    </xf>
    <xf numFmtId="0" fontId="0" fillId="0" borderId="1" xfId="0" applyBorder="1"/>
    <xf numFmtId="0" fontId="9" fillId="0" borderId="2" xfId="0" applyFont="1" applyBorder="1"/>
    <xf numFmtId="0" fontId="0" fillId="0" borderId="3" xfId="0" applyBorder="1" applyAlignment="1">
      <alignment horizontal="left" indent="1"/>
    </xf>
    <xf numFmtId="0" fontId="0" fillId="0" borderId="0" xfId="0" applyAlignment="1">
      <alignment horizontal="left" wrapText="1" indent="1"/>
    </xf>
    <xf numFmtId="0" fontId="0" fillId="2" borderId="0" xfId="0" applyFill="1"/>
    <xf numFmtId="0" fontId="9" fillId="0" borderId="1" xfId="0" applyFont="1" applyBorder="1" applyAlignment="1">
      <alignment horizontal="left"/>
    </xf>
    <xf numFmtId="174" fontId="9" fillId="0" borderId="1" xfId="2" applyNumberFormat="1" applyFont="1" applyBorder="1"/>
    <xf numFmtId="175" fontId="0" fillId="0" borderId="0" xfId="1" applyNumberFormat="1" applyFont="1"/>
    <xf numFmtId="174" fontId="0" fillId="6" borderId="0" xfId="2" applyNumberFormat="1" applyFont="1" applyFill="1"/>
    <xf numFmtId="14" fontId="0" fillId="0" borderId="0" xfId="0" applyNumberFormat="1"/>
    <xf numFmtId="37" fontId="0" fillId="0" borderId="0" xfId="0" applyNumberFormat="1"/>
    <xf numFmtId="0" fontId="15" fillId="0" borderId="0" xfId="0" applyFont="1"/>
    <xf numFmtId="37" fontId="15" fillId="0" borderId="0" xfId="0" applyNumberFormat="1" applyFont="1"/>
    <xf numFmtId="37" fontId="13" fillId="0" borderId="0" xfId="0" applyNumberFormat="1" applyFont="1"/>
    <xf numFmtId="175" fontId="9" fillId="0" borderId="0" xfId="0" applyNumberFormat="1" applyFont="1"/>
    <xf numFmtId="3" fontId="9" fillId="0" borderId="0" xfId="0" applyNumberFormat="1" applyFont="1"/>
    <xf numFmtId="174" fontId="0" fillId="0" borderId="0" xfId="2" applyNumberFormat="1" applyFont="1" applyAlignment="1">
      <alignment horizontal="right"/>
    </xf>
    <xf numFmtId="0" fontId="15" fillId="0" borderId="0" xfId="0" applyFont="1" applyAlignment="1">
      <alignment horizontal="left" indent="1"/>
    </xf>
    <xf numFmtId="0" fontId="16" fillId="3" borderId="0" xfId="0" applyFont="1" applyFill="1"/>
    <xf numFmtId="0" fontId="16" fillId="2" borderId="0" xfId="0" applyFont="1" applyFill="1"/>
    <xf numFmtId="0" fontId="16" fillId="5" borderId="0" xfId="0" applyFont="1" applyFill="1"/>
    <xf numFmtId="0" fontId="16" fillId="4" borderId="0" xfId="0" applyFont="1" applyFill="1"/>
    <xf numFmtId="0" fontId="16" fillId="7" borderId="0" xfId="0" applyFont="1" applyFill="1"/>
    <xf numFmtId="174" fontId="13" fillId="6" borderId="0" xfId="2" applyNumberFormat="1" applyFont="1" applyFill="1"/>
    <xf numFmtId="174" fontId="9" fillId="0" borderId="1" xfId="2" applyNumberFormat="1" applyFont="1" applyBorder="1" applyAlignment="1">
      <alignment horizontal="right"/>
    </xf>
    <xf numFmtId="39" fontId="0" fillId="0" borderId="3" xfId="0" applyNumberFormat="1" applyBorder="1"/>
    <xf numFmtId="177" fontId="15" fillId="0" borderId="0" xfId="0" applyNumberFormat="1" applyFont="1"/>
    <xf numFmtId="37" fontId="14" fillId="0" borderId="0" xfId="0" applyNumberFormat="1" applyFont="1"/>
    <xf numFmtId="37" fontId="9" fillId="0" borderId="0" xfId="0" applyNumberFormat="1" applyFont="1"/>
    <xf numFmtId="37" fontId="0" fillId="0" borderId="0" xfId="2" applyNumberFormat="1" applyFont="1"/>
    <xf numFmtId="0" fontId="8" fillId="2" borderId="0" xfId="0" applyFont="1" applyFill="1" applyAlignment="1">
      <alignment horizontal="right"/>
    </xf>
    <xf numFmtId="168" fontId="16" fillId="2" borderId="0" xfId="0" applyNumberFormat="1" applyFont="1" applyFill="1" applyAlignment="1">
      <alignment horizontal="right"/>
    </xf>
    <xf numFmtId="0" fontId="7" fillId="0" borderId="0" xfId="0" applyFont="1"/>
    <xf numFmtId="0" fontId="11" fillId="2" borderId="0" xfId="0" applyFont="1" applyFill="1"/>
    <xf numFmtId="0" fontId="0" fillId="0" borderId="0" xfId="0" applyAlignment="1">
      <alignment horizontal="center"/>
    </xf>
    <xf numFmtId="0" fontId="7" fillId="5" borderId="0" xfId="10" applyFont="1" applyFill="1"/>
    <xf numFmtId="0" fontId="7" fillId="9" borderId="0" xfId="10" applyFont="1" applyFill="1"/>
    <xf numFmtId="0" fontId="27" fillId="9" borderId="0" xfId="11" applyFont="1" applyFill="1" applyProtection="1">
      <protection locked="0"/>
    </xf>
    <xf numFmtId="0" fontId="7" fillId="10" borderId="0" xfId="10" applyFont="1" applyFill="1"/>
    <xf numFmtId="0" fontId="7" fillId="5" borderId="0" xfId="12" applyFont="1" applyFill="1"/>
    <xf numFmtId="0" fontId="7" fillId="0" borderId="0" xfId="12" applyFont="1"/>
    <xf numFmtId="0" fontId="16" fillId="2" borderId="0" xfId="12" applyFont="1" applyFill="1"/>
    <xf numFmtId="0" fontId="7" fillId="2" borderId="0" xfId="12" applyFont="1" applyFill="1"/>
    <xf numFmtId="0" fontId="7" fillId="9" borderId="0" xfId="12" applyFont="1" applyFill="1"/>
    <xf numFmtId="0" fontId="12" fillId="0" borderId="0" xfId="0" applyFont="1"/>
    <xf numFmtId="172" fontId="8" fillId="0" borderId="0" xfId="0" applyNumberFormat="1" applyFont="1"/>
    <xf numFmtId="172" fontId="9" fillId="0" borderId="0" xfId="0" applyNumberFormat="1" applyFont="1"/>
    <xf numFmtId="173" fontId="9" fillId="0" borderId="0" xfId="0" applyNumberFormat="1" applyFont="1"/>
    <xf numFmtId="0" fontId="9" fillId="0" borderId="6" xfId="0" applyFont="1" applyBorder="1" applyAlignment="1">
      <alignment horizontal="centerContinuous"/>
    </xf>
    <xf numFmtId="0" fontId="9" fillId="0" borderId="0" xfId="0" applyFont="1" applyAlignment="1">
      <alignment horizontal="center"/>
    </xf>
    <xf numFmtId="0" fontId="9" fillId="0" borderId="6" xfId="0" applyFont="1" applyBorder="1" applyAlignment="1">
      <alignment horizontal="center"/>
    </xf>
    <xf numFmtId="173" fontId="9" fillId="0" borderId="6" xfId="0" applyNumberFormat="1" applyFont="1" applyBorder="1" applyAlignment="1">
      <alignment horizontal="center"/>
    </xf>
    <xf numFmtId="167" fontId="0" fillId="0" borderId="0" xfId="0" applyNumberFormat="1"/>
    <xf numFmtId="37" fontId="12" fillId="2" borderId="0" xfId="0" applyNumberFormat="1" applyFont="1" applyFill="1" applyAlignment="1">
      <alignment vertical="top"/>
    </xf>
    <xf numFmtId="37" fontId="10" fillId="2" borderId="0" xfId="0" applyNumberFormat="1" applyFont="1" applyFill="1" applyAlignment="1">
      <alignment vertical="top"/>
    </xf>
    <xf numFmtId="37" fontId="29" fillId="2" borderId="0" xfId="0" applyNumberFormat="1" applyFont="1" applyFill="1" applyAlignment="1">
      <alignment vertical="top"/>
    </xf>
    <xf numFmtId="0" fontId="30" fillId="0" borderId="0" xfId="0" applyFont="1"/>
    <xf numFmtId="0" fontId="31" fillId="2" borderId="0" xfId="0" applyFont="1" applyFill="1" applyAlignment="1">
      <alignment horizontal="left" vertical="center" readingOrder="1"/>
    </xf>
    <xf numFmtId="37" fontId="21" fillId="2" borderId="0" xfId="0" applyNumberFormat="1" applyFont="1" applyFill="1" applyAlignment="1">
      <alignment vertical="top"/>
    </xf>
    <xf numFmtId="37" fontId="32" fillId="2" borderId="0" xfId="0" applyNumberFormat="1" applyFont="1" applyFill="1" applyAlignment="1">
      <alignment vertical="top"/>
    </xf>
    <xf numFmtId="37" fontId="32" fillId="0" borderId="0" xfId="0" applyNumberFormat="1" applyFont="1" applyAlignment="1">
      <alignment vertical="top"/>
    </xf>
    <xf numFmtId="0" fontId="38" fillId="5" borderId="0" xfId="0" applyFont="1" applyFill="1"/>
    <xf numFmtId="37" fontId="39" fillId="0" borderId="6" xfId="0" applyNumberFormat="1" applyFont="1" applyBorder="1" applyAlignment="1">
      <alignment horizontal="center" vertical="top"/>
    </xf>
    <xf numFmtId="0" fontId="0" fillId="0" borderId="6" xfId="0" applyBorder="1"/>
    <xf numFmtId="172" fontId="8" fillId="0" borderId="6" xfId="0" applyNumberFormat="1" applyFont="1" applyBorder="1"/>
    <xf numFmtId="172" fontId="9" fillId="0" borderId="6" xfId="0" applyNumberFormat="1" applyFont="1" applyBorder="1"/>
    <xf numFmtId="173" fontId="9" fillId="0" borderId="6" xfId="0" applyNumberFormat="1" applyFont="1" applyBorder="1"/>
    <xf numFmtId="3" fontId="14" fillId="0" borderId="0" xfId="0" applyNumberFormat="1" applyFont="1"/>
    <xf numFmtId="9" fontId="0" fillId="0" borderId="0" xfId="2" applyFont="1" applyFill="1"/>
    <xf numFmtId="170" fontId="13" fillId="0" borderId="0" xfId="1" applyFont="1" applyFill="1"/>
    <xf numFmtId="170" fontId="0" fillId="0" borderId="0" xfId="1" applyFont="1" applyFill="1"/>
    <xf numFmtId="185" fontId="15" fillId="0" borderId="0" xfId="0" applyNumberFormat="1" applyFont="1"/>
    <xf numFmtId="174" fontId="17" fillId="0" borderId="0" xfId="2" applyNumberFormat="1" applyFont="1" applyFill="1" applyBorder="1" applyAlignment="1">
      <alignment horizontal="right"/>
    </xf>
    <xf numFmtId="174" fontId="17" fillId="0" borderId="0" xfId="2" applyNumberFormat="1" applyFont="1" applyFill="1" applyBorder="1"/>
    <xf numFmtId="174" fontId="0" fillId="0" borderId="0" xfId="2" applyNumberFormat="1" applyFont="1" applyFill="1"/>
    <xf numFmtId="174" fontId="14" fillId="0" borderId="0" xfId="2" applyNumberFormat="1" applyFont="1" applyFill="1" applyBorder="1"/>
    <xf numFmtId="0" fontId="14" fillId="0" borderId="0" xfId="0" applyFont="1"/>
    <xf numFmtId="175" fontId="14" fillId="0" borderId="0" xfId="1" applyNumberFormat="1" applyFont="1" applyFill="1" applyBorder="1"/>
    <xf numFmtId="0" fontId="14" fillId="0" borderId="0" xfId="0" applyFont="1" applyAlignment="1">
      <alignment horizontal="left"/>
    </xf>
    <xf numFmtId="173" fontId="17" fillId="0" borderId="0" xfId="0" applyNumberFormat="1" applyFont="1"/>
    <xf numFmtId="0" fontId="17" fillId="0" borderId="0" xfId="0" applyFont="1"/>
    <xf numFmtId="14" fontId="14" fillId="0" borderId="0" xfId="0" applyNumberFormat="1" applyFont="1"/>
    <xf numFmtId="174" fontId="14" fillId="0" borderId="0" xfId="2" applyNumberFormat="1" applyFont="1" applyFill="1" applyBorder="1" applyAlignment="1">
      <alignment horizontal="center"/>
    </xf>
    <xf numFmtId="0" fontId="0" fillId="0" borderId="0" xfId="0" quotePrefix="1"/>
    <xf numFmtId="174" fontId="0" fillId="6" borderId="0" xfId="2" applyNumberFormat="1" applyFont="1" applyFill="1" applyAlignment="1">
      <alignment horizontal="right"/>
    </xf>
    <xf numFmtId="0" fontId="41" fillId="0" borderId="0" xfId="0" applyFont="1"/>
    <xf numFmtId="0" fontId="42" fillId="0" borderId="0" xfId="0" applyFont="1"/>
    <xf numFmtId="0" fontId="40" fillId="0" borderId="4" xfId="0" applyFont="1" applyBorder="1" applyAlignment="1">
      <alignment horizontal="right"/>
    </xf>
    <xf numFmtId="37" fontId="11" fillId="2" borderId="0" xfId="0" applyNumberFormat="1" applyFont="1" applyFill="1" applyAlignment="1">
      <alignment horizontal="left" vertical="top"/>
    </xf>
    <xf numFmtId="37" fontId="38" fillId="2" borderId="0" xfId="0" applyNumberFormat="1" applyFont="1" applyFill="1" applyAlignment="1">
      <alignment horizontal="left" vertical="top"/>
    </xf>
    <xf numFmtId="0" fontId="43" fillId="0" borderId="0" xfId="0" applyFont="1"/>
    <xf numFmtId="0" fontId="42" fillId="0" borderId="0" xfId="0" applyFont="1" applyAlignment="1">
      <alignment vertical="center"/>
    </xf>
    <xf numFmtId="0" fontId="41" fillId="8" borderId="0" xfId="0" applyFont="1" applyFill="1"/>
    <xf numFmtId="0" fontId="30" fillId="8" borderId="0" xfId="0" applyFont="1" applyFill="1"/>
    <xf numFmtId="0" fontId="40" fillId="0" borderId="0" xfId="0" applyFont="1"/>
    <xf numFmtId="0" fontId="30" fillId="0" borderId="17" xfId="0" applyFont="1" applyBorder="1"/>
    <xf numFmtId="0" fontId="30" fillId="0" borderId="5" xfId="0" applyFont="1" applyBorder="1"/>
    <xf numFmtId="0" fontId="30" fillId="0" borderId="18" xfId="0" applyFont="1" applyBorder="1" applyAlignment="1">
      <alignment horizontal="right"/>
    </xf>
    <xf numFmtId="0" fontId="42" fillId="0" borderId="0" xfId="0" applyFont="1" applyAlignment="1">
      <alignment horizontal="right"/>
    </xf>
    <xf numFmtId="0" fontId="39" fillId="0" borderId="0" xfId="0" applyFont="1"/>
    <xf numFmtId="0" fontId="30" fillId="0" borderId="0" xfId="0" applyFont="1" applyAlignment="1">
      <alignment horizontal="center"/>
    </xf>
    <xf numFmtId="0" fontId="43" fillId="0" borderId="0" xfId="0" applyFont="1" applyAlignment="1">
      <alignment horizontal="right"/>
    </xf>
    <xf numFmtId="174" fontId="40" fillId="0" borderId="4" xfId="2" applyNumberFormat="1" applyFont="1" applyBorder="1"/>
    <xf numFmtId="0" fontId="45" fillId="2" borderId="0" xfId="0" applyFont="1" applyFill="1" applyAlignment="1">
      <alignment horizontal="left" vertical="center" readingOrder="1"/>
    </xf>
    <xf numFmtId="0" fontId="30" fillId="0" borderId="0" xfId="12" applyFont="1"/>
    <xf numFmtId="0" fontId="42" fillId="0" borderId="0" xfId="4" applyFont="1"/>
    <xf numFmtId="0" fontId="41" fillId="0" borderId="0" xfId="4" applyFont="1" applyAlignment="1">
      <alignment horizontal="center"/>
    </xf>
    <xf numFmtId="0" fontId="41" fillId="0" borderId="6" xfId="4" applyFont="1" applyBorder="1" applyAlignment="1">
      <alignment horizontal="left"/>
    </xf>
    <xf numFmtId="0" fontId="41" fillId="0" borderId="6" xfId="4" applyFont="1" applyBorder="1"/>
    <xf numFmtId="0" fontId="39" fillId="0" borderId="6" xfId="0" applyFont="1" applyBorder="1" applyAlignment="1">
      <alignment horizontal="center"/>
    </xf>
    <xf numFmtId="0" fontId="41" fillId="0" borderId="6" xfId="4" applyFont="1" applyBorder="1" applyAlignment="1">
      <alignment horizontal="center"/>
    </xf>
    <xf numFmtId="0" fontId="30" fillId="0" borderId="6" xfId="0" applyFont="1" applyBorder="1"/>
    <xf numFmtId="0" fontId="39" fillId="0" borderId="6" xfId="0" applyFont="1" applyBorder="1" applyAlignment="1">
      <alignment horizontal="right"/>
    </xf>
    <xf numFmtId="0" fontId="42" fillId="0" borderId="0" xfId="4" applyFont="1" applyAlignment="1">
      <alignment horizontal="left"/>
    </xf>
    <xf numFmtId="9" fontId="40" fillId="0" borderId="0" xfId="2" applyFont="1" applyBorder="1" applyAlignment="1">
      <alignment horizontal="right"/>
    </xf>
    <xf numFmtId="174" fontId="42" fillId="0" borderId="0" xfId="2" applyNumberFormat="1" applyFont="1" applyBorder="1" applyAlignment="1">
      <alignment horizontal="right"/>
    </xf>
    <xf numFmtId="2" fontId="40" fillId="0" borderId="0" xfId="4" applyNumberFormat="1" applyFont="1" applyAlignment="1">
      <alignment horizontal="right"/>
    </xf>
    <xf numFmtId="2" fontId="42" fillId="0" borderId="0" xfId="4" applyNumberFormat="1" applyFont="1" applyAlignment="1">
      <alignment horizontal="right"/>
    </xf>
    <xf numFmtId="174" fontId="30" fillId="0" borderId="0" xfId="4" applyNumberFormat="1" applyFont="1" applyAlignment="1">
      <alignment horizontal="right"/>
    </xf>
    <xf numFmtId="174" fontId="39" fillId="0" borderId="0" xfId="2" applyNumberFormat="1" applyFont="1"/>
    <xf numFmtId="9" fontId="40" fillId="0" borderId="6" xfId="2" applyFont="1" applyBorder="1" applyAlignment="1">
      <alignment horizontal="right"/>
    </xf>
    <xf numFmtId="174" fontId="42" fillId="0" borderId="6" xfId="2" applyNumberFormat="1" applyFont="1" applyBorder="1" applyAlignment="1">
      <alignment horizontal="right"/>
    </xf>
    <xf numFmtId="2" fontId="40" fillId="0" borderId="6" xfId="4" applyNumberFormat="1" applyFont="1" applyBorder="1" applyAlignment="1">
      <alignment horizontal="right"/>
    </xf>
    <xf numFmtId="2" fontId="42" fillId="0" borderId="6" xfId="4" applyNumberFormat="1" applyFont="1" applyBorder="1" applyAlignment="1">
      <alignment horizontal="right"/>
    </xf>
    <xf numFmtId="0" fontId="41" fillId="0" borderId="0" xfId="4" applyFont="1"/>
    <xf numFmtId="0" fontId="41" fillId="0" borderId="0" xfId="4" applyFont="1" applyAlignment="1">
      <alignment horizontal="right"/>
    </xf>
    <xf numFmtId="174" fontId="41" fillId="0" borderId="0" xfId="4" applyNumberFormat="1" applyFont="1" applyAlignment="1">
      <alignment horizontal="right"/>
    </xf>
    <xf numFmtId="170" fontId="41" fillId="0" borderId="0" xfId="1" applyFont="1" applyBorder="1" applyAlignment="1">
      <alignment horizontal="right"/>
    </xf>
    <xf numFmtId="174" fontId="39" fillId="0" borderId="1" xfId="4" applyNumberFormat="1" applyFont="1" applyBorder="1" applyAlignment="1">
      <alignment horizontal="right"/>
    </xf>
    <xf numFmtId="0" fontId="39" fillId="0" borderId="6" xfId="0" applyFont="1" applyBorder="1"/>
    <xf numFmtId="3" fontId="30" fillId="0" borderId="0" xfId="0" applyNumberFormat="1" applyFont="1"/>
    <xf numFmtId="173" fontId="39" fillId="0" borderId="6" xfId="0" applyNumberFormat="1" applyFont="1" applyBorder="1"/>
    <xf numFmtId="37" fontId="30" fillId="0" borderId="0" xfId="0" applyNumberFormat="1" applyFont="1"/>
    <xf numFmtId="175" fontId="30" fillId="0" borderId="0" xfId="1" applyNumberFormat="1" applyFont="1" applyBorder="1"/>
    <xf numFmtId="168" fontId="39" fillId="0" borderId="0" xfId="0" applyNumberFormat="1" applyFont="1"/>
    <xf numFmtId="0" fontId="39" fillId="0" borderId="0" xfId="0" applyFont="1" applyAlignment="1">
      <alignment horizontal="centerContinuous"/>
    </xf>
    <xf numFmtId="14" fontId="30" fillId="0" borderId="0" xfId="0" applyNumberFormat="1" applyFont="1"/>
    <xf numFmtId="4" fontId="30" fillId="0" borderId="0" xfId="0" applyNumberFormat="1" applyFont="1"/>
    <xf numFmtId="164" fontId="30" fillId="0" borderId="0" xfId="0" applyNumberFormat="1" applyFont="1"/>
    <xf numFmtId="164" fontId="30" fillId="0" borderId="6" xfId="0" applyNumberFormat="1" applyFont="1" applyBorder="1"/>
    <xf numFmtId="178" fontId="40" fillId="0" borderId="20" xfId="2" applyNumberFormat="1" applyFont="1" applyBorder="1"/>
    <xf numFmtId="0" fontId="40" fillId="0" borderId="19" xfId="0" applyFont="1" applyBorder="1"/>
    <xf numFmtId="0" fontId="40" fillId="0" borderId="21" xfId="0" applyFont="1" applyBorder="1" applyAlignment="1">
      <alignment horizontal="right"/>
    </xf>
    <xf numFmtId="164" fontId="39" fillId="0" borderId="0" xfId="0" applyNumberFormat="1" applyFont="1"/>
    <xf numFmtId="9" fontId="30" fillId="0" borderId="0" xfId="0" applyNumberFormat="1" applyFont="1"/>
    <xf numFmtId="0" fontId="30" fillId="0" borderId="7" xfId="0" applyFont="1" applyBorder="1"/>
    <xf numFmtId="0" fontId="30" fillId="0" borderId="8" xfId="0" applyFont="1" applyBorder="1"/>
    <xf numFmtId="0" fontId="30" fillId="0" borderId="9" xfId="0" applyFont="1" applyBorder="1"/>
    <xf numFmtId="0" fontId="30" fillId="0" borderId="10" xfId="0" applyFont="1" applyBorder="1"/>
    <xf numFmtId="14" fontId="30" fillId="0" borderId="0" xfId="0" applyNumberFormat="1" applyFont="1" applyAlignment="1">
      <alignment horizontal="right"/>
    </xf>
    <xf numFmtId="0" fontId="30" fillId="0" borderId="11" xfId="0" applyFont="1" applyBorder="1"/>
    <xf numFmtId="0" fontId="38" fillId="2" borderId="0" xfId="0" applyFont="1" applyFill="1"/>
    <xf numFmtId="0" fontId="29" fillId="2" borderId="0" xfId="0" applyFont="1" applyFill="1"/>
    <xf numFmtId="0" fontId="38" fillId="2" borderId="0" xfId="0" applyFont="1" applyFill="1" applyAlignment="1">
      <alignment horizontal="left"/>
    </xf>
    <xf numFmtId="0" fontId="39" fillId="0" borderId="0" xfId="0" applyFont="1" applyAlignment="1">
      <alignment horizontal="right"/>
    </xf>
    <xf numFmtId="3" fontId="30" fillId="0" borderId="0" xfId="0" applyNumberFormat="1" applyFont="1" applyAlignment="1">
      <alignment horizontal="left"/>
    </xf>
    <xf numFmtId="168" fontId="30" fillId="0" borderId="0" xfId="1" applyNumberFormat="1" applyFont="1" applyBorder="1" applyAlignment="1">
      <alignment horizontal="right"/>
    </xf>
    <xf numFmtId="0" fontId="30" fillId="0" borderId="0" xfId="0" applyFont="1" applyAlignment="1">
      <alignment horizontal="left"/>
    </xf>
    <xf numFmtId="175" fontId="30" fillId="0" borderId="0" xfId="1" applyNumberFormat="1" applyFont="1" applyBorder="1" applyAlignment="1">
      <alignment horizontal="right"/>
    </xf>
    <xf numFmtId="2" fontId="30" fillId="0" borderId="0" xfId="0" applyNumberFormat="1" applyFont="1"/>
    <xf numFmtId="174" fontId="30" fillId="0" borderId="0" xfId="2" applyNumberFormat="1" applyFont="1" applyBorder="1" applyAlignment="1">
      <alignment horizontal="right"/>
    </xf>
    <xf numFmtId="179" fontId="30" fillId="0" borderId="0" xfId="0" applyNumberFormat="1" applyFont="1"/>
    <xf numFmtId="180" fontId="30" fillId="0" borderId="0" xfId="0" applyNumberFormat="1" applyFont="1"/>
    <xf numFmtId="37" fontId="30" fillId="0" borderId="0" xfId="0" applyNumberFormat="1" applyFont="1" applyAlignment="1">
      <alignment vertical="top"/>
    </xf>
    <xf numFmtId="10" fontId="30" fillId="0" borderId="0" xfId="2" applyNumberFormat="1" applyFont="1" applyAlignment="1">
      <alignment horizontal="right"/>
    </xf>
    <xf numFmtId="16" fontId="30" fillId="0" borderId="0" xfId="0" applyNumberFormat="1" applyFont="1" applyAlignment="1">
      <alignment horizontal="left"/>
    </xf>
    <xf numFmtId="16" fontId="30" fillId="0" borderId="0" xfId="0" applyNumberFormat="1" applyFont="1" applyAlignment="1">
      <alignment horizontal="right"/>
    </xf>
    <xf numFmtId="0" fontId="46" fillId="0" borderId="0" xfId="0" applyFont="1" applyAlignment="1">
      <alignment horizontal="right"/>
    </xf>
    <xf numFmtId="175" fontId="47" fillId="0" borderId="0" xfId="0" applyNumberFormat="1" applyFont="1"/>
    <xf numFmtId="175" fontId="30" fillId="0" borderId="0" xfId="0" applyNumberFormat="1" applyFont="1"/>
    <xf numFmtId="0" fontId="30" fillId="2" borderId="0" xfId="0" applyFont="1" applyFill="1" applyAlignment="1">
      <alignment horizontal="centerContinuous"/>
    </xf>
    <xf numFmtId="0" fontId="30" fillId="0" borderId="0" xfId="0" applyFont="1" applyAlignment="1">
      <alignment horizontal="centerContinuous"/>
    </xf>
    <xf numFmtId="0" fontId="46" fillId="0" borderId="0" xfId="0" applyFont="1"/>
    <xf numFmtId="175" fontId="46" fillId="0" borderId="0" xfId="1" applyNumberFormat="1" applyFont="1"/>
    <xf numFmtId="0" fontId="30" fillId="0" borderId="13" xfId="0" applyFont="1" applyBorder="1"/>
    <xf numFmtId="0" fontId="30" fillId="0" borderId="12" xfId="0" applyFont="1" applyBorder="1"/>
    <xf numFmtId="0" fontId="48" fillId="0" borderId="0" xfId="0" applyFont="1" applyAlignment="1">
      <alignment horizontal="right"/>
    </xf>
    <xf numFmtId="178" fontId="30" fillId="0" borderId="0" xfId="0" applyNumberFormat="1" applyFont="1"/>
    <xf numFmtId="168" fontId="39" fillId="0" borderId="0" xfId="0" applyNumberFormat="1" applyFont="1" applyAlignment="1">
      <alignment horizontal="right"/>
    </xf>
    <xf numFmtId="0" fontId="9" fillId="0" borderId="0" xfId="12" applyFont="1"/>
    <xf numFmtId="0" fontId="14" fillId="0" borderId="0" xfId="12" applyFont="1" applyAlignment="1">
      <alignment horizontal="center"/>
    </xf>
    <xf numFmtId="0" fontId="14" fillId="0" borderId="0" xfId="12" applyFont="1" applyAlignment="1">
      <alignment horizontal="center" vertical="center"/>
    </xf>
    <xf numFmtId="0" fontId="17" fillId="0" borderId="0" xfId="12" applyFont="1" applyAlignment="1">
      <alignment horizontal="center" vertical="center"/>
    </xf>
    <xf numFmtId="0" fontId="17" fillId="0" borderId="0" xfId="12" applyFont="1" applyAlignment="1">
      <alignment horizontal="centerContinuous" vertical="center"/>
    </xf>
    <xf numFmtId="0" fontId="35" fillId="0" borderId="0" xfId="12" applyFont="1" applyAlignment="1">
      <alignment horizontal="center"/>
    </xf>
    <xf numFmtId="0" fontId="37" fillId="0" borderId="0" xfId="12" applyFont="1" applyAlignment="1">
      <alignment horizontal="center" vertical="center"/>
    </xf>
    <xf numFmtId="0" fontId="36" fillId="0" borderId="0" xfId="12" applyFont="1" applyAlignment="1">
      <alignment horizontal="center" vertical="center"/>
    </xf>
    <xf numFmtId="0" fontId="36" fillId="0" borderId="0" xfId="12" quotePrefix="1" applyFont="1" applyAlignment="1">
      <alignment horizontal="center" vertical="center"/>
    </xf>
    <xf numFmtId="0" fontId="35" fillId="0" borderId="0" xfId="12" applyFont="1" applyAlignment="1">
      <alignment horizontal="center" vertical="center"/>
    </xf>
    <xf numFmtId="0" fontId="14" fillId="0" borderId="0" xfId="12" applyFont="1"/>
    <xf numFmtId="37" fontId="14" fillId="0" borderId="0" xfId="12" applyNumberFormat="1" applyFont="1" applyAlignment="1">
      <alignment vertical="center"/>
    </xf>
    <xf numFmtId="168" fontId="14" fillId="0" borderId="0" xfId="12" applyNumberFormat="1" applyFont="1" applyAlignment="1">
      <alignment vertical="center"/>
    </xf>
    <xf numFmtId="182" fontId="14" fillId="0" borderId="0" xfId="12" applyNumberFormat="1" applyFont="1" applyAlignment="1">
      <alignment vertical="center"/>
    </xf>
    <xf numFmtId="0" fontId="14" fillId="0" borderId="0" xfId="12" applyFont="1" applyAlignment="1">
      <alignment vertical="center"/>
    </xf>
    <xf numFmtId="178" fontId="14" fillId="0" borderId="0" xfId="12" applyNumberFormat="1" applyFont="1" applyAlignment="1">
      <alignment vertical="center"/>
    </xf>
    <xf numFmtId="178" fontId="14" fillId="0" borderId="0" xfId="12" applyNumberFormat="1" applyFont="1" applyAlignment="1">
      <alignment horizontal="right" vertical="center"/>
    </xf>
    <xf numFmtId="174" fontId="14" fillId="0" borderId="0" xfId="2" applyNumberFormat="1" applyFont="1" applyAlignment="1">
      <alignment horizontal="right"/>
    </xf>
    <xf numFmtId="168" fontId="7" fillId="0" borderId="0" xfId="12" applyNumberFormat="1" applyFont="1" applyAlignment="1">
      <alignment vertical="center"/>
    </xf>
    <xf numFmtId="182" fontId="7" fillId="0" borderId="0" xfId="12" applyNumberFormat="1" applyFont="1"/>
    <xf numFmtId="37" fontId="13" fillId="0" borderId="0" xfId="12" applyNumberFormat="1" applyFont="1" applyAlignment="1">
      <alignment vertical="center"/>
    </xf>
    <xf numFmtId="168" fontId="13" fillId="0" borderId="0" xfId="12" applyNumberFormat="1" applyFont="1" applyAlignment="1">
      <alignment vertical="center"/>
    </xf>
    <xf numFmtId="0" fontId="7" fillId="0" borderId="0" xfId="12" applyFont="1" applyAlignment="1">
      <alignment vertical="center"/>
    </xf>
    <xf numFmtId="178" fontId="7" fillId="0" borderId="0" xfId="12" applyNumberFormat="1" applyFont="1" applyAlignment="1">
      <alignment vertical="center"/>
    </xf>
    <xf numFmtId="182" fontId="14" fillId="0" borderId="0" xfId="12" applyNumberFormat="1" applyFont="1"/>
    <xf numFmtId="168" fontId="14" fillId="0" borderId="0" xfId="12" applyNumberFormat="1" applyFont="1"/>
    <xf numFmtId="0" fontId="8" fillId="5" borderId="0" xfId="0" applyFont="1" applyFill="1"/>
    <xf numFmtId="0" fontId="8" fillId="5" borderId="0" xfId="0" applyFont="1" applyFill="1" applyAlignment="1">
      <alignment horizontal="center"/>
    </xf>
    <xf numFmtId="164" fontId="0" fillId="0" borderId="0" xfId="0" applyNumberFormat="1" applyAlignment="1">
      <alignment horizontal="right"/>
    </xf>
    <xf numFmtId="164" fontId="8" fillId="5" borderId="0" xfId="0" applyNumberFormat="1" applyFont="1" applyFill="1" applyAlignment="1">
      <alignment horizontal="right"/>
    </xf>
    <xf numFmtId="0" fontId="0" fillId="0" borderId="0" xfId="0" applyAlignment="1">
      <alignment horizontal="right"/>
    </xf>
    <xf numFmtId="0" fontId="8" fillId="5" borderId="0" xfId="0" applyFont="1" applyFill="1" applyAlignment="1">
      <alignment horizontal="right"/>
    </xf>
    <xf numFmtId="164" fontId="9" fillId="0" borderId="0" xfId="0" applyNumberFormat="1" applyFont="1" applyAlignment="1">
      <alignment horizontal="right"/>
    </xf>
    <xf numFmtId="178" fontId="9" fillId="0" borderId="0" xfId="0" applyNumberFormat="1" applyFont="1" applyAlignment="1">
      <alignment horizontal="right"/>
    </xf>
    <xf numFmtId="0" fontId="9" fillId="8" borderId="0" xfId="0" applyFont="1" applyFill="1"/>
    <xf numFmtId="164" fontId="9" fillId="8" borderId="0" xfId="0" applyNumberFormat="1" applyFont="1" applyFill="1" applyAlignment="1">
      <alignment horizontal="right"/>
    </xf>
    <xf numFmtId="178" fontId="9" fillId="8" borderId="0" xfId="0" applyNumberFormat="1" applyFont="1" applyFill="1" applyAlignment="1">
      <alignment horizontal="right"/>
    </xf>
    <xf numFmtId="37" fontId="42" fillId="0" borderId="0" xfId="4" applyNumberFormat="1" applyFont="1" applyAlignment="1">
      <alignment horizontal="left"/>
    </xf>
    <xf numFmtId="0" fontId="50" fillId="0" borderId="0" xfId="27"/>
    <xf numFmtId="0" fontId="39" fillId="0" borderId="22" xfId="0" applyFont="1" applyBorder="1"/>
    <xf numFmtId="174" fontId="39" fillId="0" borderId="22" xfId="4" applyNumberFormat="1" applyFont="1" applyBorder="1" applyAlignment="1">
      <alignment horizontal="right"/>
    </xf>
    <xf numFmtId="174" fontId="39" fillId="0" borderId="6" xfId="4" applyNumberFormat="1" applyFont="1" applyBorder="1" applyAlignment="1">
      <alignment horizontal="right"/>
    </xf>
    <xf numFmtId="174" fontId="7" fillId="6" borderId="0" xfId="2" applyNumberFormat="1" applyFont="1" applyFill="1"/>
    <xf numFmtId="0" fontId="39" fillId="0" borderId="0" xfId="0" applyFont="1" applyAlignment="1">
      <alignment horizontal="center"/>
    </xf>
    <xf numFmtId="174" fontId="40" fillId="0" borderId="0" xfId="2" applyNumberFormat="1" applyFont="1" applyFill="1" applyBorder="1"/>
    <xf numFmtId="174" fontId="40" fillId="0" borderId="15" xfId="2" applyNumberFormat="1" applyFont="1" applyBorder="1"/>
    <xf numFmtId="9" fontId="13" fillId="0" borderId="0" xfId="2" applyFont="1" applyFill="1" applyBorder="1"/>
    <xf numFmtId="3" fontId="14" fillId="0" borderId="6" xfId="0" applyNumberFormat="1" applyFont="1" applyBorder="1"/>
    <xf numFmtId="39" fontId="0" fillId="0" borderId="0" xfId="0" applyNumberFormat="1"/>
    <xf numFmtId="37" fontId="0" fillId="0" borderId="0" xfId="0" applyNumberFormat="1" applyAlignment="1">
      <alignment horizontal="right"/>
    </xf>
    <xf numFmtId="175" fontId="0" fillId="0" borderId="0" xfId="1" applyNumberFormat="1" applyFont="1" applyFill="1" applyBorder="1"/>
    <xf numFmtId="0" fontId="17" fillId="0" borderId="0" xfId="0" applyFont="1" applyAlignment="1">
      <alignment horizontal="center"/>
    </xf>
    <xf numFmtId="170" fontId="0" fillId="0" borderId="0" xfId="1" applyFont="1" applyAlignment="1">
      <alignment horizontal="right"/>
    </xf>
    <xf numFmtId="189" fontId="13" fillId="0" borderId="15" xfId="1" applyNumberFormat="1" applyFont="1" applyFill="1" applyBorder="1"/>
    <xf numFmtId="0" fontId="2" fillId="0" borderId="0" xfId="29"/>
    <xf numFmtId="37" fontId="29" fillId="2" borderId="0" xfId="29" applyNumberFormat="1" applyFont="1" applyFill="1" applyAlignment="1">
      <alignment vertical="top"/>
    </xf>
    <xf numFmtId="0" fontId="31" fillId="2" borderId="0" xfId="29" applyFont="1" applyFill="1" applyAlignment="1">
      <alignment horizontal="left" vertical="center" readingOrder="1"/>
    </xf>
    <xf numFmtId="37" fontId="32" fillId="2" borderId="0" xfId="29" applyNumberFormat="1" applyFont="1" applyFill="1" applyAlignment="1">
      <alignment vertical="top"/>
    </xf>
    <xf numFmtId="37" fontId="21" fillId="2" borderId="0" xfId="29" applyNumberFormat="1" applyFont="1" applyFill="1" applyAlignment="1">
      <alignment vertical="top"/>
    </xf>
    <xf numFmtId="0" fontId="7" fillId="0" borderId="0" xfId="29" applyFont="1"/>
    <xf numFmtId="0" fontId="9" fillId="0" borderId="0" xfId="29" applyFont="1"/>
    <xf numFmtId="0" fontId="33" fillId="0" borderId="0" xfId="15" applyFont="1" applyAlignment="1">
      <alignment horizontal="centerContinuous"/>
    </xf>
    <xf numFmtId="0" fontId="14" fillId="0" borderId="0" xfId="29" applyFont="1" applyAlignment="1">
      <alignment horizontal="center"/>
    </xf>
    <xf numFmtId="0" fontId="17" fillId="0" borderId="0" xfId="29" applyFont="1" applyAlignment="1">
      <alignment horizontal="center" vertical="center"/>
    </xf>
    <xf numFmtId="0" fontId="33" fillId="0" borderId="0" xfId="15" applyFont="1" applyAlignment="1">
      <alignment horizontal="left"/>
    </xf>
    <xf numFmtId="0" fontId="33" fillId="0" borderId="0" xfId="15" applyFont="1" applyAlignment="1">
      <alignment horizontal="center"/>
    </xf>
    <xf numFmtId="0" fontId="35" fillId="0" borderId="0" xfId="29" applyFont="1" applyAlignment="1">
      <alignment horizontal="center"/>
    </xf>
    <xf numFmtId="0" fontId="36" fillId="0" borderId="0" xfId="29" applyFont="1" applyAlignment="1">
      <alignment horizontal="center" vertical="center"/>
    </xf>
    <xf numFmtId="0" fontId="14" fillId="0" borderId="0" xfId="29" applyFont="1" applyAlignment="1">
      <alignment vertical="center"/>
    </xf>
    <xf numFmtId="164" fontId="14" fillId="0" borderId="0" xfId="29" applyNumberFormat="1" applyFont="1" applyAlignment="1">
      <alignment vertical="center"/>
    </xf>
    <xf numFmtId="178" fontId="14" fillId="0" borderId="0" xfId="29" applyNumberFormat="1" applyFont="1" applyAlignment="1">
      <alignment vertical="center"/>
    </xf>
    <xf numFmtId="37" fontId="10" fillId="2" borderId="0" xfId="29" applyNumberFormat="1" applyFont="1" applyFill="1" applyAlignment="1">
      <alignment vertical="top"/>
    </xf>
    <xf numFmtId="37" fontId="12" fillId="2" borderId="0" xfId="29" applyNumberFormat="1" applyFont="1" applyFill="1" applyAlignment="1">
      <alignment vertical="top"/>
    </xf>
    <xf numFmtId="0" fontId="17" fillId="0" borderId="0" xfId="15" applyFont="1" applyAlignment="1">
      <alignment horizontal="center"/>
    </xf>
    <xf numFmtId="0" fontId="9" fillId="0" borderId="0" xfId="29" applyFont="1" applyAlignment="1">
      <alignment horizontal="center"/>
    </xf>
    <xf numFmtId="0" fontId="17" fillId="0" borderId="0" xfId="29" applyFont="1" applyAlignment="1">
      <alignment horizontal="left" vertical="center"/>
    </xf>
    <xf numFmtId="0" fontId="14" fillId="0" borderId="0" xfId="29" applyFont="1" applyAlignment="1">
      <alignment horizontal="center" vertical="center"/>
    </xf>
    <xf numFmtId="15" fontId="14" fillId="0" borderId="0" xfId="29" applyNumberFormat="1" applyFont="1" applyAlignment="1">
      <alignment horizontal="left" vertical="center"/>
    </xf>
    <xf numFmtId="0" fontId="14" fillId="0" borderId="0" xfId="29" applyFont="1" applyAlignment="1">
      <alignment horizontal="left"/>
    </xf>
    <xf numFmtId="0" fontId="13" fillId="0" borderId="0" xfId="29" applyFont="1" applyAlignment="1">
      <alignment horizontal="left"/>
    </xf>
    <xf numFmtId="178" fontId="30" fillId="0" borderId="0" xfId="2" applyNumberFormat="1" applyFont="1" applyBorder="1"/>
    <xf numFmtId="9" fontId="53" fillId="0" borderId="23" xfId="2" applyFont="1" applyBorder="1"/>
    <xf numFmtId="174" fontId="14" fillId="0" borderId="0" xfId="0" applyNumberFormat="1" applyFont="1" applyAlignment="1">
      <alignment horizontal="right"/>
    </xf>
    <xf numFmtId="0" fontId="7" fillId="0" borderId="0" xfId="0" applyFont="1" applyAlignment="1">
      <alignment vertical="center"/>
    </xf>
    <xf numFmtId="175" fontId="14" fillId="0" borderId="24" xfId="1" applyNumberFormat="1" applyFont="1" applyBorder="1"/>
    <xf numFmtId="175" fontId="14" fillId="0" borderId="1" xfId="1" applyNumberFormat="1" applyFont="1" applyBorder="1"/>
    <xf numFmtId="0" fontId="11" fillId="2" borderId="0" xfId="1" applyNumberFormat="1" applyFont="1" applyFill="1" applyProtection="1">
      <protection locked="0"/>
    </xf>
    <xf numFmtId="173" fontId="8" fillId="5" borderId="0" xfId="0" applyNumberFormat="1" applyFont="1" applyFill="1"/>
    <xf numFmtId="173" fontId="8" fillId="2" borderId="0" xfId="0" applyNumberFormat="1" applyFont="1" applyFill="1"/>
    <xf numFmtId="174" fontId="13" fillId="0" borderId="0" xfId="2" applyNumberFormat="1" applyFont="1"/>
    <xf numFmtId="9" fontId="7" fillId="0" borderId="0" xfId="2"/>
    <xf numFmtId="37" fontId="13" fillId="0" borderId="4" xfId="0" applyNumberFormat="1" applyFont="1" applyBorder="1"/>
    <xf numFmtId="0" fontId="54" fillId="0" borderId="0" xfId="0" applyFont="1"/>
    <xf numFmtId="192" fontId="54" fillId="0" borderId="0" xfId="0" applyNumberFormat="1" applyFont="1"/>
    <xf numFmtId="0" fontId="8" fillId="0" borderId="0" xfId="0" applyFont="1" applyAlignment="1">
      <alignment horizontal="center"/>
    </xf>
    <xf numFmtId="194" fontId="55" fillId="0" borderId="0" xfId="35" applyNumberFormat="1"/>
    <xf numFmtId="0" fontId="38" fillId="2" borderId="0" xfId="0" applyFont="1" applyFill="1" applyAlignment="1">
      <alignment horizontal="centerContinuous"/>
    </xf>
    <xf numFmtId="0" fontId="8" fillId="0" borderId="0" xfId="0" applyFont="1"/>
    <xf numFmtId="0" fontId="0" fillId="0" borderId="0" xfId="0" applyAlignment="1">
      <alignment horizontal="left" indent="4"/>
    </xf>
    <xf numFmtId="173" fontId="8" fillId="2" borderId="0" xfId="0" applyNumberFormat="1" applyFont="1" applyFill="1" applyAlignment="1">
      <alignment horizontal="right"/>
    </xf>
    <xf numFmtId="195" fontId="0" fillId="0" borderId="0" xfId="0" applyNumberFormat="1"/>
    <xf numFmtId="174" fontId="13" fillId="0" borderId="0" xfId="2" applyNumberFormat="1" applyFont="1" applyFill="1"/>
    <xf numFmtId="9" fontId="7" fillId="0" borderId="6" xfId="2" applyBorder="1"/>
    <xf numFmtId="178" fontId="0" fillId="0" borderId="0" xfId="0" applyNumberFormat="1" applyAlignment="1">
      <alignment horizontal="center"/>
    </xf>
    <xf numFmtId="178" fontId="0" fillId="0" borderId="0" xfId="0" applyNumberFormat="1" applyAlignment="1">
      <alignment horizontal="right"/>
    </xf>
    <xf numFmtId="0" fontId="38" fillId="0" borderId="0" xfId="0" applyFont="1"/>
    <xf numFmtId="174" fontId="40" fillId="0" borderId="0" xfId="2" applyNumberFormat="1" applyFont="1" applyBorder="1" applyAlignment="1">
      <alignment horizontal="right"/>
    </xf>
    <xf numFmtId="174" fontId="40" fillId="0" borderId="6" xfId="2" applyNumberFormat="1" applyFont="1" applyBorder="1" applyAlignment="1">
      <alignment horizontal="right"/>
    </xf>
    <xf numFmtId="184" fontId="0" fillId="0" borderId="0" xfId="3" applyNumberFormat="1" applyFont="1" applyBorder="1" applyAlignment="1"/>
    <xf numFmtId="178" fontId="56" fillId="0" borderId="25" xfId="2" applyNumberFormat="1" applyFont="1" applyBorder="1"/>
    <xf numFmtId="174" fontId="56" fillId="0" borderId="25" xfId="2" applyNumberFormat="1" applyFont="1" applyBorder="1"/>
    <xf numFmtId="0" fontId="0" fillId="0" borderId="0" xfId="0" applyAlignment="1">
      <alignment vertical="center"/>
    </xf>
    <xf numFmtId="0" fontId="38" fillId="0" borderId="0" xfId="0" applyFont="1" applyAlignment="1">
      <alignment horizontal="left"/>
    </xf>
    <xf numFmtId="0" fontId="30" fillId="0" borderId="1" xfId="0" applyFont="1" applyBorder="1"/>
    <xf numFmtId="0" fontId="39" fillId="0" borderId="5" xfId="0" applyFont="1" applyBorder="1"/>
    <xf numFmtId="172" fontId="9" fillId="0" borderId="6" xfId="0" applyNumberFormat="1" applyFont="1" applyBorder="1" applyAlignment="1">
      <alignment horizontal="center"/>
    </xf>
    <xf numFmtId="0" fontId="0" fillId="0" borderId="27" xfId="0" applyBorder="1"/>
    <xf numFmtId="0" fontId="0" fillId="0" borderId="23" xfId="0" applyBorder="1"/>
    <xf numFmtId="174" fontId="16" fillId="0" borderId="0" xfId="0" applyNumberFormat="1" applyFont="1"/>
    <xf numFmtId="175" fontId="14" fillId="0" borderId="26" xfId="1" applyNumberFormat="1" applyFont="1" applyBorder="1"/>
    <xf numFmtId="175" fontId="0" fillId="0" borderId="0" xfId="1" applyNumberFormat="1" applyFont="1" applyBorder="1"/>
    <xf numFmtId="175" fontId="0" fillId="6" borderId="0" xfId="1" applyNumberFormat="1" applyFont="1" applyFill="1" applyBorder="1"/>
    <xf numFmtId="175" fontId="0" fillId="0" borderId="23" xfId="1" applyNumberFormat="1" applyFont="1" applyBorder="1"/>
    <xf numFmtId="175" fontId="0" fillId="8" borderId="0" xfId="1" applyNumberFormat="1" applyFont="1" applyFill="1" applyBorder="1"/>
    <xf numFmtId="0" fontId="30" fillId="0" borderId="27" xfId="0" applyFont="1" applyBorder="1"/>
    <xf numFmtId="0" fontId="30" fillId="0" borderId="23" xfId="0" applyFont="1" applyBorder="1"/>
    <xf numFmtId="174" fontId="56" fillId="0" borderId="28" xfId="2" applyNumberFormat="1" applyFont="1" applyBorder="1"/>
    <xf numFmtId="0" fontId="30" fillId="0" borderId="29" xfId="0" applyFont="1" applyBorder="1"/>
    <xf numFmtId="0" fontId="30" fillId="0" borderId="30" xfId="0" applyFont="1" applyBorder="1"/>
    <xf numFmtId="0" fontId="9" fillId="6" borderId="0" xfId="0" applyFont="1" applyFill="1" applyAlignment="1">
      <alignment horizontal="centerContinuous"/>
    </xf>
    <xf numFmtId="0" fontId="0" fillId="6" borderId="0" xfId="0" applyFill="1" applyAlignment="1">
      <alignment horizontal="centerContinuous"/>
    </xf>
    <xf numFmtId="0" fontId="0" fillId="6" borderId="23" xfId="0" applyFill="1" applyBorder="1" applyAlignment="1">
      <alignment horizontal="centerContinuous"/>
    </xf>
    <xf numFmtId="0" fontId="39" fillId="0" borderId="1" xfId="0" applyFont="1" applyBorder="1"/>
    <xf numFmtId="0" fontId="8" fillId="0" borderId="0" xfId="0" applyFont="1" applyAlignment="1">
      <alignment horizontal="center" wrapText="1"/>
    </xf>
    <xf numFmtId="193" fontId="14" fillId="0" borderId="0" xfId="1" applyNumberFormat="1" applyFont="1" applyFill="1" applyBorder="1"/>
    <xf numFmtId="0" fontId="39" fillId="11" borderId="0" xfId="0" applyFont="1" applyFill="1"/>
    <xf numFmtId="175" fontId="0" fillId="0" borderId="0" xfId="0" applyNumberFormat="1" applyAlignment="1">
      <alignment horizontal="right"/>
    </xf>
    <xf numFmtId="175" fontId="14" fillId="0" borderId="0" xfId="1" applyNumberFormat="1" applyFont="1" applyFill="1" applyAlignment="1">
      <alignment horizontal="center"/>
    </xf>
    <xf numFmtId="0" fontId="14" fillId="0" borderId="0" xfId="0" applyFont="1" applyAlignment="1">
      <alignment horizontal="right"/>
    </xf>
    <xf numFmtId="175" fontId="14" fillId="0" borderId="0" xfId="1" applyNumberFormat="1" applyFont="1"/>
    <xf numFmtId="0" fontId="8" fillId="2" borderId="0" xfId="0" applyFont="1" applyFill="1" applyAlignment="1">
      <alignment horizontal="centerContinuous" vertical="center"/>
    </xf>
    <xf numFmtId="0" fontId="8" fillId="2" borderId="0" xfId="0" applyFont="1" applyFill="1" applyAlignment="1">
      <alignment horizontal="left" vertical="center"/>
    </xf>
    <xf numFmtId="0" fontId="7" fillId="0" borderId="6" xfId="0" applyFont="1" applyBorder="1" applyAlignment="1">
      <alignment horizontal="centerContinuous" vertical="center"/>
    </xf>
    <xf numFmtId="0" fontId="30" fillId="0" borderId="6" xfId="0" applyFont="1" applyBorder="1" applyAlignment="1">
      <alignment horizontal="centerContinuous"/>
    </xf>
    <xf numFmtId="164" fontId="9" fillId="0" borderId="1" xfId="0" applyNumberFormat="1" applyFont="1" applyBorder="1" applyAlignment="1">
      <alignment horizontal="right"/>
    </xf>
    <xf numFmtId="0" fontId="0" fillId="12" borderId="0" xfId="0" applyFill="1"/>
    <xf numFmtId="164" fontId="0" fillId="12" borderId="0" xfId="0" applyNumberFormat="1" applyFill="1" applyAlignment="1">
      <alignment horizontal="right"/>
    </xf>
    <xf numFmtId="178" fontId="0" fillId="12" borderId="0" xfId="0" applyNumberFormat="1" applyFill="1" applyAlignment="1">
      <alignment horizontal="right"/>
    </xf>
    <xf numFmtId="0" fontId="9" fillId="8" borderId="1" xfId="0" applyFont="1" applyFill="1" applyBorder="1"/>
    <xf numFmtId="164" fontId="9" fillId="8" borderId="1" xfId="0" applyNumberFormat="1" applyFont="1" applyFill="1" applyBorder="1" applyAlignment="1">
      <alignment horizontal="right"/>
    </xf>
    <xf numFmtId="178" fontId="9" fillId="8" borderId="1" xfId="0" applyNumberFormat="1" applyFont="1" applyFill="1" applyBorder="1" applyAlignment="1">
      <alignment horizontal="right"/>
    </xf>
    <xf numFmtId="174" fontId="30" fillId="0" borderId="0" xfId="2" applyNumberFormat="1" applyFont="1" applyFill="1"/>
    <xf numFmtId="174" fontId="30" fillId="0" borderId="0" xfId="2" applyNumberFormat="1" applyFont="1" applyFill="1" applyAlignment="1">
      <alignment horizontal="right"/>
    </xf>
    <xf numFmtId="174" fontId="18" fillId="0" borderId="0" xfId="2" applyNumberFormat="1" applyFont="1" applyFill="1"/>
    <xf numFmtId="0" fontId="9" fillId="13" borderId="0" xfId="0" applyFont="1" applyFill="1"/>
    <xf numFmtId="37" fontId="0" fillId="13" borderId="0" xfId="0" applyNumberFormat="1" applyFill="1"/>
    <xf numFmtId="0" fontId="17" fillId="0" borderId="0" xfId="12" applyFont="1"/>
    <xf numFmtId="0" fontId="14" fillId="0" borderId="0" xfId="12" applyFont="1" applyAlignment="1">
      <alignment horizontal="left"/>
    </xf>
    <xf numFmtId="0" fontId="14" fillId="0" borderId="1" xfId="12" applyFont="1" applyBorder="1" applyAlignment="1">
      <alignment horizontal="left"/>
    </xf>
    <xf numFmtId="196" fontId="14" fillId="0" borderId="0" xfId="1" applyNumberFormat="1" applyFont="1" applyFill="1" applyBorder="1" applyAlignment="1">
      <alignment horizontal="right"/>
    </xf>
    <xf numFmtId="0" fontId="9" fillId="6" borderId="0" xfId="12" applyFont="1" applyFill="1"/>
    <xf numFmtId="0" fontId="7" fillId="6" borderId="0" xfId="12" applyFont="1" applyFill="1"/>
    <xf numFmtId="196" fontId="7" fillId="0" borderId="0" xfId="12" applyNumberFormat="1" applyFont="1"/>
    <xf numFmtId="175" fontId="14" fillId="0" borderId="0" xfId="1" applyNumberFormat="1" applyFont="1" applyFill="1" applyBorder="1" applyAlignment="1">
      <alignment horizontal="right"/>
    </xf>
    <xf numFmtId="196" fontId="7" fillId="0" borderId="1" xfId="12" applyNumberFormat="1" applyFont="1" applyBorder="1"/>
    <xf numFmtId="0" fontId="8" fillId="4" borderId="31" xfId="0" applyFont="1" applyFill="1" applyBorder="1"/>
    <xf numFmtId="0" fontId="0" fillId="4" borderId="32" xfId="0" applyFill="1" applyBorder="1"/>
    <xf numFmtId="0" fontId="0" fillId="4" borderId="33" xfId="0" applyFill="1" applyBorder="1"/>
    <xf numFmtId="196" fontId="9" fillId="0" borderId="0" xfId="12" applyNumberFormat="1" applyFont="1"/>
    <xf numFmtId="196" fontId="9" fillId="0" borderId="1" xfId="12" applyNumberFormat="1" applyFont="1" applyBorder="1"/>
    <xf numFmtId="196" fontId="17" fillId="0" borderId="6" xfId="12" applyNumberFormat="1" applyFont="1" applyBorder="1"/>
    <xf numFmtId="196" fontId="7" fillId="0" borderId="6" xfId="12" applyNumberFormat="1" applyFont="1" applyBorder="1"/>
    <xf numFmtId="0" fontId="17" fillId="0" borderId="0" xfId="12" applyFont="1" applyAlignment="1">
      <alignment horizontal="left"/>
    </xf>
    <xf numFmtId="3" fontId="17" fillId="0" borderId="0" xfId="0" applyNumberFormat="1" applyFont="1"/>
    <xf numFmtId="37" fontId="9" fillId="13" borderId="0" xfId="0" applyNumberFormat="1" applyFont="1" applyFill="1"/>
    <xf numFmtId="196" fontId="0" fillId="0" borderId="0" xfId="12" applyNumberFormat="1" applyFont="1"/>
    <xf numFmtId="0" fontId="17" fillId="0" borderId="1" xfId="12" applyFont="1" applyBorder="1"/>
    <xf numFmtId="174" fontId="39" fillId="0" borderId="25" xfId="2" applyNumberFormat="1" applyFont="1" applyBorder="1"/>
    <xf numFmtId="178" fontId="39" fillId="0" borderId="25" xfId="2" applyNumberFormat="1" applyFont="1" applyBorder="1"/>
    <xf numFmtId="9" fontId="9" fillId="0" borderId="23" xfId="2" applyFont="1" applyBorder="1"/>
    <xf numFmtId="196" fontId="17" fillId="0" borderId="0" xfId="12" applyNumberFormat="1" applyFont="1"/>
    <xf numFmtId="10" fontId="14" fillId="0" borderId="0" xfId="2" applyNumberFormat="1" applyFont="1" applyFill="1" applyBorder="1" applyAlignment="1">
      <alignment horizontal="right"/>
    </xf>
    <xf numFmtId="175" fontId="46" fillId="0" borderId="0" xfId="1" applyNumberFormat="1" applyFont="1" applyFill="1"/>
    <xf numFmtId="0" fontId="46" fillId="0" borderId="0" xfId="0" quotePrefix="1" applyFont="1"/>
    <xf numFmtId="164" fontId="0" fillId="0" borderId="0" xfId="0" applyNumberFormat="1"/>
    <xf numFmtId="1" fontId="9" fillId="0" borderId="0" xfId="0" applyNumberFormat="1" applyFont="1" applyAlignment="1">
      <alignment horizontal="right"/>
    </xf>
    <xf numFmtId="1" fontId="0" fillId="0" borderId="0" xfId="0" applyNumberFormat="1"/>
    <xf numFmtId="178" fontId="56" fillId="0" borderId="28" xfId="2" applyNumberFormat="1" applyFont="1" applyBorder="1"/>
    <xf numFmtId="0" fontId="9" fillId="0" borderId="0" xfId="0" applyFont="1" applyAlignment="1">
      <alignment horizontal="centerContinuous"/>
    </xf>
    <xf numFmtId="168" fontId="30" fillId="0" borderId="0" xfId="0" applyNumberFormat="1" applyFont="1"/>
    <xf numFmtId="14" fontId="9" fillId="0" borderId="0" xfId="0" applyNumberFormat="1" applyFont="1" applyAlignment="1">
      <alignment horizontal="right"/>
    </xf>
    <xf numFmtId="196" fontId="14" fillId="0" borderId="0" xfId="1" applyNumberFormat="1" applyFont="1" applyFill="1" applyBorder="1"/>
    <xf numFmtId="196" fontId="14" fillId="0" borderId="1" xfId="1" applyNumberFormat="1" applyFont="1" applyFill="1" applyBorder="1"/>
    <xf numFmtId="196" fontId="14" fillId="0" borderId="5" xfId="1" applyNumberFormat="1" applyFont="1" applyFill="1" applyBorder="1"/>
    <xf numFmtId="196" fontId="17" fillId="0" borderId="0" xfId="1" applyNumberFormat="1" applyFont="1" applyFill="1" applyBorder="1"/>
    <xf numFmtId="196" fontId="17" fillId="0" borderId="1" xfId="1" applyNumberFormat="1" applyFont="1" applyFill="1" applyBorder="1"/>
    <xf numFmtId="164" fontId="39" fillId="0" borderId="1" xfId="0" applyNumberFormat="1" applyFont="1" applyBorder="1"/>
    <xf numFmtId="196" fontId="17" fillId="0" borderId="2" xfId="1" applyNumberFormat="1" applyFont="1" applyFill="1" applyBorder="1"/>
    <xf numFmtId="170" fontId="9" fillId="0" borderId="1" xfId="1" applyFont="1" applyFill="1" applyBorder="1"/>
    <xf numFmtId="0" fontId="41" fillId="0" borderId="1" xfId="4" applyFont="1" applyBorder="1"/>
    <xf numFmtId="0" fontId="59" fillId="2" borderId="0" xfId="9" applyFont="1" applyFill="1" applyAlignment="1">
      <alignment horizontal="center"/>
    </xf>
    <xf numFmtId="0" fontId="59" fillId="2" borderId="0" xfId="9" applyFont="1" applyFill="1" applyAlignment="1">
      <alignment horizontal="center" wrapText="1"/>
    </xf>
    <xf numFmtId="0" fontId="17" fillId="8" borderId="0" xfId="0" applyFont="1" applyFill="1"/>
    <xf numFmtId="168" fontId="17" fillId="8" borderId="0" xfId="1" applyNumberFormat="1" applyFont="1" applyFill="1" applyBorder="1" applyAlignment="1">
      <alignment wrapText="1"/>
    </xf>
    <xf numFmtId="168" fontId="17" fillId="0" borderId="0" xfId="1" applyNumberFormat="1" applyFont="1" applyFill="1" applyBorder="1" applyAlignment="1">
      <alignment wrapText="1"/>
    </xf>
    <xf numFmtId="0" fontId="60" fillId="0" borderId="0" xfId="9" applyFont="1" applyAlignment="1">
      <alignment horizontal="centerContinuous" vertical="center"/>
    </xf>
    <xf numFmtId="0" fontId="17" fillId="0" borderId="0" xfId="9" applyFont="1">
      <alignment vertical="center"/>
    </xf>
    <xf numFmtId="0" fontId="61" fillId="2" borderId="0" xfId="9" applyFont="1" applyFill="1">
      <alignment vertical="center"/>
    </xf>
    <xf numFmtId="0" fontId="61" fillId="0" borderId="0" xfId="9" applyFont="1">
      <alignment vertical="center"/>
    </xf>
    <xf numFmtId="0" fontId="61" fillId="0" borderId="0" xfId="9" applyFont="1" applyAlignment="1">
      <alignment horizontal="centerContinuous" vertical="center"/>
    </xf>
    <xf numFmtId="0" fontId="60" fillId="0" borderId="0" xfId="9" applyFont="1" applyAlignment="1">
      <alignment horizontal="center" vertical="center"/>
    </xf>
    <xf numFmtId="0" fontId="61" fillId="0" borderId="0" xfId="9" applyFont="1" applyAlignment="1">
      <alignment horizontal="center" vertical="center"/>
    </xf>
    <xf numFmtId="175" fontId="62" fillId="0" borderId="0" xfId="1" applyNumberFormat="1" applyFont="1" applyFill="1" applyAlignment="1">
      <alignment vertical="center"/>
    </xf>
    <xf numFmtId="175" fontId="61" fillId="0" borderId="0" xfId="1" applyNumberFormat="1" applyFont="1" applyFill="1" applyAlignment="1">
      <alignment vertical="center"/>
    </xf>
    <xf numFmtId="175" fontId="61" fillId="0" borderId="0" xfId="1" applyNumberFormat="1" applyFont="1" applyAlignment="1">
      <alignment vertical="center"/>
    </xf>
    <xf numFmtId="181" fontId="14" fillId="0" borderId="0" xfId="9" applyNumberFormat="1" applyFont="1" applyAlignment="1">
      <alignment horizontal="left" vertical="center"/>
    </xf>
    <xf numFmtId="184" fontId="13" fillId="0" borderId="0" xfId="3" applyNumberFormat="1" applyFont="1" applyAlignment="1">
      <alignment horizontal="left" vertical="center"/>
    </xf>
    <xf numFmtId="181" fontId="14" fillId="0" borderId="0" xfId="36" applyNumberFormat="1" applyFont="1" applyAlignment="1">
      <alignment horizontal="left"/>
    </xf>
    <xf numFmtId="0" fontId="7" fillId="2" borderId="23" xfId="12" applyFont="1" applyFill="1" applyBorder="1"/>
    <xf numFmtId="0" fontId="16" fillId="2" borderId="23" xfId="12" applyFont="1" applyFill="1" applyBorder="1"/>
    <xf numFmtId="196" fontId="30" fillId="0" borderId="0" xfId="1" applyNumberFormat="1" applyFont="1" applyFill="1" applyBorder="1"/>
    <xf numFmtId="170" fontId="30" fillId="0" borderId="0" xfId="1" applyFont="1"/>
    <xf numFmtId="175" fontId="30" fillId="0" borderId="0" xfId="1" applyNumberFormat="1" applyFont="1"/>
    <xf numFmtId="175" fontId="63" fillId="0" borderId="0" xfId="1" applyNumberFormat="1" applyFont="1"/>
    <xf numFmtId="0" fontId="44" fillId="0" borderId="6" xfId="0" applyFont="1" applyBorder="1" applyAlignment="1">
      <alignment horizontal="centerContinuous" vertical="top"/>
    </xf>
    <xf numFmtId="0" fontId="39" fillId="0" borderId="6" xfId="0" applyFont="1" applyBorder="1" applyAlignment="1">
      <alignment horizontal="centerContinuous" vertical="top"/>
    </xf>
    <xf numFmtId="0" fontId="9" fillId="0" borderId="5" xfId="0" applyFont="1" applyBorder="1"/>
    <xf numFmtId="164" fontId="9" fillId="0" borderId="5" xfId="0" applyNumberFormat="1" applyFont="1" applyBorder="1" applyAlignment="1">
      <alignment horizontal="right"/>
    </xf>
    <xf numFmtId="164" fontId="0" fillId="0" borderId="1" xfId="0" applyNumberFormat="1" applyBorder="1" applyAlignment="1">
      <alignment horizontal="right"/>
    </xf>
    <xf numFmtId="175" fontId="0" fillId="0" borderId="0" xfId="1" applyNumberFormat="1" applyFont="1" applyFill="1" applyAlignment="1">
      <alignment horizontal="right"/>
    </xf>
    <xf numFmtId="10" fontId="30" fillId="0" borderId="0" xfId="0" applyNumberFormat="1" applyFont="1"/>
    <xf numFmtId="174" fontId="30" fillId="0" borderId="0" xfId="0" applyNumberFormat="1" applyFont="1"/>
    <xf numFmtId="174" fontId="65" fillId="0" borderId="0" xfId="2" applyNumberFormat="1" applyFont="1" applyAlignment="1">
      <alignment horizontal="right"/>
    </xf>
    <xf numFmtId="196" fontId="65" fillId="0" borderId="0" xfId="1" applyNumberFormat="1" applyFont="1" applyFill="1" applyBorder="1"/>
    <xf numFmtId="37" fontId="65" fillId="0" borderId="0" xfId="0" applyNumberFormat="1" applyFont="1"/>
    <xf numFmtId="196" fontId="66" fillId="0" borderId="1" xfId="1" applyNumberFormat="1" applyFont="1" applyFill="1" applyBorder="1"/>
    <xf numFmtId="196" fontId="65" fillId="0" borderId="1" xfId="1" applyNumberFormat="1" applyFont="1" applyFill="1" applyBorder="1"/>
    <xf numFmtId="196" fontId="66" fillId="0" borderId="0" xfId="1" applyNumberFormat="1" applyFont="1" applyFill="1" applyBorder="1"/>
    <xf numFmtId="174" fontId="9" fillId="0" borderId="0" xfId="2" applyNumberFormat="1" applyFont="1" applyBorder="1"/>
    <xf numFmtId="14" fontId="65" fillId="0" borderId="0" xfId="0" applyNumberFormat="1" applyFont="1"/>
    <xf numFmtId="174" fontId="65" fillId="6" borderId="16" xfId="2" applyNumberFormat="1" applyFont="1" applyFill="1" applyBorder="1" applyAlignment="1">
      <alignment horizontal="center"/>
    </xf>
    <xf numFmtId="174" fontId="65" fillId="6" borderId="0" xfId="2" applyNumberFormat="1" applyFont="1" applyFill="1"/>
    <xf numFmtId="174" fontId="64" fillId="0" borderId="0" xfId="4" applyNumberFormat="1" applyFont="1" applyAlignment="1">
      <alignment horizontal="right"/>
    </xf>
    <xf numFmtId="174" fontId="64" fillId="0" borderId="6" xfId="4" applyNumberFormat="1" applyFont="1" applyBorder="1" applyAlignment="1">
      <alignment horizontal="right"/>
    </xf>
    <xf numFmtId="186" fontId="64" fillId="0" borderId="0" xfId="1" applyNumberFormat="1" applyFont="1" applyFill="1"/>
    <xf numFmtId="186" fontId="64" fillId="0" borderId="0" xfId="1" applyNumberFormat="1" applyFont="1"/>
    <xf numFmtId="168" fontId="65" fillId="0" borderId="0" xfId="12" applyNumberFormat="1" applyFont="1" applyAlignment="1">
      <alignment vertical="center"/>
    </xf>
    <xf numFmtId="168" fontId="65" fillId="0" borderId="6" xfId="12" applyNumberFormat="1" applyFont="1" applyBorder="1" applyAlignment="1">
      <alignment vertical="center"/>
    </xf>
    <xf numFmtId="164" fontId="65" fillId="0" borderId="0" xfId="0" applyNumberFormat="1" applyFont="1" applyAlignment="1">
      <alignment horizontal="right"/>
    </xf>
    <xf numFmtId="178" fontId="66" fillId="0" borderId="0" xfId="0" applyNumberFormat="1" applyFont="1" applyAlignment="1">
      <alignment horizontal="right"/>
    </xf>
    <xf numFmtId="188" fontId="65" fillId="0" borderId="6" xfId="0" applyNumberFormat="1" applyFont="1" applyBorder="1" applyAlignment="1">
      <alignment horizontal="right"/>
    </xf>
    <xf numFmtId="164" fontId="66" fillId="0" borderId="0" xfId="0" applyNumberFormat="1" applyFont="1" applyAlignment="1">
      <alignment horizontal="right"/>
    </xf>
    <xf numFmtId="196" fontId="65" fillId="0" borderId="6" xfId="1" applyNumberFormat="1" applyFont="1" applyFill="1" applyBorder="1"/>
    <xf numFmtId="14" fontId="64" fillId="0" borderId="0" xfId="0" applyNumberFormat="1" applyFont="1"/>
    <xf numFmtId="164" fontId="64" fillId="0" borderId="0" xfId="0" applyNumberFormat="1" applyFont="1"/>
    <xf numFmtId="196" fontId="64" fillId="0" borderId="0" xfId="1" applyNumberFormat="1" applyFont="1" applyFill="1" applyBorder="1"/>
    <xf numFmtId="187" fontId="64" fillId="0" borderId="6" xfId="0" applyNumberFormat="1" applyFont="1" applyBorder="1"/>
    <xf numFmtId="196" fontId="13" fillId="0" borderId="0" xfId="1" applyNumberFormat="1" applyFont="1" applyFill="1" applyBorder="1"/>
    <xf numFmtId="3" fontId="40" fillId="0" borderId="0" xfId="0" applyNumberFormat="1" applyFont="1"/>
    <xf numFmtId="174" fontId="13" fillId="0" borderId="0" xfId="2" applyNumberFormat="1" applyFont="1" applyFill="1" applyBorder="1"/>
    <xf numFmtId="193" fontId="13" fillId="0" borderId="0" xfId="1" applyNumberFormat="1" applyFont="1" applyFill="1" applyBorder="1"/>
    <xf numFmtId="175" fontId="13" fillId="0" borderId="0" xfId="1" applyNumberFormat="1" applyFont="1"/>
    <xf numFmtId="170" fontId="13" fillId="0" borderId="0" xfId="1" applyFont="1" applyFill="1" applyAlignment="1">
      <alignment horizontal="right"/>
    </xf>
    <xf numFmtId="175" fontId="13" fillId="0" borderId="0" xfId="0" applyNumberFormat="1" applyFont="1" applyAlignment="1">
      <alignment horizontal="right"/>
    </xf>
    <xf numFmtId="0" fontId="0" fillId="0" borderId="6" xfId="0" applyBorder="1" applyAlignment="1">
      <alignment horizontal="centerContinuous"/>
    </xf>
    <xf numFmtId="170" fontId="0" fillId="0" borderId="0" xfId="1" applyFont="1"/>
    <xf numFmtId="0" fontId="44" fillId="0" borderId="0" xfId="0" applyFont="1"/>
    <xf numFmtId="175" fontId="67" fillId="0" borderId="0" xfId="1" applyNumberFormat="1" applyFont="1"/>
    <xf numFmtId="0" fontId="38" fillId="0" borderId="0" xfId="0" applyFont="1" applyAlignment="1">
      <alignment horizontal="centerContinuous"/>
    </xf>
    <xf numFmtId="0" fontId="46" fillId="0" borderId="0" xfId="0" applyFont="1" applyAlignment="1">
      <alignment horizontal="center"/>
    </xf>
    <xf numFmtId="167" fontId="39" fillId="0" borderId="0" xfId="0" applyNumberFormat="1" applyFont="1"/>
    <xf numFmtId="164" fontId="30" fillId="0" borderId="5" xfId="0" applyNumberFormat="1" applyFont="1" applyBorder="1"/>
    <xf numFmtId="174" fontId="64" fillId="0" borderId="0" xfId="2" applyNumberFormat="1" applyFont="1" applyBorder="1"/>
    <xf numFmtId="176" fontId="65" fillId="0" borderId="0" xfId="1" applyNumberFormat="1" applyFont="1" applyFill="1" applyBorder="1"/>
    <xf numFmtId="174" fontId="65" fillId="0" borderId="0" xfId="2" applyNumberFormat="1" applyFont="1" applyFill="1" applyBorder="1"/>
    <xf numFmtId="193" fontId="65" fillId="0" borderId="0" xfId="1" applyNumberFormat="1" applyFont="1" applyFill="1" applyBorder="1"/>
    <xf numFmtId="0" fontId="68" fillId="0" borderId="0" xfId="0" applyFont="1" applyAlignment="1">
      <alignment horizontal="right"/>
    </xf>
    <xf numFmtId="0" fontId="69" fillId="0" borderId="0" xfId="0" applyFont="1" applyAlignment="1">
      <alignment horizontal="right"/>
    </xf>
    <xf numFmtId="37" fontId="68" fillId="0" borderId="0" xfId="0" applyNumberFormat="1" applyFont="1" applyAlignment="1">
      <alignment horizontal="right"/>
    </xf>
    <xf numFmtId="0" fontId="68" fillId="0" borderId="0" xfId="0" applyFont="1"/>
    <xf numFmtId="193" fontId="13" fillId="0" borderId="15" xfId="1" applyNumberFormat="1" applyFont="1" applyFill="1" applyBorder="1"/>
    <xf numFmtId="174" fontId="7" fillId="0" borderId="0" xfId="2" applyNumberFormat="1" applyFont="1" applyFill="1" applyBorder="1"/>
    <xf numFmtId="37" fontId="9" fillId="0" borderId="6" xfId="0" applyNumberFormat="1" applyFont="1" applyBorder="1" applyAlignment="1">
      <alignment horizontal="center" vertical="top"/>
    </xf>
    <xf numFmtId="174" fontId="0" fillId="14" borderId="0" xfId="2" applyNumberFormat="1" applyFont="1" applyFill="1" applyAlignment="1">
      <alignment horizontal="right"/>
    </xf>
    <xf numFmtId="37" fontId="0" fillId="14" borderId="0" xfId="0" applyNumberFormat="1" applyFill="1"/>
    <xf numFmtId="197" fontId="15" fillId="0" borderId="0" xfId="0" applyNumberFormat="1" applyFont="1"/>
    <xf numFmtId="37" fontId="51" fillId="14" borderId="0" xfId="0" applyNumberFormat="1" applyFont="1" applyFill="1"/>
    <xf numFmtId="37" fontId="13" fillId="14" borderId="0" xfId="0" applyNumberFormat="1" applyFont="1" applyFill="1"/>
    <xf numFmtId="196" fontId="14" fillId="14" borderId="0" xfId="1" applyNumberFormat="1" applyFont="1" applyFill="1" applyBorder="1" applyAlignment="1">
      <alignment horizontal="right"/>
    </xf>
    <xf numFmtId="37" fontId="0" fillId="14" borderId="1" xfId="0" applyNumberFormat="1" applyFill="1" applyBorder="1"/>
    <xf numFmtId="3" fontId="14" fillId="14" borderId="0" xfId="0" applyNumberFormat="1" applyFont="1" applyFill="1"/>
    <xf numFmtId="37" fontId="0" fillId="14" borderId="6" xfId="0" applyNumberFormat="1" applyFill="1" applyBorder="1"/>
    <xf numFmtId="37" fontId="9" fillId="14" borderId="6" xfId="0" applyNumberFormat="1" applyFont="1" applyFill="1" applyBorder="1"/>
    <xf numFmtId="3" fontId="17" fillId="14" borderId="0" xfId="0" applyNumberFormat="1" applyFont="1" applyFill="1"/>
    <xf numFmtId="196" fontId="66" fillId="14" borderId="0" xfId="1" applyNumberFormat="1" applyFont="1" applyFill="1" applyBorder="1"/>
    <xf numFmtId="37" fontId="9" fillId="14" borderId="1" xfId="0" applyNumberFormat="1" applyFont="1" applyFill="1" applyBorder="1"/>
    <xf numFmtId="2" fontId="0" fillId="14" borderId="0" xfId="1" applyNumberFormat="1" applyFont="1" applyFill="1" applyAlignment="1">
      <alignment horizontal="right"/>
    </xf>
    <xf numFmtId="37" fontId="15" fillId="14" borderId="0" xfId="0" applyNumberFormat="1" applyFont="1" applyFill="1"/>
    <xf numFmtId="174" fontId="0" fillId="14" borderId="0" xfId="2" applyNumberFormat="1" applyFont="1" applyFill="1"/>
    <xf numFmtId="0" fontId="41" fillId="9" borderId="0" xfId="0" applyFont="1" applyFill="1" applyAlignment="1">
      <alignment horizontal="centerContinuous"/>
    </xf>
    <xf numFmtId="0" fontId="41" fillId="9" borderId="6" xfId="0" applyFont="1" applyFill="1" applyBorder="1" applyAlignment="1">
      <alignment horizontal="left"/>
    </xf>
    <xf numFmtId="174" fontId="14" fillId="0" borderId="0" xfId="2" applyNumberFormat="1" applyFont="1" applyFill="1"/>
    <xf numFmtId="0" fontId="9" fillId="0" borderId="6" xfId="0" applyFont="1" applyBorder="1" applyAlignment="1">
      <alignment horizontal="left" vertical="center"/>
    </xf>
    <xf numFmtId="0" fontId="41" fillId="8" borderId="0" xfId="4" applyFont="1" applyFill="1" applyAlignment="1">
      <alignment horizontal="left"/>
    </xf>
    <xf numFmtId="0" fontId="39" fillId="8" borderId="0" xfId="0" applyFont="1" applyFill="1"/>
    <xf numFmtId="37" fontId="17" fillId="8" borderId="0" xfId="12" applyNumberFormat="1" applyFont="1" applyFill="1" applyAlignment="1">
      <alignment vertical="center"/>
    </xf>
    <xf numFmtId="168" fontId="17" fillId="8" borderId="0" xfId="12" applyNumberFormat="1" applyFont="1" applyFill="1" applyAlignment="1">
      <alignment vertical="center"/>
    </xf>
    <xf numFmtId="182" fontId="17" fillId="8" borderId="0" xfId="12" applyNumberFormat="1" applyFont="1" applyFill="1" applyAlignment="1">
      <alignment vertical="center"/>
    </xf>
    <xf numFmtId="0" fontId="17" fillId="8" borderId="0" xfId="12" applyFont="1" applyFill="1" applyAlignment="1">
      <alignment vertical="center"/>
    </xf>
    <xf numFmtId="178" fontId="17" fillId="8" borderId="0" xfId="12" applyNumberFormat="1" applyFont="1" applyFill="1" applyAlignment="1">
      <alignment vertical="center"/>
    </xf>
    <xf numFmtId="178" fontId="17" fillId="8" borderId="0" xfId="12" applyNumberFormat="1" applyFont="1" applyFill="1" applyAlignment="1">
      <alignment horizontal="right" vertical="center"/>
    </xf>
    <xf numFmtId="174" fontId="17" fillId="8" borderId="0" xfId="2" applyNumberFormat="1" applyFont="1" applyFill="1" applyAlignment="1">
      <alignment horizontal="right"/>
    </xf>
    <xf numFmtId="0" fontId="9" fillId="9" borderId="0" xfId="12" applyFont="1" applyFill="1" applyAlignment="1">
      <alignment vertical="center"/>
    </xf>
    <xf numFmtId="178" fontId="9" fillId="9" borderId="0" xfId="12" applyNumberFormat="1" applyFont="1" applyFill="1" applyAlignment="1">
      <alignment vertical="center"/>
    </xf>
    <xf numFmtId="174" fontId="9" fillId="9" borderId="0" xfId="2" applyNumberFormat="1" applyFont="1" applyFill="1" applyAlignment="1">
      <alignment vertical="center"/>
    </xf>
    <xf numFmtId="37" fontId="14" fillId="0" borderId="6" xfId="12" applyNumberFormat="1" applyFont="1" applyBorder="1" applyAlignment="1">
      <alignment vertical="center"/>
    </xf>
    <xf numFmtId="168" fontId="14" fillId="0" borderId="6" xfId="12" applyNumberFormat="1" applyFont="1" applyBorder="1" applyAlignment="1">
      <alignment vertical="center"/>
    </xf>
    <xf numFmtId="0" fontId="14" fillId="0" borderId="6" xfId="12" applyFont="1" applyBorder="1" applyAlignment="1">
      <alignment vertical="center"/>
    </xf>
    <xf numFmtId="178" fontId="14" fillId="0" borderId="6" xfId="12" applyNumberFormat="1" applyFont="1" applyBorder="1" applyAlignment="1">
      <alignment vertical="center"/>
    </xf>
    <xf numFmtId="178" fontId="14" fillId="0" borderId="6" xfId="12" applyNumberFormat="1" applyFont="1" applyBorder="1" applyAlignment="1">
      <alignment horizontal="right" vertical="center"/>
    </xf>
    <xf numFmtId="174" fontId="14" fillId="0" borderId="6" xfId="2" applyNumberFormat="1" applyFont="1" applyBorder="1" applyAlignment="1">
      <alignment horizontal="right"/>
    </xf>
    <xf numFmtId="0" fontId="9" fillId="9" borderId="0" xfId="29" applyFont="1" applyFill="1" applyAlignment="1">
      <alignment vertical="center"/>
    </xf>
    <xf numFmtId="191" fontId="9" fillId="9" borderId="0" xfId="29" applyNumberFormat="1" applyFont="1" applyFill="1" applyAlignment="1">
      <alignment vertical="center"/>
    </xf>
    <xf numFmtId="178" fontId="9" fillId="9" borderId="0" xfId="29" applyNumberFormat="1" applyFont="1" applyFill="1" applyAlignment="1">
      <alignment horizontal="right" vertical="center"/>
    </xf>
    <xf numFmtId="0" fontId="9" fillId="9" borderId="0" xfId="29" applyFont="1" applyFill="1" applyAlignment="1">
      <alignment horizontal="right" vertical="center"/>
    </xf>
    <xf numFmtId="15" fontId="14" fillId="0" borderId="6" xfId="29" applyNumberFormat="1" applyFont="1" applyBorder="1" applyAlignment="1">
      <alignment horizontal="left" vertical="center"/>
    </xf>
    <xf numFmtId="0" fontId="14" fillId="0" borderId="6" xfId="29" applyFont="1" applyBorder="1" applyAlignment="1">
      <alignment vertical="center"/>
    </xf>
    <xf numFmtId="0" fontId="14" fillId="0" borderId="6" xfId="29" applyFont="1" applyBorder="1" applyAlignment="1">
      <alignment horizontal="center" vertical="center"/>
    </xf>
    <xf numFmtId="164" fontId="14" fillId="0" borderId="6" xfId="29" applyNumberFormat="1" applyFont="1" applyBorder="1" applyAlignment="1">
      <alignment vertical="center"/>
    </xf>
    <xf numFmtId="0" fontId="14" fillId="0" borderId="6" xfId="29" applyFont="1" applyBorder="1" applyAlignment="1">
      <alignment horizontal="center"/>
    </xf>
    <xf numFmtId="172" fontId="17" fillId="9" borderId="6" xfId="0" applyNumberFormat="1" applyFont="1" applyFill="1" applyBorder="1"/>
    <xf numFmtId="173" fontId="17" fillId="9" borderId="6" xfId="0" applyNumberFormat="1" applyFont="1" applyFill="1" applyBorder="1"/>
    <xf numFmtId="172" fontId="8" fillId="5" borderId="0" xfId="0" applyNumberFormat="1" applyFont="1" applyFill="1"/>
    <xf numFmtId="173" fontId="17" fillId="9" borderId="6" xfId="0" applyNumberFormat="1" applyFont="1" applyFill="1" applyBorder="1" applyAlignment="1">
      <alignment horizontal="right"/>
    </xf>
    <xf numFmtId="164" fontId="57" fillId="0" borderId="0" xfId="3" applyNumberFormat="1" applyFont="1" applyFill="1" applyBorder="1" applyAlignment="1">
      <alignment horizontal="right" vertical="top" wrapText="1"/>
    </xf>
    <xf numFmtId="164" fontId="17" fillId="8" borderId="0" xfId="1" applyNumberFormat="1" applyFont="1" applyFill="1" applyBorder="1" applyAlignment="1">
      <alignment horizontal="right" wrapText="1"/>
    </xf>
    <xf numFmtId="0" fontId="17" fillId="9" borderId="6" xfId="0" applyFont="1" applyFill="1" applyBorder="1" applyAlignment="1">
      <alignment horizontal="left"/>
    </xf>
    <xf numFmtId="0" fontId="17" fillId="9" borderId="6" xfId="0" applyFont="1" applyFill="1" applyBorder="1" applyAlignment="1">
      <alignment horizontal="right"/>
    </xf>
    <xf numFmtId="0" fontId="25" fillId="9" borderId="0" xfId="10" applyFont="1" applyFill="1" applyProtection="1">
      <protection locked="0"/>
    </xf>
    <xf numFmtId="0" fontId="0" fillId="9" borderId="0" xfId="0" applyFill="1"/>
    <xf numFmtId="0" fontId="9" fillId="9" borderId="0" xfId="10" applyFont="1" applyFill="1" applyAlignment="1">
      <alignment horizontal="right"/>
    </xf>
    <xf numFmtId="0" fontId="50" fillId="9" borderId="0" xfId="27" quotePrefix="1" applyFill="1" applyProtection="1">
      <protection locked="0"/>
    </xf>
    <xf numFmtId="0" fontId="0" fillId="9" borderId="1" xfId="10" applyFont="1" applyFill="1" applyBorder="1"/>
    <xf numFmtId="0" fontId="7" fillId="9" borderId="1" xfId="10" applyFont="1" applyFill="1" applyBorder="1"/>
    <xf numFmtId="0" fontId="0" fillId="9" borderId="0" xfId="10" applyFont="1" applyFill="1"/>
    <xf numFmtId="0" fontId="28" fillId="9" borderId="0" xfId="11" applyFont="1" applyFill="1"/>
    <xf numFmtId="0" fontId="70" fillId="9" borderId="0" xfId="11" applyFont="1" applyFill="1" applyAlignment="1" applyProtection="1">
      <alignment horizontal="left"/>
      <protection locked="0"/>
    </xf>
    <xf numFmtId="0" fontId="48" fillId="9" borderId="0" xfId="10" applyFont="1" applyFill="1" applyAlignment="1">
      <alignment horizontal="left"/>
    </xf>
    <xf numFmtId="164" fontId="46" fillId="0" borderId="0" xfId="1" applyNumberFormat="1" applyFont="1"/>
    <xf numFmtId="164" fontId="40" fillId="0" borderId="0" xfId="1" applyNumberFormat="1" applyFont="1"/>
    <xf numFmtId="164" fontId="30" fillId="6" borderId="0" xfId="0" applyNumberFormat="1" applyFont="1" applyFill="1"/>
    <xf numFmtId="164" fontId="46" fillId="6" borderId="0" xfId="0" applyNumberFormat="1" applyFont="1" applyFill="1" applyAlignment="1">
      <alignment horizontal="right"/>
    </xf>
    <xf numFmtId="164" fontId="46" fillId="6" borderId="0" xfId="1" applyNumberFormat="1" applyFont="1" applyFill="1"/>
    <xf numFmtId="182" fontId="9" fillId="9" borderId="0" xfId="12" applyNumberFormat="1" applyFont="1" applyFill="1" applyAlignment="1">
      <alignment vertical="center"/>
    </xf>
    <xf numFmtId="198" fontId="9" fillId="9" borderId="0" xfId="12" applyNumberFormat="1" applyFont="1" applyFill="1" applyAlignment="1">
      <alignment vertical="center"/>
    </xf>
    <xf numFmtId="194" fontId="7" fillId="0" borderId="0" xfId="12" applyNumberFormat="1" applyFont="1"/>
    <xf numFmtId="178" fontId="9" fillId="9" borderId="1" xfId="29" applyNumberFormat="1" applyFont="1" applyFill="1" applyBorder="1" applyAlignment="1">
      <alignment horizontal="right" vertical="center"/>
    </xf>
    <xf numFmtId="37" fontId="32" fillId="2" borderId="6" xfId="0" applyNumberFormat="1" applyFont="1" applyFill="1" applyBorder="1" applyAlignment="1">
      <alignment vertical="top"/>
    </xf>
    <xf numFmtId="170" fontId="9" fillId="0" borderId="0" xfId="1" applyFont="1" applyBorder="1"/>
    <xf numFmtId="0" fontId="13" fillId="0" borderId="0" xfId="0" applyFont="1"/>
    <xf numFmtId="174" fontId="0" fillId="0" borderId="0" xfId="2" applyNumberFormat="1" applyFont="1" applyFill="1" applyBorder="1"/>
    <xf numFmtId="196" fontId="40" fillId="0" borderId="0" xfId="1" applyNumberFormat="1" applyFont="1" applyFill="1" applyBorder="1"/>
    <xf numFmtId="0" fontId="0" fillId="0" borderId="24" xfId="0" applyBorder="1"/>
    <xf numFmtId="0" fontId="0" fillId="0" borderId="26" xfId="0" applyBorder="1"/>
    <xf numFmtId="0" fontId="0" fillId="0" borderId="29" xfId="0" applyBorder="1"/>
    <xf numFmtId="0" fontId="0" fillId="0" borderId="30" xfId="0" applyBorder="1"/>
    <xf numFmtId="0" fontId="54" fillId="0" borderId="1" xfId="0" applyFont="1" applyBorder="1"/>
    <xf numFmtId="0" fontId="17" fillId="0" borderId="0" xfId="27" applyFont="1"/>
    <xf numFmtId="164" fontId="40" fillId="0" borderId="0" xfId="0" applyNumberFormat="1" applyFont="1"/>
    <xf numFmtId="9" fontId="61" fillId="0" borderId="0" xfId="2" applyFont="1" applyAlignment="1">
      <alignment vertical="center"/>
    </xf>
    <xf numFmtId="174" fontId="0" fillId="6" borderId="0" xfId="2" applyNumberFormat="1" applyFont="1" applyFill="1" applyBorder="1" applyAlignment="1">
      <alignment horizontal="right"/>
    </xf>
    <xf numFmtId="0" fontId="57" fillId="0" borderId="0" xfId="0" applyFont="1" applyAlignment="1">
      <alignment vertical="top" wrapText="1"/>
    </xf>
    <xf numFmtId="0" fontId="57" fillId="0" borderId="0" xfId="0" applyFont="1" applyAlignment="1">
      <alignment horizontal="right" vertical="top" wrapText="1"/>
    </xf>
    <xf numFmtId="0" fontId="17" fillId="8" borderId="0" xfId="0" applyFont="1" applyFill="1" applyAlignment="1">
      <alignment wrapText="1"/>
    </xf>
    <xf numFmtId="174" fontId="40" fillId="0" borderId="14" xfId="0" applyNumberFormat="1" applyFont="1" applyBorder="1" applyAlignment="1">
      <alignment horizontal="right"/>
    </xf>
    <xf numFmtId="183" fontId="40" fillId="0" borderId="14" xfId="0" applyNumberFormat="1" applyFont="1" applyBorder="1" applyAlignment="1">
      <alignment horizontal="right"/>
    </xf>
    <xf numFmtId="183" fontId="40" fillId="0" borderId="0" xfId="0" applyNumberFormat="1" applyFont="1" applyAlignment="1">
      <alignment horizontal="right"/>
    </xf>
    <xf numFmtId="0" fontId="30" fillId="0" borderId="0" xfId="0" applyFont="1" applyAlignment="1">
      <alignment horizontal="right"/>
    </xf>
    <xf numFmtId="175" fontId="40" fillId="0" borderId="4" xfId="1" applyNumberFormat="1" applyFont="1" applyBorder="1" applyAlignment="1">
      <alignment horizontal="right"/>
    </xf>
    <xf numFmtId="196" fontId="0" fillId="0" borderId="0" xfId="0" applyNumberFormat="1"/>
    <xf numFmtId="198" fontId="39" fillId="0" borderId="0" xfId="0" applyNumberFormat="1" applyFont="1"/>
    <xf numFmtId="165" fontId="30" fillId="0" borderId="0" xfId="0" applyNumberFormat="1" applyFont="1"/>
    <xf numFmtId="178" fontId="30" fillId="0" borderId="0" xfId="2" applyNumberFormat="1" applyFont="1" applyFill="1" applyBorder="1"/>
    <xf numFmtId="2" fontId="42" fillId="0" borderId="0" xfId="4" applyNumberFormat="1" applyFont="1"/>
    <xf numFmtId="164" fontId="40" fillId="0" borderId="0" xfId="1" applyNumberFormat="1" applyFont="1" applyFill="1"/>
    <xf numFmtId="9" fontId="13" fillId="6" borderId="0" xfId="34" applyFont="1" applyFill="1" applyBorder="1" applyAlignment="1">
      <alignment vertical="center"/>
    </xf>
    <xf numFmtId="178" fontId="13" fillId="6" borderId="0" xfId="34" applyNumberFormat="1" applyFont="1" applyFill="1" applyAlignment="1">
      <alignment vertical="center"/>
    </xf>
    <xf numFmtId="9" fontId="13" fillId="6" borderId="0" xfId="2" applyFont="1" applyFill="1" applyAlignment="1">
      <alignment vertical="center"/>
    </xf>
    <xf numFmtId="10" fontId="0" fillId="0" borderId="0" xfId="2" applyNumberFormat="1" applyFont="1"/>
    <xf numFmtId="0" fontId="0" fillId="0" borderId="0" xfId="0" applyAlignment="1">
      <alignment vertical="center" wrapText="1"/>
    </xf>
    <xf numFmtId="199" fontId="0" fillId="0" borderId="0" xfId="1" applyNumberFormat="1" applyFont="1" applyAlignment="1">
      <alignment vertical="center" wrapText="1"/>
    </xf>
    <xf numFmtId="2" fontId="41" fillId="0" borderId="0" xfId="2" applyNumberFormat="1" applyFont="1" applyAlignment="1">
      <alignment horizontal="right"/>
    </xf>
    <xf numFmtId="0" fontId="16" fillId="10" borderId="0" xfId="10" applyFont="1" applyFill="1" applyAlignment="1">
      <alignment vertical="top" wrapText="1"/>
    </xf>
    <xf numFmtId="0" fontId="16" fillId="10" borderId="0" xfId="0" applyFont="1" applyFill="1" applyAlignment="1">
      <alignment vertical="top" wrapText="1"/>
    </xf>
    <xf numFmtId="0" fontId="17" fillId="0" borderId="27" xfId="0" applyFont="1" applyBorder="1" applyAlignment="1">
      <alignment horizontal="center" vertical="center"/>
    </xf>
    <xf numFmtId="0" fontId="17" fillId="0" borderId="27" xfId="0" applyFont="1" applyBorder="1" applyAlignment="1">
      <alignment horizontal="center" vertical="center" wrapText="1"/>
    </xf>
    <xf numFmtId="9" fontId="30" fillId="0" borderId="0" xfId="2" applyFont="1" applyBorder="1"/>
    <xf numFmtId="174" fontId="30" fillId="0" borderId="0" xfId="2" applyNumberFormat="1" applyFont="1" applyBorder="1"/>
  </cellXfs>
  <cellStyles count="42">
    <cellStyle name="=C:\WINNT\SYSTEM32\COMMAND.COM 2" xfId="32" xr:uid="{359FFB32-2F00-4332-A67E-C8DE001CBFBE}"/>
    <cellStyle name="Comma" xfId="1" builtinId="3"/>
    <cellStyle name="Comma 2" xfId="6" xr:uid="{5BC26CCE-15DF-49A3-8753-E171713ADC31}"/>
    <cellStyle name="Comma 2 2" xfId="24" xr:uid="{6EC2B824-96DD-4CA8-8ADA-35F9108D4CA1}"/>
    <cellStyle name="Comma 2_Implied Value Summary" xfId="38" xr:uid="{5A8C5CA6-1A3A-49BA-AA46-BFE3D46CC701}"/>
    <cellStyle name="Comma 3" xfId="20" xr:uid="{68D72872-94CA-4572-B6F3-3D62ABDD977B}"/>
    <cellStyle name="Comma 4" xfId="22" xr:uid="{A3347ECA-657B-4880-96A5-2BCDD38595D8}"/>
    <cellStyle name="Currency" xfId="3" builtinId="4"/>
    <cellStyle name="Currency 2" xfId="23" xr:uid="{AC02C7B0-001E-4AC7-BBC4-1087C4186614}"/>
    <cellStyle name="Hyperlink" xfId="27" builtinId="8"/>
    <cellStyle name="Hyperlink 2" xfId="11" xr:uid="{D4B75A63-40EA-4ACC-99B9-3E0B9F1F40D1}"/>
    <cellStyle name="Hyperlink 2 2" xfId="30" xr:uid="{E1893A77-744C-4F4A-9679-1677AF838218}"/>
    <cellStyle name="Hyperlink 3" xfId="33" xr:uid="{C8698C2C-AB69-41F2-8717-1931077EDEAA}"/>
    <cellStyle name="Invisible" xfId="8" xr:uid="{32A0E2A8-8733-4EE3-8082-7F7E31E3696A}"/>
    <cellStyle name="Normal" xfId="0" builtinId="0"/>
    <cellStyle name="Normal 10" xfId="37" xr:uid="{48BA635D-2D19-4EF2-A5F7-DEA1553772F6}"/>
    <cellStyle name="Normal 2" xfId="9" xr:uid="{DF4E9F82-AF06-45DD-A375-7E5AA1E122EB}"/>
    <cellStyle name="Normal 2 2" xfId="10" xr:uid="{32B574B0-FDA8-4E9E-B666-807ED1795D07}"/>
    <cellStyle name="Normal 2 2 2" xfId="12" xr:uid="{6E14347D-582E-4C37-B3A2-DBCBAD2E6F3C}"/>
    <cellStyle name="Normal 2 2 2 2" xfId="14" xr:uid="{FF500FFF-6AC1-4A0B-946A-FE2F72D956E0}"/>
    <cellStyle name="Normal 2 2 2 3" xfId="18" xr:uid="{080443AF-8644-40ED-A539-BDF9428F87B9}"/>
    <cellStyle name="Normal 2 2 2 4" xfId="26" xr:uid="{28E1F1B6-F94E-4714-8A55-EE2410083067}"/>
    <cellStyle name="Normal 2 2 2 5" xfId="29" xr:uid="{E1263161-9A20-4DD4-A19A-AB264E33A76E}"/>
    <cellStyle name="Normal 2 2 2_Implied Value Summary" xfId="40" xr:uid="{7CADED0E-1DC6-4E1E-B492-A7B13483F72C}"/>
    <cellStyle name="Normal 2 2 3" xfId="25" xr:uid="{E5C81381-C1B6-420B-B356-E8778396C0A2}"/>
    <cellStyle name="Normal 2 2_Implied Value Summary" xfId="39" xr:uid="{19099409-EA40-48FC-97F8-3C6FD82F3761}"/>
    <cellStyle name="Normal 3" xfId="7" xr:uid="{3675BD79-731B-4751-A825-F79EE8FC3B84}"/>
    <cellStyle name="Normal 4" xfId="13" xr:uid="{1723664B-D8D1-407D-B21F-44B3305DE900}"/>
    <cellStyle name="Normal 4 2" xfId="19" xr:uid="{D9CCB2B1-0E18-46A3-8A55-F717EF610EA4}"/>
    <cellStyle name="Normal 4_Implied Value Summary" xfId="41" xr:uid="{8E3BA4EF-1C18-47D7-8BFE-ABC003341A89}"/>
    <cellStyle name="Normal 5" xfId="4" xr:uid="{6A56A98F-9869-4BB4-AEE4-364015ADF980}"/>
    <cellStyle name="Normal 6" xfId="17" xr:uid="{6695D693-69C5-43D8-A1D7-31C21CE0E6A3}"/>
    <cellStyle name="Normal 7" xfId="28" xr:uid="{C918BDDA-083F-483F-A2B2-5BA7AC48FB6B}"/>
    <cellStyle name="Normal 8" xfId="35" xr:uid="{28C5F133-48E9-4A22-A29E-867912E69077}"/>
    <cellStyle name="Normal 9" xfId="36" xr:uid="{50DB7412-941B-43C8-AE21-6453A62910F5}"/>
    <cellStyle name="Normal_Master Junior Database v2" xfId="15" xr:uid="{59664CF7-E8C5-4475-A1EE-692E4C18F0F9}"/>
    <cellStyle name="Number 2" xfId="31" xr:uid="{499BBCFA-73CD-46BD-BC79-2DDC9D7C0BAD}"/>
    <cellStyle name="Percent" xfId="2" builtinId="5"/>
    <cellStyle name="Percent 2" xfId="5" xr:uid="{8811A0EB-371D-4ED9-9ADE-0D6980F0DEA6}"/>
    <cellStyle name="Percent 3" xfId="16" xr:uid="{24BCA7B9-89BD-43A1-A9D6-376F0A5CED6E}"/>
    <cellStyle name="Percent 4" xfId="21" xr:uid="{0ACCCFE2-A154-49CC-B03B-049E6EC3DF63}"/>
    <cellStyle name="Percent 5" xfId="34" xr:uid="{7A4DABFA-3118-48F7-9749-B7A5EDEA7A2B}"/>
  </cellStyles>
  <dxfs count="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Arial Narrow"/>
        <family val="2"/>
        <scheme val="none"/>
      </font>
      <numFmt numFmtId="184" formatCode="_(&quot;$&quot;* #,##0_);_(&quot;$&quot;* \(#,##0\);_(&quot;$&quot;* &quot;-&quot;??_);_(@_)"/>
      <alignment horizontal="left" vertical="center" textRotation="0" wrapText="0" indent="0" justifyLastLine="0" shrinkToFit="0" readingOrder="0"/>
    </dxf>
    <dxf>
      <font>
        <strike val="0"/>
        <outline val="0"/>
        <shadow val="0"/>
        <u val="none"/>
        <vertAlign val="baseline"/>
        <sz val="11"/>
        <color auto="1"/>
        <name val="Arial Narrow"/>
        <family val="2"/>
        <scheme val="none"/>
      </font>
      <numFmt numFmtId="181" formatCode="[$-409]mmm\-dd\-yyyy;@"/>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theme="0"/>
        <name val="Arial Narrow"/>
        <family val="2"/>
        <scheme val="none"/>
      </font>
      <fill>
        <patternFill patternType="solid">
          <fgColor indexed="64"/>
          <bgColor rgb="FF132E5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5913371791093"/>
          <c:y val="6.3465195099814117E-2"/>
          <c:w val="0.8058354737743344"/>
          <c:h val="0.8265955914802684"/>
        </c:manualLayout>
      </c:layout>
      <c:lineChart>
        <c:grouping val="standard"/>
        <c:varyColors val="0"/>
        <c:ser>
          <c:idx val="3"/>
          <c:order val="0"/>
          <c:tx>
            <c:strRef>
              <c:f>'Share Price'!$C$10</c:f>
              <c:strCache>
                <c:ptCount val="1"/>
                <c:pt idx="0">
                  <c:v>Amazon.com, Inc. (NasdaqGS:AMZN) - Share Pricing</c:v>
                </c:pt>
              </c:strCache>
            </c:strRef>
          </c:tx>
          <c:spPr>
            <a:ln w="15875" cap="rnd">
              <a:solidFill>
                <a:srgbClr val="132E57"/>
              </a:solidFill>
              <a:round/>
            </a:ln>
            <a:effectLst/>
          </c:spPr>
          <c:marker>
            <c:symbol val="none"/>
          </c:marker>
          <c:cat>
            <c:numRef>
              <c:f>'Share Price'!$B$11:$B$1374</c:f>
              <c:numCache>
                <c:formatCode>[$-409]mmm\-dd\-yyyy;@</c:formatCode>
                <c:ptCount val="1364"/>
              </c:numCache>
            </c:numRef>
          </c:cat>
          <c:val>
            <c:numRef>
              <c:f>'Share Price'!$C$11:$C$1374</c:f>
              <c:numCache>
                <c:formatCode>_("$"* #,##0_);_("$"* \(#,##0\);_("$"* "-"??_);_(@_)</c:formatCode>
                <c:ptCount val="1364"/>
              </c:numCache>
            </c:numRef>
          </c:val>
          <c:smooth val="0"/>
          <c:extLst>
            <c:ext xmlns:c16="http://schemas.microsoft.com/office/drawing/2014/chart" uri="{C3380CC4-5D6E-409C-BE32-E72D297353CC}">
              <c16:uniqueId val="{00000000-EC42-437A-AEDD-FD2DCA8E9B51}"/>
            </c:ext>
          </c:extLst>
        </c:ser>
        <c:dLbls>
          <c:showLegendKey val="0"/>
          <c:showVal val="0"/>
          <c:showCatName val="0"/>
          <c:showSerName val="0"/>
          <c:showPercent val="0"/>
          <c:showBubbleSize val="0"/>
        </c:dLbls>
        <c:smooth val="0"/>
        <c:axId val="522446752"/>
        <c:axId val="522449376"/>
      </c:lineChart>
      <c:catAx>
        <c:axId val="52244675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522449376"/>
        <c:crosses val="autoZero"/>
        <c:auto val="1"/>
        <c:lblAlgn val="ctr"/>
        <c:lblOffset val="100"/>
        <c:tickLblSkip val="1"/>
        <c:noMultiLvlLbl val="1"/>
      </c:catAx>
      <c:valAx>
        <c:axId val="522449376"/>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522446752"/>
        <c:crosses val="autoZero"/>
        <c:crossBetween val="between"/>
        <c:majorUnit val="1000"/>
        <c:minorUnit val="500"/>
      </c:valAx>
      <c:spPr>
        <a:noFill/>
        <a:ln w="25400">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latin typeface="Arial Narrow" panose="020B060602020203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barChart>
        <c:barDir val="col"/>
        <c:grouping val="clustered"/>
        <c:varyColors val="0"/>
        <c:ser>
          <c:idx val="0"/>
          <c:order val="0"/>
          <c:tx>
            <c:strRef>
              <c:f>Dashboard!$AF$39</c:f>
              <c:strCache>
                <c:ptCount val="1"/>
                <c:pt idx="0">
                  <c:v>Total</c:v>
                </c:pt>
              </c:strCache>
            </c:strRef>
          </c:tx>
          <c:spPr>
            <a:solidFill>
              <a:srgbClr val="25A2AF"/>
            </a:solidFill>
            <a:ln>
              <a:noFill/>
            </a:ln>
            <a:effectLst/>
          </c:spPr>
          <c:invertIfNegative val="0"/>
          <c:cat>
            <c:numRef>
              <c:f>Dashboard!$AH$32:$AO$32</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Dashboard!$AH$39:$AO$39</c:f>
              <c:numCache>
                <c:formatCode>"$"#,##0;\-"$"#,##0</c:formatCode>
                <c:ptCount val="8"/>
                <c:pt idx="0">
                  <c:v>232887</c:v>
                </c:pt>
                <c:pt idx="1">
                  <c:v>280522</c:v>
                </c:pt>
                <c:pt idx="2">
                  <c:v>386064</c:v>
                </c:pt>
                <c:pt idx="3">
                  <c:v>472826.16916337796</c:v>
                </c:pt>
                <c:pt idx="4">
                  <c:v>560692.9821700349</c:v>
                </c:pt>
                <c:pt idx="5">
                  <c:v>646446.59111951489</c:v>
                </c:pt>
                <c:pt idx="6">
                  <c:v>727471.12372385256</c:v>
                </c:pt>
                <c:pt idx="7">
                  <c:v>801911.23216879996</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dLbls>
        <c:gapWidth val="70"/>
        <c:overlap val="-27"/>
        <c:axId val="1217181792"/>
        <c:axId val="914393184"/>
      </c:barChart>
      <c:catAx>
        <c:axId val="1217181792"/>
        <c:scaling>
          <c:orientation val="minMax"/>
        </c:scaling>
        <c:delete val="0"/>
        <c:axPos val="b"/>
        <c:numFmt formatCode="0&quot;A&quot;"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914393184"/>
        <c:crosses val="autoZero"/>
        <c:auto val="1"/>
        <c:lblAlgn val="ctr"/>
        <c:lblOffset val="100"/>
        <c:noMultiLvlLbl val="0"/>
      </c:catAx>
      <c:valAx>
        <c:axId val="914393184"/>
        <c:scaling>
          <c:orientation val="minMax"/>
        </c:scaling>
        <c:delete val="0"/>
        <c:axPos val="l"/>
        <c:numFmt formatCode="&quot;$&quot;#,##0_);\(&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217181792"/>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50991740494912"/>
          <c:y val="4.9724928954217471E-2"/>
          <c:w val="0.77197011096219004"/>
          <c:h val="0.77750354517031051"/>
        </c:manualLayout>
      </c:layout>
      <c:barChart>
        <c:barDir val="bar"/>
        <c:grouping val="clustered"/>
        <c:varyColors val="0"/>
        <c:ser>
          <c:idx val="1"/>
          <c:order val="0"/>
          <c:spPr>
            <a:solidFill>
              <a:srgbClr val="1E8496"/>
            </a:solidFill>
            <a:ln>
              <a:noFill/>
            </a:ln>
            <a:effectLst/>
          </c:spPr>
          <c:invertIfNegative val="0"/>
          <c:dPt>
            <c:idx val="0"/>
            <c:invertIfNegative val="0"/>
            <c:bubble3D val="0"/>
            <c:spPr>
              <a:solidFill>
                <a:srgbClr val="FA621C"/>
              </a:solidFill>
              <a:ln>
                <a:noFill/>
              </a:ln>
              <a:effectLst/>
            </c:spPr>
            <c:extLst>
              <c:ext xmlns:c16="http://schemas.microsoft.com/office/drawing/2014/chart" uri="{C3380CC4-5D6E-409C-BE32-E72D297353CC}">
                <c16:uniqueId val="{00000004-91F3-46E2-9CC8-5C7C5C493A76}"/>
              </c:ext>
            </c:extLst>
          </c:dPt>
          <c:dPt>
            <c:idx val="1"/>
            <c:invertIfNegative val="0"/>
            <c:bubble3D val="0"/>
            <c:spPr>
              <a:solidFill>
                <a:srgbClr val="FA621C"/>
              </a:solidFill>
              <a:ln>
                <a:noFill/>
              </a:ln>
              <a:effectLst/>
            </c:spPr>
            <c:extLst>
              <c:ext xmlns:c16="http://schemas.microsoft.com/office/drawing/2014/chart" uri="{C3380CC4-5D6E-409C-BE32-E72D297353CC}">
                <c16:uniqueId val="{00000003-91F3-46E2-9CC8-5C7C5C493A76}"/>
              </c:ext>
            </c:extLst>
          </c:dPt>
          <c:dPt>
            <c:idx val="2"/>
            <c:invertIfNegative val="0"/>
            <c:bubble3D val="0"/>
            <c:spPr>
              <a:solidFill>
                <a:srgbClr val="25A2AF"/>
              </a:solidFill>
              <a:ln>
                <a:noFill/>
              </a:ln>
              <a:effectLst/>
            </c:spPr>
            <c:extLst>
              <c:ext xmlns:c16="http://schemas.microsoft.com/office/drawing/2014/chart" uri="{C3380CC4-5D6E-409C-BE32-E72D297353CC}">
                <c16:uniqueId val="{00000007-315E-486C-81DA-31B96CDC05B8}"/>
              </c:ext>
            </c:extLst>
          </c:dPt>
          <c:dPt>
            <c:idx val="3"/>
            <c:invertIfNegative val="0"/>
            <c:bubble3D val="0"/>
            <c:spPr>
              <a:solidFill>
                <a:srgbClr val="25A2AF"/>
              </a:solidFill>
              <a:ln>
                <a:noFill/>
              </a:ln>
              <a:effectLst/>
            </c:spPr>
            <c:extLst>
              <c:ext xmlns:c16="http://schemas.microsoft.com/office/drawing/2014/chart" uri="{C3380CC4-5D6E-409C-BE32-E72D297353CC}">
                <c16:uniqueId val="{00000005-315E-486C-81DA-31B96CDC05B8}"/>
              </c:ext>
            </c:extLst>
          </c:dPt>
          <c:dPt>
            <c:idx val="4"/>
            <c:invertIfNegative val="0"/>
            <c:bubble3D val="0"/>
            <c:spPr>
              <a:solidFill>
                <a:srgbClr val="25A2AF"/>
              </a:solidFill>
              <a:ln>
                <a:noFill/>
              </a:ln>
              <a:effectLst/>
            </c:spPr>
            <c:extLst>
              <c:ext xmlns:c16="http://schemas.microsoft.com/office/drawing/2014/chart" uri="{C3380CC4-5D6E-409C-BE32-E72D297353CC}">
                <c16:uniqueId val="{00000006-315E-486C-81DA-31B96CDC05B8}"/>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Dashboard!$AF$24:$AF$28</c:f>
              <c:strCache>
                <c:ptCount val="5"/>
                <c:pt idx="0">
                  <c:v>52-Week Trading</c:v>
                </c:pt>
                <c:pt idx="1">
                  <c:v>Consensus Research </c:v>
                </c:pt>
                <c:pt idx="2">
                  <c:v>Precedent Tx</c:v>
                </c:pt>
                <c:pt idx="3">
                  <c:v>SOTP</c:v>
                </c:pt>
                <c:pt idx="4">
                  <c:v>DCF</c:v>
                </c:pt>
              </c:strCache>
            </c:strRef>
          </c:cat>
          <c:val>
            <c:numRef>
              <c:f>Dashboard!$AH$24:$AH$28</c:f>
              <c:numCache>
                <c:formatCode>"$"#,##0;\-"$"#,##0</c:formatCode>
                <c:ptCount val="5"/>
                <c:pt idx="0">
                  <c:v>3531</c:v>
                </c:pt>
                <c:pt idx="1">
                  <c:v>5200</c:v>
                </c:pt>
                <c:pt idx="2">
                  <c:v>2119.4930799564122</c:v>
                </c:pt>
                <c:pt idx="3">
                  <c:v>7992.7173015322123</c:v>
                </c:pt>
                <c:pt idx="4">
                  <c:v>6162.6674221040366</c:v>
                </c:pt>
              </c:numCache>
            </c:numRef>
          </c:val>
          <c:extLst>
            <c:ext xmlns:c16="http://schemas.microsoft.com/office/drawing/2014/chart" uri="{C3380CC4-5D6E-409C-BE32-E72D297353CC}">
              <c16:uniqueId val="{00000001-91F3-46E2-9CC8-5C7C5C493A76}"/>
            </c:ext>
          </c:extLst>
        </c:ser>
        <c:ser>
          <c:idx val="0"/>
          <c:order val="1"/>
          <c:spPr>
            <a:solidFill>
              <a:schemeClr val="bg1"/>
            </a:solidFill>
            <a:ln>
              <a:solidFill>
                <a:schemeClr val="bg1"/>
              </a:solidFill>
            </a:ln>
            <a:effectLst/>
          </c:spPr>
          <c:invertIfNegative val="0"/>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Dashboard!$AF$24:$AF$28</c:f>
              <c:strCache>
                <c:ptCount val="5"/>
                <c:pt idx="0">
                  <c:v>52-Week Trading</c:v>
                </c:pt>
                <c:pt idx="1">
                  <c:v>Consensus Research </c:v>
                </c:pt>
                <c:pt idx="2">
                  <c:v>Precedent Tx</c:v>
                </c:pt>
                <c:pt idx="3">
                  <c:v>SOTP</c:v>
                </c:pt>
                <c:pt idx="4">
                  <c:v>DCF</c:v>
                </c:pt>
              </c:strCache>
            </c:strRef>
          </c:cat>
          <c:val>
            <c:numRef>
              <c:f>Dashboard!$AG$24:$AG$28</c:f>
              <c:numCache>
                <c:formatCode>"$"#,##0;\-"$"#,##0</c:formatCode>
                <c:ptCount val="5"/>
                <c:pt idx="0">
                  <c:v>1846</c:v>
                </c:pt>
                <c:pt idx="1">
                  <c:v>3700</c:v>
                </c:pt>
                <c:pt idx="2">
                  <c:v>524.71239093804593</c:v>
                </c:pt>
                <c:pt idx="3">
                  <c:v>2272.406895953221</c:v>
                </c:pt>
                <c:pt idx="4">
                  <c:v>3375.3624374697561</c:v>
                </c:pt>
              </c:numCache>
            </c:numRef>
          </c:val>
          <c:extLst>
            <c:ext xmlns:c16="http://schemas.microsoft.com/office/drawing/2014/chart" uri="{C3380CC4-5D6E-409C-BE32-E72D297353CC}">
              <c16:uniqueId val="{00000000-91F3-46E2-9CC8-5C7C5C493A76}"/>
            </c:ext>
          </c:extLst>
        </c:ser>
        <c:dLbls>
          <c:dLblPos val="outEnd"/>
          <c:showLegendKey val="0"/>
          <c:showVal val="1"/>
          <c:showCatName val="0"/>
          <c:showSerName val="0"/>
          <c:showPercent val="0"/>
          <c:showBubbleSize val="0"/>
        </c:dLbls>
        <c:gapWidth val="182"/>
        <c:overlap val="100"/>
        <c:axId val="1750772160"/>
        <c:axId val="1750839968"/>
      </c:barChart>
      <c:scatterChart>
        <c:scatterStyle val="lineMarker"/>
        <c:varyColors val="0"/>
        <c:ser>
          <c:idx val="2"/>
          <c:order val="2"/>
          <c:tx>
            <c:strRef>
              <c:f>Dashboard!$AI$22</c:f>
              <c:strCache>
                <c:ptCount val="1"/>
                <c:pt idx="0">
                  <c:v>Current Share Price</c:v>
                </c:pt>
              </c:strCache>
            </c:strRef>
          </c:tx>
          <c:spPr>
            <a:ln w="28575" cap="rnd">
              <a:solidFill>
                <a:srgbClr val="ED942D"/>
              </a:solidFill>
              <a:prstDash val="sysDash"/>
              <a:round/>
            </a:ln>
            <a:effectLst/>
          </c:spPr>
          <c:marker>
            <c:symbol val="none"/>
          </c:marker>
          <c:dLbls>
            <c:dLbl>
              <c:idx val="0"/>
              <c:layout>
                <c:manualLayout>
                  <c:x val="-0.18445633621798321"/>
                  <c:y val="0.11376045754053438"/>
                </c:manualLayout>
              </c:layout>
              <c:tx>
                <c:rich>
                  <a:bodyPr/>
                  <a:lstStyle/>
                  <a:p>
                    <a:fld id="{37908EFC-8CDF-47D3-87D8-09DF8E7E8D80}" type="SERIESNAME">
                      <a:rPr lang="en-US">
                        <a:solidFill>
                          <a:srgbClr val="ED942D"/>
                        </a:solidFill>
                      </a:rPr>
                      <a:pPr/>
                      <a:t>[SERIES NAME]</a:t>
                    </a:fld>
                    <a:r>
                      <a:rPr lang="en-US">
                        <a:solidFill>
                          <a:srgbClr val="ED942D"/>
                        </a:solidFill>
                      </a:rPr>
                      <a:t>: $3,075</a:t>
                    </a:r>
                  </a:p>
                </c:rich>
              </c:tx>
              <c:showLegendKey val="0"/>
              <c:showVal val="1"/>
              <c:showCatName val="0"/>
              <c:showSerName val="0"/>
              <c:showPercent val="0"/>
              <c:showBubbleSize val="0"/>
              <c:extLst>
                <c:ext xmlns:c15="http://schemas.microsoft.com/office/drawing/2012/chart" uri="{CE6537A1-D6FC-4f65-9D91-7224C49458BB}">
                  <c15:layout>
                    <c:manualLayout>
                      <c:w val="0.24484703357134224"/>
                      <c:h val="4.6696228736096954E-2"/>
                    </c:manualLayout>
                  </c15:layout>
                  <c15:dlblFieldTable/>
                  <c15:showDataLabelsRange val="0"/>
                </c:ext>
                <c:ext xmlns:c16="http://schemas.microsoft.com/office/drawing/2014/chart" uri="{C3380CC4-5D6E-409C-BE32-E72D297353CC}">
                  <c16:uniqueId val="{00000007-91F3-46E2-9CC8-5C7C5C493A76}"/>
                </c:ext>
              </c:extLst>
            </c:dLbl>
            <c:dLbl>
              <c:idx val="1"/>
              <c:delete val="1"/>
              <c:extLst>
                <c:ext xmlns:c15="http://schemas.microsoft.com/office/drawing/2012/chart" uri="{CE6537A1-D6FC-4f65-9D91-7224C49458BB}"/>
                <c:ext xmlns:c16="http://schemas.microsoft.com/office/drawing/2014/chart" uri="{C3380CC4-5D6E-409C-BE32-E72D297353CC}">
                  <c16:uniqueId val="{00000006-91F3-46E2-9CC8-5C7C5C493A76}"/>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Dashboard!$AI$24:$AI$25</c:f>
              <c:numCache>
                <c:formatCode>"$"#,##0;\-"$"#,##0</c:formatCode>
                <c:ptCount val="2"/>
                <c:pt idx="0">
                  <c:v>3074.96</c:v>
                </c:pt>
                <c:pt idx="1">
                  <c:v>3074.96</c:v>
                </c:pt>
              </c:numCache>
            </c:numRef>
          </c:xVal>
          <c:yVal>
            <c:numRef>
              <c:f>Dashboard!$AJ$24:$AJ$25</c:f>
              <c:numCache>
                <c:formatCode>"$"#,##0;\-"$"#,##0</c:formatCode>
                <c:ptCount val="2"/>
                <c:pt idx="0">
                  <c:v>0</c:v>
                </c:pt>
                <c:pt idx="1">
                  <c:v>5</c:v>
                </c:pt>
              </c:numCache>
            </c:numRef>
          </c:yVal>
          <c:smooth val="0"/>
          <c:extLst>
            <c:ext xmlns:c16="http://schemas.microsoft.com/office/drawing/2014/chart" uri="{C3380CC4-5D6E-409C-BE32-E72D297353CC}">
              <c16:uniqueId val="{00000005-91F3-46E2-9CC8-5C7C5C493A76}"/>
            </c:ext>
          </c:extLst>
        </c:ser>
        <c:ser>
          <c:idx val="3"/>
          <c:order val="3"/>
          <c:tx>
            <c:strRef>
              <c:f>Dashboard!$AK$22</c:f>
              <c:strCache>
                <c:ptCount val="1"/>
                <c:pt idx="0">
                  <c:v>Average Implied Value</c:v>
                </c:pt>
              </c:strCache>
            </c:strRef>
          </c:tx>
          <c:spPr>
            <a:ln w="28575" cap="rnd">
              <a:solidFill>
                <a:srgbClr val="132E57"/>
              </a:solidFill>
              <a:prstDash val="sysDash"/>
              <a:round/>
            </a:ln>
            <a:effectLst/>
          </c:spPr>
          <c:marker>
            <c:symbol val="none"/>
          </c:marker>
          <c:dLbls>
            <c:dLbl>
              <c:idx val="0"/>
              <c:layout>
                <c:manualLayout>
                  <c:x val="-5.17708507101235E-4"/>
                  <c:y val="0.11518920388858182"/>
                </c:manualLayout>
              </c:layout>
              <c:tx>
                <c:rich>
                  <a:bodyPr/>
                  <a:lstStyle/>
                  <a:p>
                    <a:fld id="{E73014D8-C610-4777-8969-7E4CB5EE84AD}" type="SERIESNAME">
                      <a:rPr lang="en-US"/>
                      <a:pPr/>
                      <a:t>[SERIES NAME]</a:t>
                    </a:fld>
                    <a:r>
                      <a:rPr lang="en-US"/>
                      <a:t>: $3,735</a:t>
                    </a:r>
                  </a:p>
                </c:rich>
              </c:tx>
              <c:showLegendKey val="0"/>
              <c:showVal val="1"/>
              <c:showCatName val="0"/>
              <c:showSerName val="0"/>
              <c:showPercent val="0"/>
              <c:showBubbleSize val="0"/>
              <c:extLst>
                <c:ext xmlns:c15="http://schemas.microsoft.com/office/drawing/2012/chart" uri="{CE6537A1-D6FC-4f65-9D91-7224C49458BB}">
                  <c15:layout>
                    <c:manualLayout>
                      <c:w val="0.2478632197689048"/>
                      <c:h val="6.4778021083085127E-2"/>
                    </c:manualLayout>
                  </c15:layout>
                  <c15:dlblFieldTable/>
                  <c15:showDataLabelsRange val="0"/>
                </c:ext>
                <c:ext xmlns:c16="http://schemas.microsoft.com/office/drawing/2014/chart" uri="{C3380CC4-5D6E-409C-BE32-E72D297353CC}">
                  <c16:uniqueId val="{0000002C-91F3-46E2-9CC8-5C7C5C493A76}"/>
                </c:ext>
              </c:extLst>
            </c:dLbl>
            <c:dLbl>
              <c:idx val="1"/>
              <c:delete val="1"/>
              <c:extLst>
                <c:ext xmlns:c15="http://schemas.microsoft.com/office/drawing/2012/chart" uri="{CE6537A1-D6FC-4f65-9D91-7224C49458BB}"/>
                <c:ext xmlns:c16="http://schemas.microsoft.com/office/drawing/2014/chart" uri="{C3380CC4-5D6E-409C-BE32-E72D297353CC}">
                  <c16:uniqueId val="{0000002D-91F3-46E2-9CC8-5C7C5C493A76}"/>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Dashboard!$AK$24:$AK$25</c:f>
              <c:numCache>
                <c:formatCode>"$"#,##0;\-"$"#,##0</c:formatCode>
                <c:ptCount val="2"/>
                <c:pt idx="0">
                  <c:v>3741.2265879922802</c:v>
                </c:pt>
                <c:pt idx="1">
                  <c:v>3741.2265879922802</c:v>
                </c:pt>
              </c:numCache>
            </c:numRef>
          </c:xVal>
          <c:yVal>
            <c:numRef>
              <c:f>Dashboard!$AL$24:$AL$25</c:f>
              <c:numCache>
                <c:formatCode>"$"#,##0;\-"$"#,##0</c:formatCode>
                <c:ptCount val="2"/>
                <c:pt idx="0">
                  <c:v>0</c:v>
                </c:pt>
                <c:pt idx="1">
                  <c:v>5</c:v>
                </c:pt>
              </c:numCache>
            </c:numRef>
          </c:yVal>
          <c:smooth val="0"/>
          <c:extLst>
            <c:ext xmlns:c16="http://schemas.microsoft.com/office/drawing/2014/chart" uri="{C3380CC4-5D6E-409C-BE32-E72D297353CC}">
              <c16:uniqueId val="{0000002A-91F3-46E2-9CC8-5C7C5C493A76}"/>
            </c:ext>
          </c:extLst>
        </c:ser>
        <c:dLbls>
          <c:showLegendKey val="0"/>
          <c:showVal val="0"/>
          <c:showCatName val="0"/>
          <c:showSerName val="0"/>
          <c:showPercent val="0"/>
          <c:showBubbleSize val="0"/>
        </c:dLbls>
        <c:axId val="1578216256"/>
        <c:axId val="1578215008"/>
      </c:scatterChart>
      <c:catAx>
        <c:axId val="175077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750839968"/>
        <c:crosses val="autoZero"/>
        <c:auto val="1"/>
        <c:lblAlgn val="ctr"/>
        <c:lblOffset val="100"/>
        <c:noMultiLvlLbl val="0"/>
      </c:catAx>
      <c:valAx>
        <c:axId val="1750839968"/>
        <c:scaling>
          <c:orientation val="minMax"/>
          <c:max val="11000"/>
          <c:min val="0"/>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750772160"/>
        <c:crosses val="autoZero"/>
        <c:crossBetween val="between"/>
      </c:valAx>
      <c:valAx>
        <c:axId val="1578215008"/>
        <c:scaling>
          <c:orientation val="minMax"/>
          <c:max val="5"/>
        </c:scaling>
        <c:delete val="1"/>
        <c:axPos val="r"/>
        <c:numFmt formatCode="&quot;$&quot;#,##0;\-&quot;$&quot;#,##0" sourceLinked="1"/>
        <c:majorTickMark val="out"/>
        <c:minorTickMark val="none"/>
        <c:tickLblPos val="nextTo"/>
        <c:crossAx val="1578216256"/>
        <c:crosses val="max"/>
        <c:crossBetween val="midCat"/>
      </c:valAx>
      <c:valAx>
        <c:axId val="1578216256"/>
        <c:scaling>
          <c:orientation val="minMax"/>
        </c:scaling>
        <c:delete val="1"/>
        <c:axPos val="b"/>
        <c:numFmt formatCode="&quot;$&quot;#,##0;\-&quot;$&quot;#,##0" sourceLinked="1"/>
        <c:majorTickMark val="out"/>
        <c:minorTickMark val="none"/>
        <c:tickLblPos val="nextTo"/>
        <c:crossAx val="15782150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sz="1400" b="1" i="0" u="none" strike="noStrike" baseline="0">
                <a:effectLst/>
              </a:rPr>
              <a:t> Net Earnings &amp; </a:t>
            </a:r>
            <a:r>
              <a:rPr lang="en-US" b="1"/>
              <a:t>EBITDA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0.13427467272112459"/>
          <c:y val="0.15975724087120688"/>
          <c:w val="0.82073555222775063"/>
          <c:h val="0.73628954275452407"/>
        </c:manualLayout>
      </c:layout>
      <c:barChart>
        <c:barDir val="col"/>
        <c:grouping val="clustered"/>
        <c:varyColors val="0"/>
        <c:ser>
          <c:idx val="1"/>
          <c:order val="0"/>
          <c:tx>
            <c:strRef>
              <c:f>Dashboard!$AF$16</c:f>
              <c:strCache>
                <c:ptCount val="1"/>
                <c:pt idx="0">
                  <c:v>Net Earnings</c:v>
                </c:pt>
              </c:strCache>
            </c:strRef>
          </c:tx>
          <c:spPr>
            <a:solidFill>
              <a:srgbClr val="FA621C"/>
            </a:solidFill>
            <a:ln>
              <a:noFill/>
            </a:ln>
            <a:effectLst/>
          </c:spPr>
          <c:invertIfNegative val="0"/>
          <c:cat>
            <c:numRef>
              <c:f>Dashboard!$AH$13:$AO$13</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Dashboard!$AH$16:$AO$16</c:f>
              <c:numCache>
                <c:formatCode>"$"#,##0;\-"$"#,##0</c:formatCode>
                <c:ptCount val="8"/>
                <c:pt idx="0">
                  <c:v>10073</c:v>
                </c:pt>
                <c:pt idx="1">
                  <c:v>11588</c:v>
                </c:pt>
                <c:pt idx="2">
                  <c:v>21331</c:v>
                </c:pt>
                <c:pt idx="3">
                  <c:v>15115.336038837446</c:v>
                </c:pt>
                <c:pt idx="4">
                  <c:v>17778.600972088792</c:v>
                </c:pt>
                <c:pt idx="5">
                  <c:v>20685.72500574118</c:v>
                </c:pt>
                <c:pt idx="6">
                  <c:v>23510.779229258173</c:v>
                </c:pt>
                <c:pt idx="7">
                  <c:v>26181.536039150455</c:v>
                </c:pt>
              </c:numCache>
            </c:numRef>
          </c:val>
          <c:extLst>
            <c:ext xmlns:c16="http://schemas.microsoft.com/office/drawing/2014/chart" uri="{C3380CC4-5D6E-409C-BE32-E72D297353CC}">
              <c16:uniqueId val="{00000001-C403-4C00-AB88-A7DBA5F9E12E}"/>
            </c:ext>
          </c:extLst>
        </c:ser>
        <c:ser>
          <c:idx val="0"/>
          <c:order val="1"/>
          <c:tx>
            <c:strRef>
              <c:f>Dashboard!$AF$14</c:f>
              <c:strCache>
                <c:ptCount val="1"/>
                <c:pt idx="0">
                  <c:v>EBITDA (Excluding SBC)</c:v>
                </c:pt>
              </c:strCache>
            </c:strRef>
          </c:tx>
          <c:spPr>
            <a:solidFill>
              <a:srgbClr val="25A2AF"/>
            </a:solidFill>
            <a:ln>
              <a:noFill/>
            </a:ln>
            <a:effectLst/>
          </c:spPr>
          <c:invertIfNegative val="0"/>
          <c:cat>
            <c:numRef>
              <c:f>Dashboard!$AH$13:$AO$13</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Dashboard!$AH$14:$AO$14</c:f>
              <c:numCache>
                <c:formatCode>"$"#,##0;\-"$"#,##0</c:formatCode>
                <c:ptCount val="8"/>
                <c:pt idx="0">
                  <c:v>33180</c:v>
                </c:pt>
                <c:pt idx="1">
                  <c:v>43194</c:v>
                </c:pt>
                <c:pt idx="2">
                  <c:v>57358</c:v>
                </c:pt>
                <c:pt idx="3">
                  <c:v>49814.076150155794</c:v>
                </c:pt>
                <c:pt idx="4">
                  <c:v>61444.900915308972</c:v>
                </c:pt>
                <c:pt idx="5">
                  <c:v>73810.928804834708</c:v>
                </c:pt>
                <c:pt idx="6">
                  <c:v>86688.249883494107</c:v>
                </c:pt>
                <c:pt idx="7">
                  <c:v>99885.016275553135</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dLbls>
        <c:gapWidth val="70"/>
        <c:overlap val="-27"/>
        <c:axId val="1217181792"/>
        <c:axId val="914393184"/>
      </c:barChart>
      <c:catAx>
        <c:axId val="1217181792"/>
        <c:scaling>
          <c:orientation val="minMax"/>
        </c:scaling>
        <c:delete val="0"/>
        <c:axPos val="b"/>
        <c:numFmt formatCode="0&quot;A&quot;"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914393184"/>
        <c:crosses val="autoZero"/>
        <c:auto val="1"/>
        <c:lblAlgn val="ctr"/>
        <c:lblOffset val="100"/>
        <c:noMultiLvlLbl val="0"/>
      </c:catAx>
      <c:valAx>
        <c:axId val="914393184"/>
        <c:scaling>
          <c:orientation val="minMax"/>
        </c:scaling>
        <c:delete val="0"/>
        <c:axPos val="l"/>
        <c:numFmt formatCode="&quot;$&quot;#,##0_);\(&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217181792"/>
        <c:crosses val="autoZero"/>
        <c:crossBetween val="between"/>
        <c:dispUnits>
          <c:builtInUnit val="thousands"/>
        </c:dispUnits>
      </c:valAx>
      <c:spPr>
        <a:noFill/>
        <a:ln>
          <a:noFill/>
        </a:ln>
        <a:effectLst/>
      </c:spPr>
    </c:plotArea>
    <c:legend>
      <c:legendPos val="t"/>
      <c:layout>
        <c:manualLayout>
          <c:xMode val="edge"/>
          <c:yMode val="edge"/>
          <c:x val="0.13869732541101074"/>
          <c:y val="0.14998830409356728"/>
          <c:w val="0.43221680112071881"/>
          <c:h val="0.14544145139752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t>Revenue Composition (2020A)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pieChart>
        <c:varyColors val="1"/>
        <c:ser>
          <c:idx val="0"/>
          <c:order val="0"/>
          <c:dPt>
            <c:idx val="0"/>
            <c:bubble3D val="0"/>
            <c:spPr>
              <a:solidFill>
                <a:srgbClr val="25A2AF"/>
              </a:solidFill>
              <a:ln>
                <a:noFill/>
              </a:ln>
              <a:effectLst/>
            </c:spPr>
            <c:extLst>
              <c:ext xmlns:c16="http://schemas.microsoft.com/office/drawing/2014/chart" uri="{C3380CC4-5D6E-409C-BE32-E72D297353CC}">
                <c16:uniqueId val="{00000002-5ADE-4813-A211-B4C297FBA7DE}"/>
              </c:ext>
            </c:extLst>
          </c:dPt>
          <c:dPt>
            <c:idx val="1"/>
            <c:bubble3D val="0"/>
            <c:spPr>
              <a:solidFill>
                <a:srgbClr val="FA621C"/>
              </a:solidFill>
              <a:ln>
                <a:noFill/>
              </a:ln>
              <a:effectLst/>
            </c:spPr>
            <c:extLst>
              <c:ext xmlns:c16="http://schemas.microsoft.com/office/drawing/2014/chart" uri="{C3380CC4-5D6E-409C-BE32-E72D297353CC}">
                <c16:uniqueId val="{00000003-5ADE-4813-A211-B4C297FBA7DE}"/>
              </c:ext>
            </c:extLst>
          </c:dPt>
          <c:dPt>
            <c:idx val="2"/>
            <c:bubble3D val="0"/>
            <c:spPr>
              <a:solidFill>
                <a:srgbClr val="B7276E"/>
              </a:solidFill>
              <a:ln>
                <a:noFill/>
              </a:ln>
              <a:effectLst/>
            </c:spPr>
            <c:extLst>
              <c:ext xmlns:c16="http://schemas.microsoft.com/office/drawing/2014/chart" uri="{C3380CC4-5D6E-409C-BE32-E72D297353CC}">
                <c16:uniqueId val="{00000006-5ADE-4813-A211-B4C297FBA7DE}"/>
              </c:ext>
            </c:extLst>
          </c:dPt>
          <c:dPt>
            <c:idx val="3"/>
            <c:bubble3D val="0"/>
            <c:spPr>
              <a:solidFill>
                <a:srgbClr val="ED942D"/>
              </a:solidFill>
              <a:ln>
                <a:noFill/>
              </a:ln>
              <a:effectLst/>
            </c:spPr>
            <c:extLst>
              <c:ext xmlns:c16="http://schemas.microsoft.com/office/drawing/2014/chart" uri="{C3380CC4-5D6E-409C-BE32-E72D297353CC}">
                <c16:uniqueId val="{00000001-5ADE-4813-A211-B4C297FBA7DE}"/>
              </c:ext>
            </c:extLst>
          </c:dPt>
          <c:dPt>
            <c:idx val="4"/>
            <c:bubble3D val="0"/>
            <c:spPr>
              <a:solidFill>
                <a:srgbClr val="3271D2"/>
              </a:solidFill>
              <a:ln>
                <a:noFill/>
              </a:ln>
              <a:effectLst/>
            </c:spPr>
            <c:extLst>
              <c:ext xmlns:c16="http://schemas.microsoft.com/office/drawing/2014/chart" uri="{C3380CC4-5D6E-409C-BE32-E72D297353CC}">
                <c16:uniqueId val="{00000004-5ADE-4813-A211-B4C297FBA7DE}"/>
              </c:ext>
            </c:extLst>
          </c:dPt>
          <c:dPt>
            <c:idx val="5"/>
            <c:bubble3D val="0"/>
            <c:spPr>
              <a:solidFill>
                <a:srgbClr val="1F995B"/>
              </a:solidFill>
              <a:ln>
                <a:noFill/>
              </a:ln>
              <a:effectLst/>
            </c:spPr>
            <c:extLst>
              <c:ext xmlns:c16="http://schemas.microsoft.com/office/drawing/2014/chart" uri="{C3380CC4-5D6E-409C-BE32-E72D297353CC}">
                <c16:uniqueId val="{00000005-5ADE-4813-A211-B4C297FBA7DE}"/>
              </c:ext>
            </c:extLst>
          </c:dPt>
          <c:dLbls>
            <c:dLbl>
              <c:idx val="1"/>
              <c:layout>
                <c:manualLayout>
                  <c:x val="2.875853739529791E-2"/>
                  <c:y val="-9.20681976189617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DE-4813-A211-B4C297FBA7DE}"/>
                </c:ext>
              </c:extLst>
            </c:dLbl>
            <c:dLbl>
              <c:idx val="3"/>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1-5ADE-4813-A211-B4C297FBA7DE}"/>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Dashboard!$AF$33:$AF$38</c:f>
              <c:strCache>
                <c:ptCount val="6"/>
                <c:pt idx="0">
                  <c:v>Online Stores</c:v>
                </c:pt>
                <c:pt idx="1">
                  <c:v>Physical Stores</c:v>
                </c:pt>
                <c:pt idx="2">
                  <c:v>Retail Third-Party Seller Services</c:v>
                </c:pt>
                <c:pt idx="3">
                  <c:v>Subscription Services</c:v>
                </c:pt>
                <c:pt idx="4">
                  <c:v>AWS</c:v>
                </c:pt>
                <c:pt idx="5">
                  <c:v>Other</c:v>
                </c:pt>
              </c:strCache>
            </c:strRef>
          </c:cat>
          <c:val>
            <c:numRef>
              <c:f>Dashboard!$AJ$33:$AJ$38</c:f>
              <c:numCache>
                <c:formatCode>"$"#,##0;\-"$"#,##0</c:formatCode>
                <c:ptCount val="6"/>
                <c:pt idx="0">
                  <c:v>197346</c:v>
                </c:pt>
                <c:pt idx="1">
                  <c:v>16227</c:v>
                </c:pt>
                <c:pt idx="2">
                  <c:v>80461</c:v>
                </c:pt>
                <c:pt idx="3">
                  <c:v>25207</c:v>
                </c:pt>
                <c:pt idx="4">
                  <c:v>45370</c:v>
                </c:pt>
                <c:pt idx="5">
                  <c:v>21453</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CA" b="1"/>
              <a:t>Implied Enterprise Value Summary </a:t>
            </a:r>
            <a:r>
              <a:rPr lang="en-CA" b="1" i="1"/>
              <a:t>(US$ Billions)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barChart>
        <c:barDir val="bar"/>
        <c:grouping val="clustered"/>
        <c:varyColors val="0"/>
        <c:ser>
          <c:idx val="1"/>
          <c:order val="0"/>
          <c:spPr>
            <a:solidFill>
              <a:srgbClr val="132E57"/>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6-B5F1-4421-83FD-3463009103CD}"/>
              </c:ext>
            </c:extLst>
          </c:dPt>
          <c:dPt>
            <c:idx val="1"/>
            <c:invertIfNegative val="0"/>
            <c:bubble3D val="0"/>
            <c:spPr>
              <a:solidFill>
                <a:srgbClr val="FFC000"/>
              </a:solidFill>
              <a:ln>
                <a:noFill/>
              </a:ln>
              <a:effectLst/>
            </c:spPr>
            <c:extLst>
              <c:ext xmlns:c16="http://schemas.microsoft.com/office/drawing/2014/chart" uri="{C3380CC4-5D6E-409C-BE32-E72D297353CC}">
                <c16:uniqueId val="{00000005-B5F1-4421-83FD-3463009103CD}"/>
              </c:ext>
            </c:extLst>
          </c:dPt>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'Implied Value Summary'!$S$17:$S$21</c:f>
              <c:strCache>
                <c:ptCount val="5"/>
                <c:pt idx="0">
                  <c:v>52-Week Trading</c:v>
                </c:pt>
                <c:pt idx="1">
                  <c:v>Consensus Research </c:v>
                </c:pt>
                <c:pt idx="2">
                  <c:v>Precedents</c:v>
                </c:pt>
                <c:pt idx="3">
                  <c:v>SOTP</c:v>
                </c:pt>
                <c:pt idx="4">
                  <c:v>DCF</c:v>
                </c:pt>
              </c:strCache>
            </c:strRef>
          </c:cat>
          <c:val>
            <c:numRef>
              <c:f>'Implied Value Summary'!$U$17:$U$21</c:f>
              <c:numCache>
                <c:formatCode>_(* #,##0_);_(* \(#,##0\);_(* "-"??_);_(@_)</c:formatCode>
                <c:ptCount val="5"/>
                <c:pt idx="0">
                  <c:v>1888.8712000000003</c:v>
                </c:pt>
                <c:pt idx="1">
                  <c:v>2753.7470000000003</c:v>
                </c:pt>
                <c:pt idx="2">
                  <c:v>1157.4283140334128</c:v>
                </c:pt>
                <c:pt idx="3">
                  <c:v>3933.0346157539539</c:v>
                </c:pt>
                <c:pt idx="4">
                  <c:v>3252.601258134312</c:v>
                </c:pt>
              </c:numCache>
            </c:numRef>
          </c:val>
          <c:extLst>
            <c:ext xmlns:c16="http://schemas.microsoft.com/office/drawing/2014/chart" uri="{C3380CC4-5D6E-409C-BE32-E72D297353CC}">
              <c16:uniqueId val="{00000001-B5F1-4421-83FD-3463009103CD}"/>
            </c:ext>
          </c:extLst>
        </c:ser>
        <c:ser>
          <c:idx val="0"/>
          <c:order val="1"/>
          <c:spPr>
            <a:solidFill>
              <a:schemeClr val="bg1"/>
            </a:solidFill>
            <a:ln>
              <a:noFill/>
            </a:ln>
            <a:effectLst/>
          </c:spPr>
          <c:invertIfNegative val="0"/>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'Implied Value Summary'!$S$17:$S$21</c:f>
              <c:strCache>
                <c:ptCount val="5"/>
                <c:pt idx="0">
                  <c:v>52-Week Trading</c:v>
                </c:pt>
                <c:pt idx="1">
                  <c:v>Consensus Research </c:v>
                </c:pt>
                <c:pt idx="2">
                  <c:v>Precedents</c:v>
                </c:pt>
                <c:pt idx="3">
                  <c:v>SOTP</c:v>
                </c:pt>
                <c:pt idx="4">
                  <c:v>DCF</c:v>
                </c:pt>
              </c:strCache>
            </c:strRef>
          </c:cat>
          <c:val>
            <c:numRef>
              <c:f>'Implied Value Summary'!$T$17:$T$21</c:f>
              <c:numCache>
                <c:formatCode>_(* #,##0_);_(* \(#,##0\);_(* "-"??_);_(@_)</c:formatCode>
                <c:ptCount val="5"/>
                <c:pt idx="0">
                  <c:v>1015.7042</c:v>
                </c:pt>
                <c:pt idx="1">
                  <c:v>1976.4470000000003</c:v>
                </c:pt>
                <c:pt idx="2">
                  <c:v>331.0129609840954</c:v>
                </c:pt>
                <c:pt idx="3">
                  <c:v>1330.4821518664182</c:v>
                </c:pt>
                <c:pt idx="4">
                  <c:v>1808.2198150968277</c:v>
                </c:pt>
              </c:numCache>
            </c:numRef>
          </c:val>
          <c:extLst>
            <c:ext xmlns:c16="http://schemas.microsoft.com/office/drawing/2014/chart" uri="{C3380CC4-5D6E-409C-BE32-E72D297353CC}">
              <c16:uniqueId val="{00000000-B5F1-4421-83FD-3463009103CD}"/>
            </c:ext>
          </c:extLst>
        </c:ser>
        <c:dLbls>
          <c:showLegendKey val="0"/>
          <c:showVal val="0"/>
          <c:showCatName val="0"/>
          <c:showSerName val="0"/>
          <c:showPercent val="0"/>
          <c:showBubbleSize val="0"/>
        </c:dLbls>
        <c:gapWidth val="70"/>
        <c:overlap val="100"/>
        <c:axId val="2088793888"/>
        <c:axId val="2088791808"/>
      </c:barChart>
      <c:catAx>
        <c:axId val="2088793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2088791808"/>
        <c:crosses val="autoZero"/>
        <c:auto val="1"/>
        <c:lblAlgn val="ctr"/>
        <c:lblOffset val="100"/>
        <c:noMultiLvlLbl val="0"/>
      </c:catAx>
      <c:valAx>
        <c:axId val="2088791808"/>
        <c:scaling>
          <c:orientation val="minMax"/>
          <c:max val="6000"/>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208879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52635640411789664"/>
          <c:y val="2.953473087296061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0.39623080839895813"/>
          <c:y val="0.23668022642988837"/>
          <c:w val="0.35549589199274545"/>
          <c:h val="0.65318311167341736"/>
        </c:manualLayout>
      </c:layout>
      <c:pieChart>
        <c:varyColors val="1"/>
        <c:ser>
          <c:idx val="0"/>
          <c:order val="0"/>
          <c:tx>
            <c:strRef>
              <c:f>Outputs!$S$50</c:f>
              <c:strCache>
                <c:ptCount val="1"/>
                <c:pt idx="0">
                  <c:v>2020A</c:v>
                </c:pt>
              </c:strCache>
            </c:strRef>
          </c:tx>
          <c:dPt>
            <c:idx val="0"/>
            <c:bubble3D val="0"/>
            <c:spPr>
              <a:solidFill>
                <a:srgbClr val="25A2AF"/>
              </a:solidFill>
              <a:ln>
                <a:noFill/>
              </a:ln>
              <a:effectLst/>
            </c:spPr>
            <c:extLst>
              <c:ext xmlns:c16="http://schemas.microsoft.com/office/drawing/2014/chart" uri="{C3380CC4-5D6E-409C-BE32-E72D297353CC}">
                <c16:uniqueId val="{00000001-5826-4CAA-A380-8F7BF99B8392}"/>
              </c:ext>
            </c:extLst>
          </c:dPt>
          <c:dPt>
            <c:idx val="1"/>
            <c:bubble3D val="0"/>
            <c:spPr>
              <a:solidFill>
                <a:schemeClr val="accent2"/>
              </a:solidFill>
              <a:ln>
                <a:noFill/>
              </a:ln>
              <a:effectLst/>
            </c:spPr>
            <c:extLst>
              <c:ext xmlns:c16="http://schemas.microsoft.com/office/drawing/2014/chart" uri="{C3380CC4-5D6E-409C-BE32-E72D297353CC}">
                <c16:uniqueId val="{00000003-5826-4CAA-A380-8F7BF99B8392}"/>
              </c:ext>
            </c:extLst>
          </c:dPt>
          <c:dPt>
            <c:idx val="2"/>
            <c:bubble3D val="0"/>
            <c:spPr>
              <a:solidFill>
                <a:srgbClr val="B7276E"/>
              </a:solidFill>
              <a:ln>
                <a:noFill/>
              </a:ln>
              <a:effectLst/>
            </c:spPr>
            <c:extLst>
              <c:ext xmlns:c16="http://schemas.microsoft.com/office/drawing/2014/chart" uri="{C3380CC4-5D6E-409C-BE32-E72D297353CC}">
                <c16:uniqueId val="{00000005-5826-4CAA-A380-8F7BF99B8392}"/>
              </c:ext>
            </c:extLst>
          </c:dPt>
          <c:dPt>
            <c:idx val="3"/>
            <c:bubble3D val="0"/>
            <c:spPr>
              <a:solidFill>
                <a:schemeClr val="accent4"/>
              </a:solidFill>
              <a:ln>
                <a:noFill/>
              </a:ln>
              <a:effectLst/>
            </c:spPr>
            <c:extLst>
              <c:ext xmlns:c16="http://schemas.microsoft.com/office/drawing/2014/chart" uri="{C3380CC4-5D6E-409C-BE32-E72D297353CC}">
                <c16:uniqueId val="{00000007-5826-4CAA-A380-8F7BF99B8392}"/>
              </c:ext>
            </c:extLst>
          </c:dPt>
          <c:dPt>
            <c:idx val="4"/>
            <c:bubble3D val="0"/>
            <c:spPr>
              <a:solidFill>
                <a:schemeClr val="accent5"/>
              </a:solidFill>
              <a:ln>
                <a:noFill/>
              </a:ln>
              <a:effectLst/>
            </c:spPr>
            <c:extLst>
              <c:ext xmlns:c16="http://schemas.microsoft.com/office/drawing/2014/chart" uri="{C3380CC4-5D6E-409C-BE32-E72D297353CC}">
                <c16:uniqueId val="{00000009-5826-4CAA-A380-8F7BF99B8392}"/>
              </c:ext>
            </c:extLst>
          </c:dPt>
          <c:dPt>
            <c:idx val="5"/>
            <c:bubble3D val="0"/>
            <c:spPr>
              <a:solidFill>
                <a:schemeClr val="accent6"/>
              </a:solidFill>
              <a:ln>
                <a:noFill/>
              </a:ln>
              <a:effectLst/>
            </c:spPr>
            <c:extLst>
              <c:ext xmlns:c16="http://schemas.microsoft.com/office/drawing/2014/chart" uri="{C3380CC4-5D6E-409C-BE32-E72D297353CC}">
                <c16:uniqueId val="{0000000B-5826-4CAA-A380-8F7BF99B8392}"/>
              </c:ext>
            </c:extLst>
          </c:dPt>
          <c:dLbls>
            <c:dLbl>
              <c:idx val="0"/>
              <c:tx>
                <c:rich>
                  <a:bodyPr/>
                  <a:lstStyle/>
                  <a:p>
                    <a:fld id="{0E5BC6E7-EC1C-4852-9C7F-716809366E8C}" type="PERCENTAGE">
                      <a:rPr lang="en-US"/>
                      <a:pPr/>
                      <a:t>[PERCENTAGE]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826-4CAA-A380-8F7BF99B8392}"/>
                </c:ext>
              </c:extLst>
            </c:dLbl>
            <c:dLbl>
              <c:idx val="1"/>
              <c:tx>
                <c:rich>
                  <a:bodyPr/>
                  <a:lstStyle/>
                  <a:p>
                    <a:fld id="{F6DAD4CB-F5BA-4023-8E40-D60670729DCE}" type="PERCENTAGE">
                      <a:rPr lang="en-US"/>
                      <a:pPr/>
                      <a:t>[PERCENTAGE]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826-4CAA-A380-8F7BF99B8392}"/>
                </c:ext>
              </c:extLst>
            </c:dLbl>
            <c:dLbl>
              <c:idx val="2"/>
              <c:tx>
                <c:rich>
                  <a:bodyPr/>
                  <a:lstStyle/>
                  <a:p>
                    <a:fld id="{ABAEB17A-65B2-4259-944B-5BD4F5583B69}" type="PERCENTAGE">
                      <a:rPr lang="en-US"/>
                      <a:pPr/>
                      <a:t>[PERCENTAGE]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826-4CAA-A380-8F7BF99B8392}"/>
                </c:ext>
              </c:extLst>
            </c:dLbl>
            <c:dLbl>
              <c:idx val="3"/>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42001CBF-E05C-4E65-AE3D-9B1700699903}" type="PERCENTAGE">
                      <a:rPr lang="en-US">
                        <a:solidFill>
                          <a:sysClr val="windowText" lastClr="000000"/>
                        </a:solidFill>
                      </a:rPr>
                      <a:pPr>
                        <a:defRPr>
                          <a:solidFill>
                            <a:sysClr val="windowText" lastClr="000000"/>
                          </a:solidFill>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IN"/>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5826-4CAA-A380-8F7BF99B8392}"/>
                </c:ext>
              </c:extLst>
            </c:dLbl>
            <c:dLbl>
              <c:idx val="4"/>
              <c:tx>
                <c:rich>
                  <a:bodyPr/>
                  <a:lstStyle/>
                  <a:p>
                    <a:fld id="{C6FB5D2B-4CBE-4A6E-ACD9-7328FC58ECD5}" type="PERCENTAGE">
                      <a:rPr lang="en-US"/>
                      <a:pPr/>
                      <a:t>[PERCENTAGE]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5826-4CAA-A380-8F7BF99B8392}"/>
                </c:ext>
              </c:extLst>
            </c:dLbl>
            <c:dLbl>
              <c:idx val="5"/>
              <c:tx>
                <c:rich>
                  <a:bodyPr/>
                  <a:lstStyle/>
                  <a:p>
                    <a:fld id="{6F9C9ED2-B6ED-4739-9841-B39B41D59999}" type="PERCENTAGE">
                      <a:rPr lang="en-US"/>
                      <a:pPr/>
                      <a:t>[PERCENTAGE]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5826-4CAA-A380-8F7BF99B83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Outputs!$Q$51:$R$56</c:f>
              <c:strCache>
                <c:ptCount val="6"/>
                <c:pt idx="0">
                  <c:v>Online Stores</c:v>
                </c:pt>
                <c:pt idx="1">
                  <c:v>Physical Stores</c:v>
                </c:pt>
                <c:pt idx="2">
                  <c:v>Retail Third-Party Seller Services</c:v>
                </c:pt>
                <c:pt idx="3">
                  <c:v>Subscription Services</c:v>
                </c:pt>
                <c:pt idx="4">
                  <c:v>AWS</c:v>
                </c:pt>
                <c:pt idx="5">
                  <c:v>Other</c:v>
                </c:pt>
              </c:strCache>
            </c:strRef>
          </c:cat>
          <c:val>
            <c:numRef>
              <c:f>Outputs!$S$51:$S$56</c:f>
              <c:numCache>
                <c:formatCode>"$"#,##0;\-"$"#,##0</c:formatCode>
                <c:ptCount val="6"/>
                <c:pt idx="0">
                  <c:v>197346</c:v>
                </c:pt>
                <c:pt idx="1">
                  <c:v>16227</c:v>
                </c:pt>
                <c:pt idx="2">
                  <c:v>80461</c:v>
                </c:pt>
                <c:pt idx="3">
                  <c:v>25207</c:v>
                </c:pt>
                <c:pt idx="4">
                  <c:v>45370</c:v>
                </c:pt>
                <c:pt idx="5">
                  <c:v>21453</c:v>
                </c:pt>
              </c:numCache>
            </c:numRef>
          </c:val>
          <c:extLst>
            <c:ext xmlns:c16="http://schemas.microsoft.com/office/drawing/2014/chart" uri="{C3380CC4-5D6E-409C-BE32-E72D297353CC}">
              <c16:uniqueId val="{0000000C-5826-4CAA-A380-8F7BF99B8392}"/>
            </c:ext>
          </c:extLst>
        </c:ser>
        <c:dLbls>
          <c:showLegendKey val="0"/>
          <c:showVal val="0"/>
          <c:showCatName val="0"/>
          <c:showSerName val="0"/>
          <c:showPercent val="0"/>
          <c:showBubbleSize val="0"/>
          <c:showLeaderLines val="1"/>
        </c:dLbls>
        <c:firstSliceAng val="0"/>
      </c:pieChart>
      <c:spPr>
        <a:noFill/>
        <a:ln>
          <a:noFill/>
        </a:ln>
        <a:effectLst/>
      </c:spPr>
    </c:plotArea>
    <c:legend>
      <c:legendPos val="l"/>
      <c:layout>
        <c:manualLayout>
          <c:xMode val="edge"/>
          <c:yMode val="edge"/>
          <c:x val="2.6259483444307126E-2"/>
          <c:y val="0.32410051377109217"/>
          <c:w val="0.3328542984490479"/>
          <c:h val="0.487433201857624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0"/>
          <c:order val="0"/>
          <c:tx>
            <c:strRef>
              <c:f>Outputs!$Q$8:$R$8</c:f>
              <c:strCache>
                <c:ptCount val="2"/>
                <c:pt idx="0">
                  <c:v>Base Case</c:v>
                </c:pt>
              </c:strCache>
            </c:strRef>
          </c:tx>
          <c:spPr>
            <a:solidFill>
              <a:srgbClr val="132E57"/>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Outputs!$S$8:$AC$8</c:f>
              <c:numCache>
                <c:formatCode>"$"#,##0;\-"$"#,##0</c:formatCode>
                <c:ptCount val="11"/>
                <c:pt idx="0">
                  <c:v>501746.89221783733</c:v>
                </c:pt>
                <c:pt idx="1">
                  <c:v>627105.7885271376</c:v>
                </c:pt>
                <c:pt idx="2">
                  <c:v>757039.18970139662</c:v>
                </c:pt>
                <c:pt idx="3">
                  <c:v>886470.93194407481</c:v>
                </c:pt>
                <c:pt idx="4">
                  <c:v>1010963.5118962658</c:v>
                </c:pt>
                <c:pt idx="5">
                  <c:v>1127102.7717632158</c:v>
                </c:pt>
                <c:pt idx="6">
                  <c:v>1232634.7958348214</c:v>
                </c:pt>
                <c:pt idx="7">
                  <c:v>1326401.9983294045</c:v>
                </c:pt>
                <c:pt idx="8">
                  <c:v>1408155.103729395</c:v>
                </c:pt>
                <c:pt idx="9">
                  <c:v>1478315.5105760412</c:v>
                </c:pt>
                <c:pt idx="10">
                  <c:v>1537742.7122168522</c:v>
                </c:pt>
              </c:numCache>
            </c:numRef>
          </c:val>
          <c:extLst>
            <c:ext xmlns:c16="http://schemas.microsoft.com/office/drawing/2014/chart" uri="{C3380CC4-5D6E-409C-BE32-E72D297353CC}">
              <c16:uniqueId val="{00000000-D3F4-4663-BDD5-C52F9EB94CC6}"/>
            </c:ext>
          </c:extLst>
        </c:ser>
        <c:ser>
          <c:idx val="1"/>
          <c:order val="1"/>
          <c:tx>
            <c:strRef>
              <c:f>Outputs!$Q$9:$R$9</c:f>
              <c:strCache>
                <c:ptCount val="2"/>
                <c:pt idx="0">
                  <c:v>Bull Case</c:v>
                </c:pt>
              </c:strCache>
            </c:strRef>
          </c:tx>
          <c:spPr>
            <a:solidFill>
              <a:srgbClr val="25A2AF"/>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Outputs!$S$9:$AC$9</c:f>
              <c:numCache>
                <c:formatCode>"$"#,##0;\-"$"#,##0</c:formatCode>
                <c:ptCount val="11"/>
                <c:pt idx="0">
                  <c:v>530667.61527229671</c:v>
                </c:pt>
                <c:pt idx="1">
                  <c:v>697620.16770111886</c:v>
                </c:pt>
                <c:pt idx="2">
                  <c:v>880881.96269561234</c:v>
                </c:pt>
                <c:pt idx="3">
                  <c:v>1073034.6541610602</c:v>
                </c:pt>
                <c:pt idx="4">
                  <c:v>1266392.1354114546</c:v>
                </c:pt>
                <c:pt idx="5">
                  <c:v>1453999.6289424305</c:v>
                </c:pt>
                <c:pt idx="6">
                  <c:v>1630318.6763404976</c:v>
                </c:pt>
                <c:pt idx="7">
                  <c:v>1791530.8754619965</c:v>
                </c:pt>
                <c:pt idx="8">
                  <c:v>1935510.0991608407</c:v>
                </c:pt>
                <c:pt idx="9">
                  <c:v>2061574.8111342755</c:v>
                </c:pt>
                <c:pt idx="10">
                  <c:v>2170139.1910049575</c:v>
                </c:pt>
              </c:numCache>
            </c:numRef>
          </c:val>
          <c:extLst>
            <c:ext xmlns:c16="http://schemas.microsoft.com/office/drawing/2014/chart" uri="{C3380CC4-5D6E-409C-BE32-E72D297353CC}">
              <c16:uniqueId val="{00000001-D3F4-4663-BDD5-C52F9EB94CC6}"/>
            </c:ext>
          </c:extLst>
        </c:ser>
        <c:ser>
          <c:idx val="2"/>
          <c:order val="2"/>
          <c:tx>
            <c:strRef>
              <c:f>Outputs!$Q$10:$R$10</c:f>
              <c:strCache>
                <c:ptCount val="2"/>
                <c:pt idx="0">
                  <c:v>Bear Case</c:v>
                </c:pt>
              </c:strCache>
            </c:strRef>
          </c:tx>
          <c:spPr>
            <a:solidFill>
              <a:schemeClr val="accent3"/>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Outputs!$S$10:$AC$10</c:f>
              <c:numCache>
                <c:formatCode>"$"#,##0;\-"$"#,##0</c:formatCode>
                <c:ptCount val="11"/>
                <c:pt idx="0">
                  <c:v>472826.16916337796</c:v>
                </c:pt>
                <c:pt idx="1">
                  <c:v>560692.9821700349</c:v>
                </c:pt>
                <c:pt idx="2">
                  <c:v>646446.59111951489</c:v>
                </c:pt>
                <c:pt idx="3">
                  <c:v>727471.12372385256</c:v>
                </c:pt>
                <c:pt idx="4">
                  <c:v>801911.23216879996</c:v>
                </c:pt>
                <c:pt idx="5">
                  <c:v>868679.99388210382</c:v>
                </c:pt>
                <c:pt idx="6">
                  <c:v>927361.87185068533</c:v>
                </c:pt>
                <c:pt idx="7">
                  <c:v>978062.61471281771</c:v>
                </c:pt>
                <c:pt idx="8">
                  <c:v>1021248.6647696287</c:v>
                </c:pt>
                <c:pt idx="9">
                  <c:v>1057603.3113400955</c:v>
                </c:pt>
                <c:pt idx="10">
                  <c:v>1087912.3867459062</c:v>
                </c:pt>
              </c:numCache>
            </c:numRef>
          </c:val>
          <c:extLst>
            <c:ext xmlns:c16="http://schemas.microsoft.com/office/drawing/2014/chart" uri="{C3380CC4-5D6E-409C-BE32-E72D297353CC}">
              <c16:uniqueId val="{00000002-D3F4-4663-BDD5-C52F9EB94CC6}"/>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50623"/>
        <c:crosses val="autoZero"/>
        <c:auto val="1"/>
        <c:lblAlgn val="ctr"/>
        <c:lblOffset val="100"/>
        <c:noMultiLvlLbl val="0"/>
      </c:catAx>
      <c:valAx>
        <c:axId val="221950623"/>
        <c:scaling>
          <c:orientation val="minMax"/>
        </c:scaling>
        <c:delete val="0"/>
        <c:axPos val="l"/>
        <c:numFmt formatCode="&quot;$&quot;#,##0;\-&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70591"/>
        <c:crosses val="autoZero"/>
        <c:crossBetween val="between"/>
      </c:valAx>
      <c:spPr>
        <a:noFill/>
        <a:ln>
          <a:noFill/>
        </a:ln>
        <a:effectLst/>
      </c:spPr>
    </c:plotArea>
    <c:legend>
      <c:legendPos val="t"/>
      <c:layout>
        <c:manualLayout>
          <c:xMode val="edge"/>
          <c:yMode val="edge"/>
          <c:x val="0.1303182652096129"/>
          <c:y val="2.6191590916000367E-2"/>
          <c:w val="0.3496148508850826"/>
          <c:h val="9.166944498612937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1"/>
          <c:order val="0"/>
          <c:tx>
            <c:strRef>
              <c:f>Outputs!$Q$14</c:f>
              <c:strCache>
                <c:ptCount val="1"/>
                <c:pt idx="0">
                  <c:v>Base Case EBITDA</c:v>
                </c:pt>
              </c:strCache>
            </c:strRef>
          </c:tx>
          <c:spPr>
            <a:solidFill>
              <a:srgbClr val="25A2AF"/>
            </a:solidFill>
            <a:ln>
              <a:noFill/>
            </a:ln>
            <a:effectLst/>
          </c:spPr>
          <c:invertIfNegative val="0"/>
          <c:val>
            <c:numRef>
              <c:f>Outputs!$S$14:$AC$14</c:f>
              <c:numCache>
                <c:formatCode>"$"#,##0;\-"$"#,##0</c:formatCode>
                <c:ptCount val="11"/>
                <c:pt idx="0">
                  <c:v>52050.653549403178</c:v>
                </c:pt>
                <c:pt idx="1">
                  <c:v>66876.696503684972</c:v>
                </c:pt>
                <c:pt idx="2">
                  <c:v>83338.572240235488</c:v>
                </c:pt>
                <c:pt idx="3">
                  <c:v>101090.50096847929</c:v>
                </c:pt>
                <c:pt idx="4">
                  <c:v>119784.17885472803</c:v>
                </c:pt>
                <c:pt idx="5">
                  <c:v>139105.05923457351</c:v>
                </c:pt>
                <c:pt idx="6">
                  <c:v>154715.98602949275</c:v>
                </c:pt>
                <c:pt idx="7">
                  <c:v>173554.43966811278</c:v>
                </c:pt>
                <c:pt idx="8">
                  <c:v>193442.11218799016</c:v>
                </c:pt>
                <c:pt idx="9">
                  <c:v>213269.36750927678</c:v>
                </c:pt>
                <c:pt idx="10">
                  <c:v>219701.27222934866</c:v>
                </c:pt>
              </c:numCache>
            </c:numRef>
          </c:val>
          <c:extLst>
            <c:ext xmlns:c16="http://schemas.microsoft.com/office/drawing/2014/chart" uri="{C3380CC4-5D6E-409C-BE32-E72D297353CC}">
              <c16:uniqueId val="{00000000-6ECE-4653-B1F3-65494F0A412D}"/>
            </c:ext>
          </c:extLst>
        </c:ser>
        <c:ser>
          <c:idx val="0"/>
          <c:order val="1"/>
          <c:tx>
            <c:strRef>
              <c:f>Outputs!$Q$20:$R$20</c:f>
              <c:strCache>
                <c:ptCount val="2"/>
                <c:pt idx="0">
                  <c:v>Base Case FCFF</c:v>
                </c:pt>
              </c:strCache>
            </c:strRef>
          </c:tx>
          <c:spPr>
            <a:solidFill>
              <a:schemeClr val="accent1"/>
            </a:solidFill>
            <a:ln>
              <a:noFill/>
            </a:ln>
            <a:effectLst/>
          </c:spPr>
          <c:invertIfNegative val="0"/>
          <c:cat>
            <c:numRef>
              <c:f>Outputs!$S$13:$AC$13</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Outputs!$S$20:$AC$20</c:f>
              <c:numCache>
                <c:formatCode>"$"#,##0;\-"$"#,##0</c:formatCode>
                <c:ptCount val="11"/>
                <c:pt idx="0">
                  <c:v>20613.91861976662</c:v>
                </c:pt>
                <c:pt idx="1">
                  <c:v>40835.291584577695</c:v>
                </c:pt>
                <c:pt idx="2">
                  <c:v>48539.052532119618</c:v>
                </c:pt>
                <c:pt idx="3">
                  <c:v>56623.673220765326</c:v>
                </c:pt>
                <c:pt idx="4">
                  <c:v>65479.927654103252</c:v>
                </c:pt>
                <c:pt idx="5">
                  <c:v>74757.792302876289</c:v>
                </c:pt>
                <c:pt idx="6">
                  <c:v>80788.986434201812</c:v>
                </c:pt>
                <c:pt idx="7">
                  <c:v>90596.367911423586</c:v>
                </c:pt>
                <c:pt idx="8">
                  <c:v>102613.82876121055</c:v>
                </c:pt>
                <c:pt idx="9">
                  <c:v>115156.95899070214</c:v>
                </c:pt>
                <c:pt idx="10">
                  <c:v>115341.71151043949</c:v>
                </c:pt>
              </c:numCache>
            </c:numRef>
          </c:val>
          <c:extLst>
            <c:ext xmlns:c16="http://schemas.microsoft.com/office/drawing/2014/chart" uri="{C3380CC4-5D6E-409C-BE32-E72D297353CC}">
              <c16:uniqueId val="{00000001-6ECE-4653-B1F3-65494F0A412D}"/>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50623"/>
        <c:crosses val="autoZero"/>
        <c:auto val="1"/>
        <c:lblAlgn val="ctr"/>
        <c:lblOffset val="100"/>
        <c:noMultiLvlLbl val="0"/>
      </c:catAx>
      <c:valAx>
        <c:axId val="221950623"/>
        <c:scaling>
          <c:orientation val="minMax"/>
        </c:scaling>
        <c:delete val="0"/>
        <c:axPos val="l"/>
        <c:numFmt formatCode="&quot;$&quot;#,##0;\-&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70591"/>
        <c:crosses val="autoZero"/>
        <c:crossBetween val="between"/>
      </c:valAx>
      <c:spPr>
        <a:noFill/>
        <a:ln>
          <a:noFill/>
        </a:ln>
        <a:effectLst/>
      </c:spPr>
    </c:plotArea>
    <c:legend>
      <c:legendPos val="t"/>
      <c:layout>
        <c:manualLayout>
          <c:xMode val="edge"/>
          <c:yMode val="edge"/>
          <c:x val="0.1303182652096129"/>
          <c:y val="2.6191590916000367E-2"/>
          <c:w val="0.44683498428435203"/>
          <c:h val="0.1007906887956243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437018876245886"/>
          <c:y val="3.029775295641656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0.1296021974806234"/>
          <c:y val="0.23668022642988837"/>
          <c:w val="0.6101267468361854"/>
          <c:h val="0.64707096543128295"/>
        </c:manualLayout>
      </c:layout>
      <c:pieChart>
        <c:varyColors val="1"/>
        <c:ser>
          <c:idx val="0"/>
          <c:order val="0"/>
          <c:tx>
            <c:strRef>
              <c:f>Outputs!$T$50</c:f>
              <c:strCache>
                <c:ptCount val="1"/>
                <c:pt idx="0">
                  <c:v>2031E</c:v>
                </c:pt>
              </c:strCache>
            </c:strRef>
          </c:tx>
          <c:dPt>
            <c:idx val="0"/>
            <c:bubble3D val="0"/>
            <c:spPr>
              <a:solidFill>
                <a:srgbClr val="25A2AF"/>
              </a:solidFill>
              <a:ln>
                <a:noFill/>
              </a:ln>
              <a:effectLst/>
            </c:spPr>
            <c:extLst>
              <c:ext xmlns:c16="http://schemas.microsoft.com/office/drawing/2014/chart" uri="{C3380CC4-5D6E-409C-BE32-E72D297353CC}">
                <c16:uniqueId val="{00000001-B53A-46DA-BF7E-7044C7834D16}"/>
              </c:ext>
            </c:extLst>
          </c:dPt>
          <c:dPt>
            <c:idx val="1"/>
            <c:bubble3D val="0"/>
            <c:spPr>
              <a:solidFill>
                <a:schemeClr val="accent2"/>
              </a:solidFill>
              <a:ln>
                <a:noFill/>
              </a:ln>
              <a:effectLst/>
            </c:spPr>
            <c:extLst>
              <c:ext xmlns:c16="http://schemas.microsoft.com/office/drawing/2014/chart" uri="{C3380CC4-5D6E-409C-BE32-E72D297353CC}">
                <c16:uniqueId val="{00000003-B53A-46DA-BF7E-7044C7834D16}"/>
              </c:ext>
            </c:extLst>
          </c:dPt>
          <c:dPt>
            <c:idx val="2"/>
            <c:bubble3D val="0"/>
            <c:spPr>
              <a:solidFill>
                <a:srgbClr val="B7276E"/>
              </a:solidFill>
              <a:ln>
                <a:noFill/>
              </a:ln>
              <a:effectLst/>
            </c:spPr>
            <c:extLst>
              <c:ext xmlns:c16="http://schemas.microsoft.com/office/drawing/2014/chart" uri="{C3380CC4-5D6E-409C-BE32-E72D297353CC}">
                <c16:uniqueId val="{00000005-B53A-46DA-BF7E-7044C7834D16}"/>
              </c:ext>
            </c:extLst>
          </c:dPt>
          <c:dPt>
            <c:idx val="3"/>
            <c:bubble3D val="0"/>
            <c:spPr>
              <a:solidFill>
                <a:schemeClr val="accent4"/>
              </a:solidFill>
              <a:ln>
                <a:noFill/>
              </a:ln>
              <a:effectLst/>
            </c:spPr>
            <c:extLst>
              <c:ext xmlns:c16="http://schemas.microsoft.com/office/drawing/2014/chart" uri="{C3380CC4-5D6E-409C-BE32-E72D297353CC}">
                <c16:uniqueId val="{00000007-B53A-46DA-BF7E-7044C7834D16}"/>
              </c:ext>
            </c:extLst>
          </c:dPt>
          <c:dPt>
            <c:idx val="4"/>
            <c:bubble3D val="0"/>
            <c:spPr>
              <a:solidFill>
                <a:schemeClr val="accent5"/>
              </a:solidFill>
              <a:ln>
                <a:noFill/>
              </a:ln>
              <a:effectLst/>
            </c:spPr>
            <c:extLst>
              <c:ext xmlns:c16="http://schemas.microsoft.com/office/drawing/2014/chart" uri="{C3380CC4-5D6E-409C-BE32-E72D297353CC}">
                <c16:uniqueId val="{00000009-B53A-46DA-BF7E-7044C7834D16}"/>
              </c:ext>
            </c:extLst>
          </c:dPt>
          <c:dPt>
            <c:idx val="5"/>
            <c:bubble3D val="0"/>
            <c:spPr>
              <a:solidFill>
                <a:schemeClr val="accent6"/>
              </a:solidFill>
              <a:ln>
                <a:noFill/>
              </a:ln>
              <a:effectLst/>
            </c:spPr>
            <c:extLst>
              <c:ext xmlns:c16="http://schemas.microsoft.com/office/drawing/2014/chart" uri="{C3380CC4-5D6E-409C-BE32-E72D297353CC}">
                <c16:uniqueId val="{0000000B-B53A-46DA-BF7E-7044C7834D16}"/>
              </c:ext>
            </c:extLst>
          </c:dPt>
          <c:dLbls>
            <c:dLbl>
              <c:idx val="0"/>
              <c:tx>
                <c:rich>
                  <a:bodyPr/>
                  <a:lstStyle/>
                  <a:p>
                    <a:fld id="{5359BCEB-B67D-410C-B8BC-FC8FF4591CE0}" type="PERCENTAGE">
                      <a:rPr lang="en-US"/>
                      <a:pPr/>
                      <a:t>[PERCENTAGE]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53A-46DA-BF7E-7044C7834D16}"/>
                </c:ext>
              </c:extLst>
            </c:dLbl>
            <c:dLbl>
              <c:idx val="1"/>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95EE3001-5859-483D-A4E9-B9685AE09AC8}" type="PERCENTAGE">
                      <a:rPr lang="en-US">
                        <a:solidFill>
                          <a:sysClr val="windowText" lastClr="000000"/>
                        </a:solidFill>
                      </a:rPr>
                      <a:pPr>
                        <a:defRPr>
                          <a:solidFill>
                            <a:sysClr val="windowText" lastClr="000000"/>
                          </a:solidFill>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IN"/>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53A-46DA-BF7E-7044C7834D16}"/>
                </c:ext>
              </c:extLst>
            </c:dLbl>
            <c:dLbl>
              <c:idx val="2"/>
              <c:tx>
                <c:rich>
                  <a:bodyPr/>
                  <a:lstStyle/>
                  <a:p>
                    <a:fld id="{B820E2E7-1381-487E-A7A2-8E3D562CE252}" type="PERCENTAGE">
                      <a:rPr lang="en-US"/>
                      <a:pPr/>
                      <a:t>[PERCENTAGE]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53A-46DA-BF7E-7044C7834D16}"/>
                </c:ext>
              </c:extLst>
            </c:dLbl>
            <c:dLbl>
              <c:idx val="3"/>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FB84D6C4-1D4E-4BC0-97F7-F3B38849CCD5}" type="PERCENTAGE">
                      <a:rPr lang="en-US">
                        <a:solidFill>
                          <a:sysClr val="windowText" lastClr="000000"/>
                        </a:solidFill>
                      </a:rPr>
                      <a:pPr>
                        <a:defRPr>
                          <a:solidFill>
                            <a:sysClr val="windowText" lastClr="000000"/>
                          </a:solidFill>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IN"/>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B53A-46DA-BF7E-7044C7834D16}"/>
                </c:ext>
              </c:extLst>
            </c:dLbl>
            <c:dLbl>
              <c:idx val="4"/>
              <c:tx>
                <c:rich>
                  <a:bodyPr/>
                  <a:lstStyle/>
                  <a:p>
                    <a:fld id="{594B35E7-EA10-45F3-9C61-61BF2C3F17B9}" type="PERCENTAGE">
                      <a:rPr lang="en-US"/>
                      <a:pPr/>
                      <a:t>[PERCENTAGE]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B53A-46DA-BF7E-7044C7834D16}"/>
                </c:ext>
              </c:extLst>
            </c:dLbl>
            <c:dLbl>
              <c:idx val="5"/>
              <c:tx>
                <c:rich>
                  <a:bodyPr/>
                  <a:lstStyle/>
                  <a:p>
                    <a:fld id="{0971EA00-931F-4E38-AB84-049B5E7A2FC8}" type="PERCENTAGE">
                      <a:rPr lang="en-US"/>
                      <a:pPr/>
                      <a:t>[PERCENTAGE]</a:t>
                    </a:fld>
                    <a:endParaRPr lang="en-IN"/>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B53A-46DA-BF7E-7044C7834D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Outputs!$Q$51:$R$56</c:f>
              <c:strCache>
                <c:ptCount val="6"/>
                <c:pt idx="0">
                  <c:v>Online Stores</c:v>
                </c:pt>
                <c:pt idx="1">
                  <c:v>Physical Stores</c:v>
                </c:pt>
                <c:pt idx="2">
                  <c:v>Retail Third-Party Seller Services</c:v>
                </c:pt>
                <c:pt idx="3">
                  <c:v>Subscription Services</c:v>
                </c:pt>
                <c:pt idx="4">
                  <c:v>AWS</c:v>
                </c:pt>
                <c:pt idx="5">
                  <c:v>Other</c:v>
                </c:pt>
              </c:strCache>
            </c:strRef>
          </c:cat>
          <c:val>
            <c:numRef>
              <c:f>Outputs!$T$51:$T$56</c:f>
              <c:numCache>
                <c:formatCode>"$"#,##0;\-"$"#,##0</c:formatCode>
                <c:ptCount val="6"/>
                <c:pt idx="0">
                  <c:v>400706.96067867195</c:v>
                </c:pt>
                <c:pt idx="1">
                  <c:v>19224.141572255488</c:v>
                </c:pt>
                <c:pt idx="2">
                  <c:v>260769.77748377621</c:v>
                </c:pt>
                <c:pt idx="3">
                  <c:v>92127.165989364206</c:v>
                </c:pt>
                <c:pt idx="4">
                  <c:v>155625.86268747927</c:v>
                </c:pt>
                <c:pt idx="5">
                  <c:v>159458.47833435921</c:v>
                </c:pt>
              </c:numCache>
            </c:numRef>
          </c:val>
          <c:extLst>
            <c:ext xmlns:c16="http://schemas.microsoft.com/office/drawing/2014/chart" uri="{C3380CC4-5D6E-409C-BE32-E72D297353CC}">
              <c16:uniqueId val="{0000000C-B53A-46DA-BF7E-7044C7834D1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0"/>
          <c:order val="0"/>
          <c:tx>
            <c:strRef>
              <c:f>Outputs!$Q$26:$R$26</c:f>
              <c:strCache>
                <c:ptCount val="2"/>
                <c:pt idx="0">
                  <c:v>Base Case Net Earnings</c:v>
                </c:pt>
              </c:strCache>
            </c:strRef>
          </c:tx>
          <c:spPr>
            <a:solidFill>
              <a:srgbClr val="132E57"/>
            </a:solidFill>
            <a:ln>
              <a:noFill/>
            </a:ln>
            <a:effectLst/>
          </c:spPr>
          <c:invertIfNegative val="0"/>
          <c:cat>
            <c:numRef>
              <c:f>Outputs!$S$25:$AC$25</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Outputs!$S$26:$AC$26</c:f>
              <c:numCache>
                <c:formatCode>"$"#,##0;\-"$"#,##0</c:formatCode>
                <c:ptCount val="11"/>
                <c:pt idx="0">
                  <c:v>15971.634341949975</c:v>
                </c:pt>
                <c:pt idx="1">
                  <c:v>19829.125474541652</c:v>
                </c:pt>
                <c:pt idx="2">
                  <c:v>24144.008065277267</c:v>
                </c:pt>
                <c:pt idx="3">
                  <c:v>28514.286746040711</c:v>
                </c:pt>
                <c:pt idx="4">
                  <c:v>32788.30168889997</c:v>
                </c:pt>
                <c:pt idx="5">
                  <c:v>36930.058621146483</c:v>
                </c:pt>
                <c:pt idx="6">
                  <c:v>40844.263538067127</c:v>
                </c:pt>
                <c:pt idx="7">
                  <c:v>44465.748016040947</c:v>
                </c:pt>
                <c:pt idx="8">
                  <c:v>47859.329993839317</c:v>
                </c:pt>
                <c:pt idx="9">
                  <c:v>51086.897686528631</c:v>
                </c:pt>
                <c:pt idx="10">
                  <c:v>54179.892068825371</c:v>
                </c:pt>
              </c:numCache>
            </c:numRef>
          </c:val>
          <c:extLst>
            <c:ext xmlns:c16="http://schemas.microsoft.com/office/drawing/2014/chart" uri="{C3380CC4-5D6E-409C-BE32-E72D297353CC}">
              <c16:uniqueId val="{00000001-141A-4D2D-AC30-FE9D63D28096}"/>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50623"/>
        <c:crosses val="autoZero"/>
        <c:auto val="1"/>
        <c:lblAlgn val="ctr"/>
        <c:lblOffset val="100"/>
        <c:noMultiLvlLbl val="0"/>
      </c:catAx>
      <c:valAx>
        <c:axId val="221950623"/>
        <c:scaling>
          <c:orientation val="minMax"/>
        </c:scaling>
        <c:delete val="0"/>
        <c:axPos val="l"/>
        <c:numFmt formatCode="&quot;$&quot;#,##0;\-&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7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'Market Size'!$B$8</c:f>
              <c:strCache>
                <c:ptCount val="1"/>
                <c:pt idx="0">
                  <c:v>Ecommerce</c:v>
                </c:pt>
              </c:strCache>
            </c:strRef>
          </c:tx>
          <c:spPr>
            <a:solidFill>
              <a:schemeClr val="accent1"/>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Size'!$I$8:$R$8</c:f>
              <c:numCache>
                <c:formatCode>#,##0_);\(#,##0\)</c:formatCode>
                <c:ptCount val="10"/>
                <c:pt idx="0">
                  <c:v>619.61790000000008</c:v>
                </c:pt>
                <c:pt idx="1">
                  <c:v>670.84319999999991</c:v>
                </c:pt>
                <c:pt idx="2">
                  <c:v>722.90609999999992</c:v>
                </c:pt>
                <c:pt idx="3">
                  <c:v>775.88969999999995</c:v>
                </c:pt>
                <c:pt idx="4">
                  <c:v>831.47329999999999</c:v>
                </c:pt>
                <c:pt idx="5">
                  <c:v>888.28399999999999</c:v>
                </c:pt>
                <c:pt idx="6">
                  <c:v>948.97631067167163</c:v>
                </c:pt>
                <c:pt idx="7">
                  <c:v>1013.8154444029353</c:v>
                </c:pt>
                <c:pt idx="8">
                  <c:v>1083.0847343095888</c:v>
                </c:pt>
                <c:pt idx="9">
                  <c:v>1157.0868723402889</c:v>
                </c:pt>
              </c:numCache>
            </c:numRef>
          </c:val>
          <c:extLst>
            <c:ext xmlns:c16="http://schemas.microsoft.com/office/drawing/2014/chart" uri="{C3380CC4-5D6E-409C-BE32-E72D297353CC}">
              <c16:uniqueId val="{00000000-D915-4574-BBCD-1382F61FB4F5}"/>
            </c:ext>
          </c:extLst>
        </c:ser>
        <c:ser>
          <c:idx val="1"/>
          <c:order val="1"/>
          <c:tx>
            <c:strRef>
              <c:f>'Market Size'!$B$9</c:f>
              <c:strCache>
                <c:ptCount val="1"/>
                <c:pt idx="0">
                  <c:v>Advertising</c:v>
                </c:pt>
              </c:strCache>
            </c:strRef>
          </c:tx>
          <c:spPr>
            <a:solidFill>
              <a:schemeClr val="accent2"/>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Size'!$I$9:$R$9</c:f>
              <c:numCache>
                <c:formatCode>#,##0_);\(#,##0\)</c:formatCode>
                <c:ptCount val="10"/>
                <c:pt idx="0">
                  <c:v>312.83080000000001</c:v>
                </c:pt>
                <c:pt idx="1">
                  <c:v>336.08589999999998</c:v>
                </c:pt>
                <c:pt idx="2">
                  <c:v>350.00510000000003</c:v>
                </c:pt>
                <c:pt idx="3">
                  <c:v>360.36099999999999</c:v>
                </c:pt>
                <c:pt idx="4">
                  <c:v>368.35239999999999</c:v>
                </c:pt>
                <c:pt idx="5">
                  <c:v>376.38929999999999</c:v>
                </c:pt>
                <c:pt idx="6">
                  <c:v>390.64210000000003</c:v>
                </c:pt>
                <c:pt idx="7">
                  <c:v>405.43461329110585</c:v>
                </c:pt>
                <c:pt idx="8">
                  <c:v>420.78727729169111</c:v>
                </c:pt>
                <c:pt idx="9">
                  <c:v>436.72130332745519</c:v>
                </c:pt>
              </c:numCache>
            </c:numRef>
          </c:val>
          <c:extLst>
            <c:ext xmlns:c16="http://schemas.microsoft.com/office/drawing/2014/chart" uri="{C3380CC4-5D6E-409C-BE32-E72D297353CC}">
              <c16:uniqueId val="{00000001-D915-4574-BBCD-1382F61FB4F5}"/>
            </c:ext>
          </c:extLst>
        </c:ser>
        <c:ser>
          <c:idx val="2"/>
          <c:order val="2"/>
          <c:tx>
            <c:strRef>
              <c:f>'Market Size'!$B$10</c:f>
              <c:strCache>
                <c:ptCount val="1"/>
                <c:pt idx="0">
                  <c:v>Cloud</c:v>
                </c:pt>
              </c:strCache>
            </c:strRef>
          </c:tx>
          <c:spPr>
            <a:solidFill>
              <a:schemeClr val="accent3"/>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Size'!$I$10:$R$10</c:f>
              <c:numCache>
                <c:formatCode>#,##0_);\(#,##0\)</c:formatCode>
                <c:ptCount val="10"/>
                <c:pt idx="0">
                  <c:v>167.29139999999998</c:v>
                </c:pt>
                <c:pt idx="1">
                  <c:v>178.96220000000002</c:v>
                </c:pt>
                <c:pt idx="2">
                  <c:v>195.3485</c:v>
                </c:pt>
                <c:pt idx="3">
                  <c:v>205.12700000000001</c:v>
                </c:pt>
                <c:pt idx="4">
                  <c:v>217.0162</c:v>
                </c:pt>
                <c:pt idx="5">
                  <c:v>227.67949999999999</c:v>
                </c:pt>
                <c:pt idx="6">
                  <c:v>238.86675151555502</c:v>
                </c:pt>
                <c:pt idx="7">
                  <c:v>250.60369940901097</c:v>
                </c:pt>
                <c:pt idx="8">
                  <c:v>262.91735354132044</c:v>
                </c:pt>
                <c:pt idx="9">
                  <c:v>275.83605092896778</c:v>
                </c:pt>
              </c:numCache>
            </c:numRef>
          </c:val>
          <c:extLst>
            <c:ext xmlns:c16="http://schemas.microsoft.com/office/drawing/2014/chart" uri="{C3380CC4-5D6E-409C-BE32-E72D297353CC}">
              <c16:uniqueId val="{00000002-D915-4574-BBCD-1382F61FB4F5}"/>
            </c:ext>
          </c:extLst>
        </c:ser>
        <c:ser>
          <c:idx val="3"/>
          <c:order val="3"/>
          <c:tx>
            <c:strRef>
              <c:f>'Market Size'!$B$11</c:f>
              <c:strCache>
                <c:ptCount val="1"/>
                <c:pt idx="0">
                  <c:v>Physical Stores</c:v>
                </c:pt>
              </c:strCache>
            </c:strRef>
          </c:tx>
          <c:spPr>
            <a:solidFill>
              <a:schemeClr val="accent4"/>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Size'!$I$11:$R$11</c:f>
              <c:numCache>
                <c:formatCode>#,##0_);\(#,##0\)</c:formatCode>
                <c:ptCount val="10"/>
                <c:pt idx="0">
                  <c:v>658.0693</c:v>
                </c:pt>
                <c:pt idx="1">
                  <c:v>660.17899999999997</c:v>
                </c:pt>
                <c:pt idx="2">
                  <c:v>665.26409999999998</c:v>
                </c:pt>
                <c:pt idx="3">
                  <c:v>669.85769999999991</c:v>
                </c:pt>
                <c:pt idx="4">
                  <c:v>675.05939999999998</c:v>
                </c:pt>
                <c:pt idx="5">
                  <c:v>679.93590000000006</c:v>
                </c:pt>
                <c:pt idx="6">
                  <c:v>684.84762690336595</c:v>
                </c:pt>
                <c:pt idx="7">
                  <c:v>689.7948351825105</c:v>
                </c:pt>
                <c:pt idx="8">
                  <c:v>694.77778114810633</c:v>
                </c:pt>
                <c:pt idx="9">
                  <c:v>699.79672296236561</c:v>
                </c:pt>
              </c:numCache>
            </c:numRef>
          </c:val>
          <c:extLst>
            <c:ext xmlns:c16="http://schemas.microsoft.com/office/drawing/2014/chart" uri="{C3380CC4-5D6E-409C-BE32-E72D297353CC}">
              <c16:uniqueId val="{00000003-D915-4574-BBCD-1382F61FB4F5}"/>
            </c:ext>
          </c:extLst>
        </c:ser>
        <c:dLbls>
          <c:showLegendKey val="0"/>
          <c:showVal val="0"/>
          <c:showCatName val="0"/>
          <c:showSerName val="0"/>
          <c:showPercent val="0"/>
          <c:showBubbleSize val="0"/>
        </c:dLbls>
        <c:gapWidth val="219"/>
        <c:overlap val="-27"/>
        <c:axId val="449737856"/>
        <c:axId val="449741600"/>
      </c:barChart>
      <c:catAx>
        <c:axId val="449737856"/>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Narrow" panose="020B0606020202030204" pitchFamily="34" charset="0"/>
                <a:ea typeface="+mn-ea"/>
                <a:cs typeface="+mn-cs"/>
              </a:defRPr>
            </a:pPr>
            <a:endParaRPr lang="en-US"/>
          </a:p>
        </c:txPr>
        <c:crossAx val="449741600"/>
        <c:crosses val="autoZero"/>
        <c:auto val="1"/>
        <c:lblAlgn val="ctr"/>
        <c:lblOffset val="100"/>
        <c:noMultiLvlLbl val="0"/>
      </c:catAx>
      <c:valAx>
        <c:axId val="449741600"/>
        <c:scaling>
          <c:orientation val="minMax"/>
          <c:max val="1200"/>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Narrow" panose="020B0606020202030204" pitchFamily="34" charset="0"/>
                <a:ea typeface="+mn-ea"/>
                <a:cs typeface="+mn-cs"/>
              </a:defRPr>
            </a:pPr>
            <a:endParaRPr lang="en-US"/>
          </a:p>
        </c:txPr>
        <c:crossAx val="449737856"/>
        <c:crosses val="autoZero"/>
        <c:crossBetween val="between"/>
      </c:valAx>
      <c:spPr>
        <a:noFill/>
        <a:ln>
          <a:noFill/>
        </a:ln>
        <a:effectLst/>
      </c:spPr>
    </c:plotArea>
    <c:legend>
      <c:legendPos val="t"/>
      <c:layout>
        <c:manualLayout>
          <c:xMode val="edge"/>
          <c:yMode val="edge"/>
          <c:x val="0.10094440249763301"/>
          <c:y val="5.6125015885267061E-2"/>
          <c:w val="0.37077637555579523"/>
          <c:h val="5.999731563003233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Macro!$B$9</c:f>
              <c:strCache>
                <c:ptCount val="1"/>
                <c:pt idx="0">
                  <c:v>Inflation</c:v>
                </c:pt>
              </c:strCache>
            </c:strRef>
          </c:tx>
          <c:spPr>
            <a:ln w="28575" cap="rnd">
              <a:solidFill>
                <a:schemeClr val="accent1"/>
              </a:solidFill>
              <a:round/>
            </a:ln>
            <a:effectLst/>
          </c:spPr>
          <c:marker>
            <c:symbol val="none"/>
          </c:marker>
          <c:cat>
            <c:strRef>
              <c:f>Macro!$C$5:$F$5</c:f>
              <c:strCache>
                <c:ptCount val="4"/>
                <c:pt idx="0">
                  <c:v>2020E</c:v>
                </c:pt>
                <c:pt idx="1">
                  <c:v>2021E</c:v>
                </c:pt>
                <c:pt idx="2">
                  <c:v>2022E</c:v>
                </c:pt>
                <c:pt idx="3">
                  <c:v>2023-2027</c:v>
                </c:pt>
              </c:strCache>
            </c:strRef>
          </c:cat>
          <c:val>
            <c:numRef>
              <c:f>Macro!$C$9:$F$9</c:f>
              <c:numCache>
                <c:formatCode>0.0%</c:formatCode>
                <c:ptCount val="4"/>
                <c:pt idx="0">
                  <c:v>2.5000000000000001E-2</c:v>
                </c:pt>
                <c:pt idx="1">
                  <c:v>2.4E-2</c:v>
                </c:pt>
                <c:pt idx="2">
                  <c:v>2.5000000000000001E-2</c:v>
                </c:pt>
                <c:pt idx="3">
                  <c:v>2.8000000000000001E-2</c:v>
                </c:pt>
              </c:numCache>
            </c:numRef>
          </c:val>
          <c:smooth val="0"/>
          <c:extLst>
            <c:ext xmlns:c16="http://schemas.microsoft.com/office/drawing/2014/chart" uri="{C3380CC4-5D6E-409C-BE32-E72D297353CC}">
              <c16:uniqueId val="{00000000-94BA-488F-8566-EE83437D40C6}"/>
            </c:ext>
          </c:extLst>
        </c:ser>
        <c:ser>
          <c:idx val="1"/>
          <c:order val="1"/>
          <c:tx>
            <c:strRef>
              <c:f>Macro!$B$10</c:f>
              <c:strCache>
                <c:ptCount val="1"/>
                <c:pt idx="0">
                  <c:v>GDP Growth</c:v>
                </c:pt>
              </c:strCache>
            </c:strRef>
          </c:tx>
          <c:spPr>
            <a:ln w="28575" cap="rnd">
              <a:solidFill>
                <a:schemeClr val="accent2"/>
              </a:solidFill>
              <a:round/>
            </a:ln>
            <a:effectLst/>
          </c:spPr>
          <c:marker>
            <c:symbol val="none"/>
          </c:marker>
          <c:cat>
            <c:strRef>
              <c:f>Macro!$C$5:$F$5</c:f>
              <c:strCache>
                <c:ptCount val="4"/>
                <c:pt idx="0">
                  <c:v>2020E</c:v>
                </c:pt>
                <c:pt idx="1">
                  <c:v>2021E</c:v>
                </c:pt>
                <c:pt idx="2">
                  <c:v>2022E</c:v>
                </c:pt>
                <c:pt idx="3">
                  <c:v>2023-2027</c:v>
                </c:pt>
              </c:strCache>
            </c:strRef>
          </c:cat>
          <c:val>
            <c:numRef>
              <c:f>Macro!$C$10:$F$10</c:f>
              <c:numCache>
                <c:formatCode>0.0%</c:formatCode>
                <c:ptCount val="4"/>
                <c:pt idx="0">
                  <c:v>-3.9E-2</c:v>
                </c:pt>
                <c:pt idx="1">
                  <c:v>5.0999999999999997E-2</c:v>
                </c:pt>
                <c:pt idx="2">
                  <c:v>4.1000000000000002E-2</c:v>
                </c:pt>
                <c:pt idx="3">
                  <c:v>3.4000000000000002E-2</c:v>
                </c:pt>
              </c:numCache>
            </c:numRef>
          </c:val>
          <c:smooth val="0"/>
          <c:extLst>
            <c:ext xmlns:c16="http://schemas.microsoft.com/office/drawing/2014/chart" uri="{C3380CC4-5D6E-409C-BE32-E72D297353CC}">
              <c16:uniqueId val="{00000001-94BA-488F-8566-EE83437D40C6}"/>
            </c:ext>
          </c:extLst>
        </c:ser>
        <c:ser>
          <c:idx val="2"/>
          <c:order val="2"/>
          <c:tx>
            <c:strRef>
              <c:f>Macro!$B$11</c:f>
              <c:strCache>
                <c:ptCount val="1"/>
                <c:pt idx="0">
                  <c:v>US Unemployment Rate </c:v>
                </c:pt>
              </c:strCache>
            </c:strRef>
          </c:tx>
          <c:spPr>
            <a:ln w="28575" cap="rnd">
              <a:solidFill>
                <a:schemeClr val="accent3"/>
              </a:solidFill>
              <a:round/>
            </a:ln>
            <a:effectLst/>
          </c:spPr>
          <c:marker>
            <c:symbol val="none"/>
          </c:marker>
          <c:cat>
            <c:strRef>
              <c:f>Macro!$C$5:$F$5</c:f>
              <c:strCache>
                <c:ptCount val="4"/>
                <c:pt idx="0">
                  <c:v>2020E</c:v>
                </c:pt>
                <c:pt idx="1">
                  <c:v>2021E</c:v>
                </c:pt>
                <c:pt idx="2">
                  <c:v>2022E</c:v>
                </c:pt>
                <c:pt idx="3">
                  <c:v>2023-2027</c:v>
                </c:pt>
              </c:strCache>
            </c:strRef>
          </c:cat>
          <c:val>
            <c:numRef>
              <c:f>Macro!$C$11:$F$11</c:f>
              <c:numCache>
                <c:formatCode>0.0%</c:formatCode>
                <c:ptCount val="4"/>
                <c:pt idx="0">
                  <c:v>0.106</c:v>
                </c:pt>
                <c:pt idx="1">
                  <c:v>8.4000000000000005E-2</c:v>
                </c:pt>
                <c:pt idx="2">
                  <c:v>7.0999999999999994E-2</c:v>
                </c:pt>
                <c:pt idx="3">
                  <c:v>5.3999999999999999E-2</c:v>
                </c:pt>
              </c:numCache>
            </c:numRef>
          </c:val>
          <c:smooth val="0"/>
          <c:extLst>
            <c:ext xmlns:c16="http://schemas.microsoft.com/office/drawing/2014/chart" uri="{C3380CC4-5D6E-409C-BE32-E72D297353CC}">
              <c16:uniqueId val="{00000002-94BA-488F-8566-EE83437D40C6}"/>
            </c:ext>
          </c:extLst>
        </c:ser>
        <c:ser>
          <c:idx val="3"/>
          <c:order val="3"/>
          <c:tx>
            <c:strRef>
              <c:f>Macro!$B$12</c:f>
              <c:strCache>
                <c:ptCount val="1"/>
                <c:pt idx="0">
                  <c:v>US Consumer Expenditure</c:v>
                </c:pt>
              </c:strCache>
            </c:strRef>
          </c:tx>
          <c:spPr>
            <a:ln w="28575" cap="rnd">
              <a:solidFill>
                <a:schemeClr val="accent4"/>
              </a:solidFill>
              <a:round/>
            </a:ln>
            <a:effectLst/>
          </c:spPr>
          <c:marker>
            <c:symbol val="none"/>
          </c:marker>
          <c:cat>
            <c:strRef>
              <c:f>Macro!$C$5:$F$5</c:f>
              <c:strCache>
                <c:ptCount val="4"/>
                <c:pt idx="0">
                  <c:v>2020E</c:v>
                </c:pt>
                <c:pt idx="1">
                  <c:v>2021E</c:v>
                </c:pt>
                <c:pt idx="2">
                  <c:v>2022E</c:v>
                </c:pt>
                <c:pt idx="3">
                  <c:v>2023-2027</c:v>
                </c:pt>
              </c:strCache>
            </c:strRef>
          </c:cat>
          <c:val>
            <c:numRef>
              <c:f>Macro!$C$12:$F$12</c:f>
              <c:numCache>
                <c:formatCode>0.0%</c:formatCode>
                <c:ptCount val="4"/>
                <c:pt idx="0">
                  <c:v>-3.9E-2</c:v>
                </c:pt>
                <c:pt idx="1">
                  <c:v>5.7000000000000002E-2</c:v>
                </c:pt>
                <c:pt idx="2">
                  <c:v>0.05</c:v>
                </c:pt>
                <c:pt idx="3">
                  <c:v>2.1499999999999998E-2</c:v>
                </c:pt>
              </c:numCache>
            </c:numRef>
          </c:val>
          <c:smooth val="0"/>
          <c:extLst>
            <c:ext xmlns:c16="http://schemas.microsoft.com/office/drawing/2014/chart" uri="{C3380CC4-5D6E-409C-BE32-E72D297353CC}">
              <c16:uniqueId val="{00000003-94BA-488F-8566-EE83437D40C6}"/>
            </c:ext>
          </c:extLst>
        </c:ser>
        <c:dLbls>
          <c:showLegendKey val="0"/>
          <c:showVal val="0"/>
          <c:showCatName val="0"/>
          <c:showSerName val="0"/>
          <c:showPercent val="0"/>
          <c:showBubbleSize val="0"/>
        </c:dLbls>
        <c:smooth val="0"/>
        <c:axId val="1055495503"/>
        <c:axId val="1055504239"/>
      </c:lineChart>
      <c:catAx>
        <c:axId val="105549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5504239"/>
        <c:crosses val="autoZero"/>
        <c:auto val="1"/>
        <c:lblAlgn val="ctr"/>
        <c:lblOffset val="100"/>
        <c:noMultiLvlLbl val="0"/>
      </c:catAx>
      <c:valAx>
        <c:axId val="1055504239"/>
        <c:scaling>
          <c:orientation val="minMax"/>
          <c:min val="-4.0000000000000008E-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5495503"/>
        <c:crosses val="autoZero"/>
        <c:crossBetween val="between"/>
      </c:valAx>
      <c:spPr>
        <a:noFill/>
        <a:ln>
          <a:noFill/>
        </a:ln>
        <a:effectLst/>
      </c:spPr>
    </c:plotArea>
    <c:legend>
      <c:legendPos val="t"/>
      <c:layout>
        <c:manualLayout>
          <c:xMode val="edge"/>
          <c:yMode val="edge"/>
          <c:x val="0.11805704304810584"/>
          <c:y val="2.1887821753852198E-2"/>
          <c:w val="0.88194303340269586"/>
          <c:h val="8.1761570146882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Narrow" panose="020B0606020202030204" pitchFamily="34" charset="0"/>
                <a:ea typeface="+mn-ea"/>
                <a:cs typeface="+mn-cs"/>
              </a:defRPr>
            </a:pPr>
            <a:r>
              <a:rPr lang="en-CA" sz="1500" b="1"/>
              <a:t>Amazon.com, Inc. - 52-week Share Pricing</a:t>
            </a:r>
          </a:p>
        </c:rich>
      </c:tx>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'Share Price'!$B$1122:$B$1374</c:f>
              <c:numCache>
                <c:formatCode>[$-409]mmm\-dd\-yyyy;@</c:formatCode>
                <c:ptCount val="253"/>
              </c:numCache>
            </c:numRef>
          </c:cat>
          <c:val>
            <c:numRef>
              <c:f>'Share Price'!$C$1122:$C$1374</c:f>
              <c:numCache>
                <c:formatCode>_("$"* #,##0_);_("$"* \(#,##0\);_("$"* "-"??_);_(@_)</c:formatCode>
                <c:ptCount val="253"/>
              </c:numCache>
            </c:numRef>
          </c:val>
          <c:smooth val="0"/>
          <c:extLst>
            <c:ext xmlns:c16="http://schemas.microsoft.com/office/drawing/2014/chart" uri="{C3380CC4-5D6E-409C-BE32-E72D297353CC}">
              <c16:uniqueId val="{00000000-6AF5-4F99-8E34-41BD8D6925C5}"/>
            </c:ext>
          </c:extLst>
        </c:ser>
        <c:dLbls>
          <c:showLegendKey val="0"/>
          <c:showVal val="0"/>
          <c:showCatName val="0"/>
          <c:showSerName val="0"/>
          <c:showPercent val="0"/>
          <c:showBubbleSize val="0"/>
        </c:dLbls>
        <c:smooth val="0"/>
        <c:axId val="1190829744"/>
        <c:axId val="1190835568"/>
      </c:lineChart>
      <c:catAx>
        <c:axId val="1190829744"/>
        <c:scaling>
          <c:orientation val="minMax"/>
        </c:scaling>
        <c:delete val="0"/>
        <c:axPos val="b"/>
        <c:numFmt formatCode="[$-409]mmm\-d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190835568"/>
        <c:crosses val="autoZero"/>
        <c:auto val="1"/>
        <c:lblAlgn val="ctr"/>
        <c:lblOffset val="100"/>
        <c:noMultiLvlLbl val="1"/>
      </c:catAx>
      <c:valAx>
        <c:axId val="1190835568"/>
        <c:scaling>
          <c:orientation val="minMax"/>
        </c:scaling>
        <c:delete val="0"/>
        <c:axPos val="l"/>
        <c:majorGridlines>
          <c:spPr>
            <a:ln w="9525" cap="flat" cmpd="sng" algn="ctr">
              <a:no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190829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latin typeface="Arial Narrow" panose="020B060602020203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rtl="0">
              <a:defRPr>
                <a:latin typeface="Arial Narrow" panose="020B0606020202030204" pitchFamily="34" charset="0"/>
                <a:ea typeface="Arial Narrow" panose="020B0606020202030204" pitchFamily="34" charset="0"/>
                <a:cs typeface="Arial Narrow" panose="020B0606020202030204" pitchFamily="34" charset="0"/>
              </a:defRPr>
            </a:pPr>
            <a:r>
              <a:rPr lang="en-CA" sz="1500" b="1" i="0" baseline="0">
                <a:effectLst/>
                <a:latin typeface="Arial Narrow" panose="020B0606020202030204" pitchFamily="34" charset="0"/>
              </a:rPr>
              <a:t>Net Present Value Build-Up </a:t>
            </a:r>
            <a:r>
              <a:rPr lang="en-CA" sz="1500" b="0" i="1" baseline="0">
                <a:effectLst/>
                <a:latin typeface="Arial Narrow" panose="020B0606020202030204" pitchFamily="34" charset="0"/>
              </a:rPr>
              <a:t>(US$ Billions)</a:t>
            </a:r>
            <a:endParaRPr lang="en-CA" sz="1500">
              <a:effectLst/>
              <a:latin typeface="Arial Narrow" panose="020B0606020202030204" pitchFamily="34" charset="0"/>
            </a:endParaRPr>
          </a:p>
        </cx:rich>
      </cx:tx>
    </cx:title>
    <cx:plotArea>
      <cx:plotAreaRegion>
        <cx:series layoutId="waterfall" uniqueId="{6D2D9FF6-FFD0-47BE-8CB2-63D525353625}">
          <cx:tx>
            <cx:txData>
              <cx:f>_xlchart.v1.1</cx:f>
              <cx:v/>
            </cx:txData>
          </cx:tx>
          <cx:dataPt idx="0">
            <cx:spPr>
              <a:solidFill>
                <a:srgbClr val="132E57"/>
              </a:solidFill>
            </cx:spPr>
          </cx:dataPt>
          <cx:dataPt idx="1">
            <cx:spPr>
              <a:solidFill>
                <a:srgbClr val="132E57"/>
              </a:solidFill>
            </cx:spPr>
          </cx:dataPt>
          <cx:dataPt idx="2">
            <cx:spPr>
              <a:solidFill>
                <a:srgbClr val="FFC000"/>
              </a:solidFill>
            </cx:spPr>
          </cx:dataPt>
          <cx:dataLabels>
            <cx:numFmt formatCode="$#,##0" sourceLinked="0"/>
            <cx:txPr>
              <a:bodyPr vertOverflow="overflow" horzOverflow="overflow" wrap="square" lIns="0" tIns="0" rIns="0" bIns="0"/>
              <a:lstStyle/>
              <a:p>
                <a:pPr algn="ctr" rtl="0">
                  <a:defRPr sz="900" b="0" i="0">
                    <a:solidFill>
                      <a:srgbClr val="404040"/>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visibility seriesName="0" categoryName="0" value="1"/>
            <cx:separator>, </cx:separator>
          </cx:dataLabels>
          <cx:dataId val="0"/>
          <cx:layoutPr>
            <cx:visibility connectorLines="0"/>
            <cx:subtotals>
              <cx:idx val="2"/>
            </cx:subtotals>
          </cx:layoutPr>
        </cx:series>
      </cx:plotAreaRegion>
      <cx:axis id="0">
        <cx:catScaling/>
        <cx:tickLabels/>
        <cx:txPr>
          <a:bodyPr vertOverflow="overflow" horzOverflow="overflow" wrap="square" lIns="0" tIns="0" rIns="0" bIns="0"/>
          <a:lstStyle/>
          <a:p>
            <a:pPr algn="ctr" rtl="0">
              <a:defRPr sz="900" b="0" i="0">
                <a:solidFill>
                  <a:srgbClr val="595959"/>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axis>
      <cx:axis id="1">
        <cx:valScaling/>
        <cx:tickLabels/>
        <cx:numFmt formatCode="$#,##0" sourceLinked="0"/>
        <cx:txPr>
          <a:bodyPr vertOverflow="overflow" horzOverflow="overflow" wrap="square" lIns="0" tIns="0" rIns="0" bIns="0"/>
          <a:lstStyle/>
          <a:p>
            <a:pPr algn="ctr" rtl="0">
              <a:defRPr sz="900" b="0" i="0">
                <a:solidFill>
                  <a:srgbClr val="595959"/>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_xlchart.v1.4</cx:f>
      </cx:numDim>
    </cx:data>
  </cx:chartData>
  <cx:chart>
    <cx:title pos="t" align="ctr" overlay="0">
      <cx:tx>
        <cx:rich>
          <a:bodyPr spcFirstLastPara="1" vertOverflow="ellipsis" horzOverflow="overflow" wrap="square" lIns="0" tIns="0" rIns="0" bIns="0" anchor="ctr" anchorCtr="1"/>
          <a:lstStyle/>
          <a:p>
            <a:pPr rtl="0">
              <a:defRPr sz="1500"/>
            </a:pPr>
            <a:r>
              <a:rPr lang="en-CA" sz="1500" b="1" i="0" baseline="0">
                <a:effectLst/>
                <a:latin typeface="Arial Narrow" panose="020B0606020202030204" pitchFamily="34" charset="0"/>
              </a:rPr>
              <a:t>SOTP Value </a:t>
            </a:r>
            <a:r>
              <a:rPr lang="en-CA" sz="1500" b="0" i="1" baseline="0">
                <a:effectLst/>
                <a:latin typeface="Arial Narrow" panose="020B0606020202030204" pitchFamily="34" charset="0"/>
              </a:rPr>
              <a:t>(US$ Billions)</a:t>
            </a:r>
            <a:endParaRPr lang="en-CA" sz="1500">
              <a:effectLst/>
              <a:latin typeface="Arial Narrow" panose="020B0606020202030204" pitchFamily="34" charset="0"/>
            </a:endParaRPr>
          </a:p>
        </cx:rich>
      </cx:tx>
    </cx:title>
    <cx:plotArea>
      <cx:plotAreaRegion>
        <cx:series layoutId="waterfall" uniqueId="{F1D606B1-49D0-49C5-B1EA-2B621227587A}">
          <cx:spPr>
            <a:solidFill>
              <a:srgbClr val="132E57"/>
            </a:solidFill>
          </cx:spPr>
          <cx:dataPt idx="5">
            <cx:spPr>
              <a:solidFill>
                <a:srgbClr val="FFC000"/>
              </a:solidFill>
              <a:ln>
                <a:noFill/>
              </a:ln>
            </cx:spPr>
          </cx:dataPt>
          <cx:dataLabels>
            <cx:numFmt formatCode="$#,##0" sourceLinked="0"/>
            <cx:visibility seriesName="0" categoryName="0" value="1"/>
            <cx:separator>, </cx:separator>
          </cx:dataLabels>
          <cx:dataId val="0"/>
          <cx:layoutPr>
            <cx:visibility connectorLines="0"/>
            <cx:subtotals>
              <cx:idx val="5"/>
            </cx:subtotals>
          </cx:layoutPr>
        </cx:series>
      </cx:plotAreaRegion>
      <cx:axis id="0">
        <cx:catScaling gapWidth="0.5"/>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axis id="1">
        <cx:valScaling/>
        <cx:tickLabels/>
        <cx:numFmt formatCode="$#,##0" sourceLinked="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orporatefinanceinstitute.com/"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chart" Target="../charts/chart5.xml"/><Relationship Id="rId2" Type="http://schemas.openxmlformats.org/officeDocument/2006/relationships/image" Target="../media/image3.png"/><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image" Target="../media/image5.png"/><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image" Target="../media/image5.png"/></Relationships>
</file>

<file path=xl/drawings/_rels/drawing1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10</xdr:col>
      <xdr:colOff>593725</xdr:colOff>
      <xdr:row>5</xdr:row>
      <xdr:rowOff>0</xdr:rowOff>
    </xdr:from>
    <xdr:to>
      <xdr:col>14</xdr:col>
      <xdr:colOff>491491</xdr:colOff>
      <xdr:row>10</xdr:row>
      <xdr:rowOff>92050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47225" y="2273300"/>
          <a:ext cx="2968626" cy="1331570"/>
        </a:xfrm>
        <a:prstGeom prst="rect">
          <a:avLst/>
        </a:prstGeom>
      </xdr:spPr>
    </xdr:pic>
    <xdr:clientData/>
  </xdr:twoCellAnchor>
  <xdr:twoCellAnchor editAs="oneCell">
    <xdr:from>
      <xdr:col>2</xdr:col>
      <xdr:colOff>107950</xdr:colOff>
      <xdr:row>5</xdr:row>
      <xdr:rowOff>235558</xdr:rowOff>
    </xdr:from>
    <xdr:to>
      <xdr:col>5</xdr:col>
      <xdr:colOff>679450</xdr:colOff>
      <xdr:row>11</xdr:row>
      <xdr:rowOff>3809</xdr:rowOff>
    </xdr:to>
    <xdr:pic>
      <xdr:nvPicPr>
        <xdr:cNvPr id="3" name="Picture 2" descr="Image result for amazon logo">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44650" y="2559658"/>
          <a:ext cx="4140200" cy="12503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22</xdr:col>
      <xdr:colOff>0</xdr:colOff>
      <xdr:row>6</xdr:row>
      <xdr:rowOff>1</xdr:rowOff>
    </xdr:from>
    <xdr:to>
      <xdr:col>25</xdr:col>
      <xdr:colOff>704850</xdr:colOff>
      <xdr:row>18</xdr:row>
      <xdr:rowOff>142876</xdr:rowOff>
    </xdr:to>
    <xdr:graphicFrame macro="">
      <xdr:nvGraphicFramePr>
        <xdr:cNvPr id="2" name="Chart 1">
          <a:extLst>
            <a:ext uri="{FF2B5EF4-FFF2-40B4-BE49-F238E27FC236}">
              <a16:creationId xmlns:a16="http://schemas.microsoft.com/office/drawing/2014/main" id="{57AC32B2-298D-4D94-B969-2C311C6A5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0</xdr:colOff>
      <xdr:row>2</xdr:row>
      <xdr:rowOff>0</xdr:rowOff>
    </xdr:from>
    <xdr:to>
      <xdr:col>26</xdr:col>
      <xdr:colOff>5716</xdr:colOff>
      <xdr:row>4</xdr:row>
      <xdr:rowOff>43376</xdr:rowOff>
    </xdr:to>
    <xdr:pic>
      <xdr:nvPicPr>
        <xdr:cNvPr id="10" name="Picture 9">
          <a:extLst>
            <a:ext uri="{FF2B5EF4-FFF2-40B4-BE49-F238E27FC236}">
              <a16:creationId xmlns:a16="http://schemas.microsoft.com/office/drawing/2014/main" id="{B0BDF23B-A4D2-4F10-810F-903820AD808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411451" y="419100"/>
          <a:ext cx="1434466" cy="452951"/>
        </a:xfrm>
        <a:prstGeom prst="rect">
          <a:avLst/>
        </a:prstGeom>
      </xdr:spPr>
    </xdr:pic>
    <xdr:clientData/>
  </xdr:twoCellAnchor>
  <xdr:twoCellAnchor editAs="oneCell">
    <xdr:from>
      <xdr:col>2</xdr:col>
      <xdr:colOff>31749</xdr:colOff>
      <xdr:row>1</xdr:row>
      <xdr:rowOff>92075</xdr:rowOff>
    </xdr:from>
    <xdr:to>
      <xdr:col>4</xdr:col>
      <xdr:colOff>246980</xdr:colOff>
      <xdr:row>4</xdr:row>
      <xdr:rowOff>123825</xdr:rowOff>
    </xdr:to>
    <xdr:pic>
      <xdr:nvPicPr>
        <xdr:cNvPr id="11" name="Picture 10">
          <a:extLst>
            <a:ext uri="{FF2B5EF4-FFF2-40B4-BE49-F238E27FC236}">
              <a16:creationId xmlns:a16="http://schemas.microsoft.com/office/drawing/2014/main" id="{43769080-19DF-415F-B5D1-02829CC8E88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8949" y="301625"/>
          <a:ext cx="1643981" cy="65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9524</xdr:rowOff>
    </xdr:from>
    <xdr:to>
      <xdr:col>15</xdr:col>
      <xdr:colOff>704849</xdr:colOff>
      <xdr:row>18</xdr:row>
      <xdr:rowOff>104774</xdr:rowOff>
    </xdr:to>
    <xdr:sp macro="" textlink="">
      <xdr:nvSpPr>
        <xdr:cNvPr id="12" name="TextBox 11">
          <a:extLst>
            <a:ext uri="{FF2B5EF4-FFF2-40B4-BE49-F238E27FC236}">
              <a16:creationId xmlns:a16="http://schemas.microsoft.com/office/drawing/2014/main" id="{3354FE1C-0387-4814-9F96-B2CBB4A23A3A}"/>
            </a:ext>
          </a:extLst>
        </xdr:cNvPr>
        <xdr:cNvSpPr txBox="1"/>
      </xdr:nvSpPr>
      <xdr:spPr>
        <a:xfrm>
          <a:off x="457200" y="1238249"/>
          <a:ext cx="8810624" cy="237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20000"/>
            </a:lnSpc>
            <a:spcBef>
              <a:spcPts val="600"/>
            </a:spcBef>
          </a:pPr>
          <a:r>
            <a:rPr lang="en-CA" sz="1200">
              <a:latin typeface="Arial Narrow" panose="020B0606020202030204" pitchFamily="34" charset="0"/>
            </a:rPr>
            <a:t>Amazon.com, Inc. is a global retailer of consumer products and subscriptions. The company operates through three segments: North America, International, and Amazon Web Services (AWS). Amazon's business activities include:</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Selling merchandise and content purchased for resale from third-party sellers through physical and online stores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Manufacturing and selling electronic devices and developing and producing media content</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Offering programs that enable sellers to sell their products and content on its websites and</a:t>
          </a:r>
          <a:r>
            <a:rPr lang="en-CA" sz="1200" baseline="0">
              <a:latin typeface="Arial Narrow" panose="020B0606020202030204" pitchFamily="34" charset="0"/>
            </a:rPr>
            <a:t> </a:t>
          </a:r>
          <a:r>
            <a:rPr lang="en-CA" sz="1200">
              <a:latin typeface="Arial Narrow" panose="020B0606020202030204" pitchFamily="34" charset="0"/>
            </a:rPr>
            <a:t>its stores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Providing compute, storage, database, and other AWS services, as well as fulfillment, advertising, publishing, and digital content subscriptions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Offering Amazon Prime, a membership program, which provides free shipping of various items; access to streaming of movies and TV episodes and other services</a:t>
          </a:r>
        </a:p>
        <a:p>
          <a:pPr marL="0" lvl="0" indent="-268650">
            <a:lnSpc>
              <a:spcPct val="120000"/>
            </a:lnSpc>
            <a:buFontTx/>
            <a:buNone/>
          </a:pPr>
          <a:r>
            <a:rPr lang="en-CA" sz="1200">
              <a:latin typeface="Arial Narrow" panose="020B0606020202030204" pitchFamily="34" charset="0"/>
            </a:rPr>
            <a:t>Amazon was founded in 1994 and is headquartered in Seattle, Washington</a:t>
          </a:r>
        </a:p>
        <a:p>
          <a:r>
            <a:rPr lang="en-CA" sz="1100">
              <a:latin typeface="Arial Narrow" panose="020B0606020202030204" pitchFamily="34" charset="0"/>
            </a:rPr>
            <a:t>mm</a:t>
          </a:r>
          <a:br>
            <a:rPr lang="en-CA" sz="1100">
              <a:latin typeface="Arial Narrow" panose="020B0606020202030204" pitchFamily="34" charset="0"/>
            </a:rPr>
          </a:br>
          <a:endParaRPr lang="en-CA" sz="1100">
            <a:latin typeface="Arial Narrow" panose="020B0606020202030204" pitchFamily="34" charset="0"/>
          </a:endParaRPr>
        </a:p>
      </xdr:txBody>
    </xdr:sp>
    <xdr:clientData/>
  </xdr:twoCellAnchor>
  <xdr:twoCellAnchor>
    <xdr:from>
      <xdr:col>2</xdr:col>
      <xdr:colOff>9526</xdr:colOff>
      <xdr:row>21</xdr:row>
      <xdr:rowOff>38100</xdr:rowOff>
    </xdr:from>
    <xdr:to>
      <xdr:col>6</xdr:col>
      <xdr:colOff>257176</xdr:colOff>
      <xdr:row>34</xdr:row>
      <xdr:rowOff>142875</xdr:rowOff>
    </xdr:to>
    <xdr:graphicFrame macro="">
      <xdr:nvGraphicFramePr>
        <xdr:cNvPr id="14" name="Chart 13">
          <a:extLst>
            <a:ext uri="{FF2B5EF4-FFF2-40B4-BE49-F238E27FC236}">
              <a16:creationId xmlns:a16="http://schemas.microsoft.com/office/drawing/2014/main" id="{204A2C69-BE18-4CF6-AFAE-6AC4EEFB3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6568</xdr:colOff>
      <xdr:row>20</xdr:row>
      <xdr:rowOff>13608</xdr:rowOff>
    </xdr:from>
    <xdr:to>
      <xdr:col>25</xdr:col>
      <xdr:colOff>709448</xdr:colOff>
      <xdr:row>34</xdr:row>
      <xdr:rowOff>146539</xdr:rowOff>
    </xdr:to>
    <xdr:graphicFrame macro="">
      <xdr:nvGraphicFramePr>
        <xdr:cNvPr id="6" name="Chart 5">
          <a:extLst>
            <a:ext uri="{FF2B5EF4-FFF2-40B4-BE49-F238E27FC236}">
              <a16:creationId xmlns:a16="http://schemas.microsoft.com/office/drawing/2014/main" id="{819CE2D1-751F-467C-A6A7-DBECBF0DF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361951</xdr:colOff>
      <xdr:row>21</xdr:row>
      <xdr:rowOff>38100</xdr:rowOff>
    </xdr:from>
    <xdr:to>
      <xdr:col>11</xdr:col>
      <xdr:colOff>361951</xdr:colOff>
      <xdr:row>34</xdr:row>
      <xdr:rowOff>142875</xdr:rowOff>
    </xdr:to>
    <xdr:graphicFrame macro="">
      <xdr:nvGraphicFramePr>
        <xdr:cNvPr id="18" name="Chart 17">
          <a:extLst>
            <a:ext uri="{FF2B5EF4-FFF2-40B4-BE49-F238E27FC236}">
              <a16:creationId xmlns:a16="http://schemas.microsoft.com/office/drawing/2014/main" id="{A01D9694-1854-4B72-96AD-58CAB6DC3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457201</xdr:colOff>
      <xdr:row>21</xdr:row>
      <xdr:rowOff>38100</xdr:rowOff>
    </xdr:from>
    <xdr:to>
      <xdr:col>15</xdr:col>
      <xdr:colOff>704851</xdr:colOff>
      <xdr:row>34</xdr:row>
      <xdr:rowOff>142875</xdr:rowOff>
    </xdr:to>
    <xdr:graphicFrame macro="">
      <xdr:nvGraphicFramePr>
        <xdr:cNvPr id="19" name="Chart 18">
          <a:extLst>
            <a:ext uri="{FF2B5EF4-FFF2-40B4-BE49-F238E27FC236}">
              <a16:creationId xmlns:a16="http://schemas.microsoft.com/office/drawing/2014/main" id="{AADAFABF-8ACC-4065-9DDF-5797C341F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12</xdr:row>
      <xdr:rowOff>138113</xdr:rowOff>
    </xdr:from>
    <xdr:to>
      <xdr:col>15</xdr:col>
      <xdr:colOff>666748</xdr:colOff>
      <xdr:row>26</xdr:row>
      <xdr:rowOff>152400</xdr:rowOff>
    </xdr:to>
    <xdr:graphicFrame macro="">
      <xdr:nvGraphicFramePr>
        <xdr:cNvPr id="2" name="Chart 1">
          <a:extLst>
            <a:ext uri="{FF2B5EF4-FFF2-40B4-BE49-F238E27FC236}">
              <a16:creationId xmlns:a16="http://schemas.microsoft.com/office/drawing/2014/main" id="{30C6AAF0-CBEA-442B-B963-6EBAC00A3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533400</xdr:colOff>
      <xdr:row>0</xdr:row>
      <xdr:rowOff>38100</xdr:rowOff>
    </xdr:from>
    <xdr:to>
      <xdr:col>16</xdr:col>
      <xdr:colOff>2703</xdr:colOff>
      <xdr:row>1</xdr:row>
      <xdr:rowOff>101607</xdr:rowOff>
    </xdr:to>
    <xdr:pic>
      <xdr:nvPicPr>
        <xdr:cNvPr id="3" name="Picture 2">
          <a:extLst>
            <a:ext uri="{FF2B5EF4-FFF2-40B4-BE49-F238E27FC236}">
              <a16:creationId xmlns:a16="http://schemas.microsoft.com/office/drawing/2014/main" id="{6639FB1E-41FE-4357-8250-B664D5A1BF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753850" y="38100"/>
          <a:ext cx="828929" cy="2730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226115</xdr:colOff>
      <xdr:row>47</xdr:row>
      <xdr:rowOff>201716</xdr:rowOff>
    </xdr:from>
    <xdr:to>
      <xdr:col>8</xdr:col>
      <xdr:colOff>305858</xdr:colOff>
      <xdr:row>60</xdr:row>
      <xdr:rowOff>22423</xdr:rowOff>
    </xdr:to>
    <xdr:graphicFrame macro="">
      <xdr:nvGraphicFramePr>
        <xdr:cNvPr id="2" name="Chart 1">
          <a:extLst>
            <a:ext uri="{FF2B5EF4-FFF2-40B4-BE49-F238E27FC236}">
              <a16:creationId xmlns:a16="http://schemas.microsoft.com/office/drawing/2014/main" id="{C11C6AA0-FB27-4975-B94A-FAE3C5C15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7621</xdr:colOff>
      <xdr:row>6</xdr:row>
      <xdr:rowOff>7620</xdr:rowOff>
    </xdr:from>
    <xdr:to>
      <xdr:col>11</xdr:col>
      <xdr:colOff>3811</xdr:colOff>
      <xdr:row>17</xdr:row>
      <xdr:rowOff>1</xdr:rowOff>
    </xdr:to>
    <xdr:graphicFrame macro="">
      <xdr:nvGraphicFramePr>
        <xdr:cNvPr id="3" name="Chart 2">
          <a:extLst>
            <a:ext uri="{FF2B5EF4-FFF2-40B4-BE49-F238E27FC236}">
              <a16:creationId xmlns:a16="http://schemas.microsoft.com/office/drawing/2014/main" id="{32552215-2657-4BC2-8772-037B6CCDC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xdr:colOff>
      <xdr:row>20</xdr:row>
      <xdr:rowOff>11496</xdr:rowOff>
    </xdr:from>
    <xdr:to>
      <xdr:col>11</xdr:col>
      <xdr:colOff>10205</xdr:colOff>
      <xdr:row>31</xdr:row>
      <xdr:rowOff>4644</xdr:rowOff>
    </xdr:to>
    <xdr:graphicFrame macro="">
      <xdr:nvGraphicFramePr>
        <xdr:cNvPr id="4" name="Chart 3">
          <a:extLst>
            <a:ext uri="{FF2B5EF4-FFF2-40B4-BE49-F238E27FC236}">
              <a16:creationId xmlns:a16="http://schemas.microsoft.com/office/drawing/2014/main" id="{32202E02-B0BC-4DA0-9BEB-2AE5BE6E9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35819</xdr:colOff>
      <xdr:row>47</xdr:row>
      <xdr:rowOff>200592</xdr:rowOff>
    </xdr:from>
    <xdr:to>
      <xdr:col>11</xdr:col>
      <xdr:colOff>273314</xdr:colOff>
      <xdr:row>60</xdr:row>
      <xdr:rowOff>21298</xdr:rowOff>
    </xdr:to>
    <xdr:graphicFrame macro="">
      <xdr:nvGraphicFramePr>
        <xdr:cNvPr id="7" name="Chart 6">
          <a:extLst>
            <a:ext uri="{FF2B5EF4-FFF2-40B4-BE49-F238E27FC236}">
              <a16:creationId xmlns:a16="http://schemas.microsoft.com/office/drawing/2014/main" id="{73096FFC-7169-44F6-92F5-778BF1411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597352</xdr:colOff>
      <xdr:row>48</xdr:row>
      <xdr:rowOff>5474</xdr:rowOff>
    </xdr:from>
    <xdr:to>
      <xdr:col>11</xdr:col>
      <xdr:colOff>263977</xdr:colOff>
      <xdr:row>60</xdr:row>
      <xdr:rowOff>46936</xdr:rowOff>
    </xdr:to>
    <xdr:sp macro="" textlink="">
      <xdr:nvSpPr>
        <xdr:cNvPr id="8" name="Rectangle 7">
          <a:extLst>
            <a:ext uri="{FF2B5EF4-FFF2-40B4-BE49-F238E27FC236}">
              <a16:creationId xmlns:a16="http://schemas.microsoft.com/office/drawing/2014/main" id="{1BFF9BC3-3C3B-4BB2-9AFB-0111209BC02C}"/>
            </a:ext>
          </a:extLst>
        </xdr:cNvPr>
        <xdr:cNvSpPr/>
      </xdr:nvSpPr>
      <xdr:spPr>
        <a:xfrm>
          <a:off x="597352" y="10082924"/>
          <a:ext cx="6372225" cy="2556062"/>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10</xdr:col>
      <xdr:colOff>369794</xdr:colOff>
      <xdr:row>0</xdr:row>
      <xdr:rowOff>0</xdr:rowOff>
    </xdr:from>
    <xdr:ext cx="829746" cy="275590"/>
    <xdr:pic>
      <xdr:nvPicPr>
        <xdr:cNvPr id="9" name="Picture 8">
          <a:extLst>
            <a:ext uri="{FF2B5EF4-FFF2-40B4-BE49-F238E27FC236}">
              <a16:creationId xmlns:a16="http://schemas.microsoft.com/office/drawing/2014/main" id="{2D95234F-99C8-4350-B256-55F147D775E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20970" y="0"/>
          <a:ext cx="829746" cy="275590"/>
        </a:xfrm>
        <a:prstGeom prst="rect">
          <a:avLst/>
        </a:prstGeom>
      </xdr:spPr>
    </xdr:pic>
    <xdr:clientData/>
  </xdr:oneCellAnchor>
  <xdr:twoCellAnchor>
    <xdr:from>
      <xdr:col>0</xdr:col>
      <xdr:colOff>224790</xdr:colOff>
      <xdr:row>33</xdr:row>
      <xdr:rowOff>205740</xdr:rowOff>
    </xdr:from>
    <xdr:to>
      <xdr:col>10</xdr:col>
      <xdr:colOff>605790</xdr:colOff>
      <xdr:row>44</xdr:row>
      <xdr:rowOff>209441</xdr:rowOff>
    </xdr:to>
    <xdr:graphicFrame macro="">
      <xdr:nvGraphicFramePr>
        <xdr:cNvPr id="10" name="Chart 9">
          <a:extLst>
            <a:ext uri="{FF2B5EF4-FFF2-40B4-BE49-F238E27FC236}">
              <a16:creationId xmlns:a16="http://schemas.microsoft.com/office/drawing/2014/main" id="{B612E766-4D01-4A81-8C6A-C3441F53E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21</xdr:col>
      <xdr:colOff>572860</xdr:colOff>
      <xdr:row>0</xdr:row>
      <xdr:rowOff>66675</xdr:rowOff>
    </xdr:from>
    <xdr:to>
      <xdr:col>23</xdr:col>
      <xdr:colOff>2510</xdr:colOff>
      <xdr:row>1</xdr:row>
      <xdr:rowOff>136712</xdr:rowOff>
    </xdr:to>
    <xdr:pic>
      <xdr:nvPicPr>
        <xdr:cNvPr id="2" name="Picture 1">
          <a:extLst>
            <a:ext uri="{FF2B5EF4-FFF2-40B4-BE49-F238E27FC236}">
              <a16:creationId xmlns:a16="http://schemas.microsoft.com/office/drawing/2014/main" id="{24DFE686-4B0B-4ACA-A994-D9FCDDD463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55560" y="66675"/>
          <a:ext cx="828929" cy="2700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127000</xdr:colOff>
      <xdr:row>0</xdr:row>
      <xdr:rowOff>7214</xdr:rowOff>
    </xdr:from>
    <xdr:to>
      <xdr:col>18</xdr:col>
      <xdr:colOff>5671</xdr:colOff>
      <xdr:row>1</xdr:row>
      <xdr:rowOff>72308</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57750" y="7214"/>
          <a:ext cx="828929" cy="2649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14</xdr:col>
      <xdr:colOff>838200</xdr:colOff>
      <xdr:row>0</xdr:row>
      <xdr:rowOff>0</xdr:rowOff>
    </xdr:from>
    <xdr:ext cx="829746" cy="275590"/>
    <xdr:pic>
      <xdr:nvPicPr>
        <xdr:cNvPr id="3" name="Picture 2">
          <a:extLst>
            <a:ext uri="{FF2B5EF4-FFF2-40B4-BE49-F238E27FC236}">
              <a16:creationId xmlns:a16="http://schemas.microsoft.com/office/drawing/2014/main" id="{2D6707EB-B2EF-4188-8AE8-D62FC48EC4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58100" y="0"/>
          <a:ext cx="829746" cy="27559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16</xdr:col>
      <xdr:colOff>552450</xdr:colOff>
      <xdr:row>0</xdr:row>
      <xdr:rowOff>63500</xdr:rowOff>
    </xdr:from>
    <xdr:to>
      <xdr:col>17</xdr:col>
      <xdr:colOff>652581</xdr:colOff>
      <xdr:row>1</xdr:row>
      <xdr:rowOff>129540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08050" y="63500"/>
          <a:ext cx="794821" cy="243840"/>
        </a:xfrm>
        <a:prstGeom prst="rect">
          <a:avLst/>
        </a:prstGeom>
      </xdr:spPr>
    </xdr:pic>
    <xdr:clientData/>
  </xdr:twoCellAnchor>
  <xdr:oneCellAnchor>
    <xdr:from>
      <xdr:col>16</xdr:col>
      <xdr:colOff>552450</xdr:colOff>
      <xdr:row>0</xdr:row>
      <xdr:rowOff>63500</xdr:rowOff>
    </xdr:from>
    <xdr:ext cx="829746" cy="275590"/>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68450" y="63500"/>
          <a:ext cx="829746" cy="27559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14</xdr:col>
      <xdr:colOff>9525</xdr:colOff>
      <xdr:row>0</xdr:row>
      <xdr:rowOff>9525</xdr:rowOff>
    </xdr:from>
    <xdr:ext cx="829746" cy="275590"/>
    <xdr:pic>
      <xdr:nvPicPr>
        <xdr:cNvPr id="3" name="Picture 2">
          <a:extLst>
            <a:ext uri="{FF2B5EF4-FFF2-40B4-BE49-F238E27FC236}">
              <a16:creationId xmlns:a16="http://schemas.microsoft.com/office/drawing/2014/main" id="{28952C44-F0DB-4591-B3FC-317A3EA22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58700" y="9525"/>
          <a:ext cx="829746" cy="275590"/>
        </a:xfrm>
        <a:prstGeom prst="rect">
          <a:avLst/>
        </a:prstGeom>
      </xdr:spPr>
    </xdr:pic>
    <xdr:clientData/>
  </xdr:oneCellAnchor>
  <xdr:twoCellAnchor>
    <xdr:from>
      <xdr:col>1</xdr:col>
      <xdr:colOff>0</xdr:colOff>
      <xdr:row>35</xdr:row>
      <xdr:rowOff>66675</xdr:rowOff>
    </xdr:from>
    <xdr:to>
      <xdr:col>5</xdr:col>
      <xdr:colOff>827943</xdr:colOff>
      <xdr:row>49</xdr:row>
      <xdr:rowOff>13189</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D58C270-E819-481C-B464-D65964DF04F6}"/>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05740" y="6802755"/>
              <a:ext cx="4897023" cy="273543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16</xdr:col>
      <xdr:colOff>600075</xdr:colOff>
      <xdr:row>0</xdr:row>
      <xdr:rowOff>0</xdr:rowOff>
    </xdr:from>
    <xdr:ext cx="829746" cy="275590"/>
    <xdr:pic>
      <xdr:nvPicPr>
        <xdr:cNvPr id="3" name="Picture 2">
          <a:extLst>
            <a:ext uri="{FF2B5EF4-FFF2-40B4-BE49-F238E27FC236}">
              <a16:creationId xmlns:a16="http://schemas.microsoft.com/office/drawing/2014/main" id="{11236D07-63D4-4B1B-AF26-955E83174A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39600" y="0"/>
          <a:ext cx="829746" cy="27559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10</xdr:col>
      <xdr:colOff>593148</xdr:colOff>
      <xdr:row>0</xdr:row>
      <xdr:rowOff>4330</xdr:rowOff>
    </xdr:from>
    <xdr:ext cx="829746" cy="275590"/>
    <xdr:pic>
      <xdr:nvPicPr>
        <xdr:cNvPr id="3" name="Picture 2">
          <a:extLst>
            <a:ext uri="{FF2B5EF4-FFF2-40B4-BE49-F238E27FC236}">
              <a16:creationId xmlns:a16="http://schemas.microsoft.com/office/drawing/2014/main" id="{CCA02189-15A8-4056-BB2E-045642EDF4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75" y="4330"/>
          <a:ext cx="829746" cy="275590"/>
        </a:xfrm>
        <a:prstGeom prst="rect">
          <a:avLst/>
        </a:prstGeom>
      </xdr:spPr>
    </xdr:pic>
    <xdr:clientData/>
  </xdr:oneCellAnchor>
  <xdr:twoCellAnchor>
    <xdr:from>
      <xdr:col>1</xdr:col>
      <xdr:colOff>95250</xdr:colOff>
      <xdr:row>58</xdr:row>
      <xdr:rowOff>90487</xdr:rowOff>
    </xdr:from>
    <xdr:to>
      <xdr:col>11</xdr:col>
      <xdr:colOff>681038</xdr:colOff>
      <xdr:row>73</xdr:row>
      <xdr:rowOff>133351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DA310A-DAC8-42F4-972A-2C813E5816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0990" y="9493567"/>
              <a:ext cx="7268528" cy="30146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oneCellAnchor>
    <xdr:from>
      <xdr:col>29</xdr:col>
      <xdr:colOff>733425</xdr:colOff>
      <xdr:row>0</xdr:row>
      <xdr:rowOff>0</xdr:rowOff>
    </xdr:from>
    <xdr:ext cx="829746" cy="275590"/>
    <xdr:pic>
      <xdr:nvPicPr>
        <xdr:cNvPr id="3" name="Picture 2">
          <a:extLst>
            <a:ext uri="{FF2B5EF4-FFF2-40B4-BE49-F238E27FC236}">
              <a16:creationId xmlns:a16="http://schemas.microsoft.com/office/drawing/2014/main" id="{C183EB35-F0F8-4F5B-8D42-3BCF3B832B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60954" y="0"/>
          <a:ext cx="829746" cy="27559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10</xdr:col>
      <xdr:colOff>609600</xdr:colOff>
      <xdr:row>0</xdr:row>
      <xdr:rowOff>0</xdr:rowOff>
    </xdr:from>
    <xdr:ext cx="829746" cy="275590"/>
    <xdr:pic>
      <xdr:nvPicPr>
        <xdr:cNvPr id="3" name="Picture 2">
          <a:extLst>
            <a:ext uri="{FF2B5EF4-FFF2-40B4-BE49-F238E27FC236}">
              <a16:creationId xmlns:a16="http://schemas.microsoft.com/office/drawing/2014/main" id="{8F7316E9-C90F-4F18-B6B1-FD8B600A36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00925" y="0"/>
          <a:ext cx="829746" cy="27559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17</xdr:col>
      <xdr:colOff>1076864</xdr:colOff>
      <xdr:row>0</xdr:row>
      <xdr:rowOff>0</xdr:rowOff>
    </xdr:from>
    <xdr:ext cx="829746" cy="275590"/>
    <xdr:pic>
      <xdr:nvPicPr>
        <xdr:cNvPr id="3" name="Picture 2">
          <a:extLst>
            <a:ext uri="{FF2B5EF4-FFF2-40B4-BE49-F238E27FC236}">
              <a16:creationId xmlns:a16="http://schemas.microsoft.com/office/drawing/2014/main" id="{E121CB4B-147A-445A-A952-A48F726B0C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3968" y="0"/>
          <a:ext cx="829746" cy="27559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16</xdr:col>
      <xdr:colOff>659130</xdr:colOff>
      <xdr:row>0</xdr:row>
      <xdr:rowOff>0</xdr:rowOff>
    </xdr:from>
    <xdr:ext cx="829746" cy="275590"/>
    <xdr:pic>
      <xdr:nvPicPr>
        <xdr:cNvPr id="4" name="Picture 3">
          <a:extLst>
            <a:ext uri="{FF2B5EF4-FFF2-40B4-BE49-F238E27FC236}">
              <a16:creationId xmlns:a16="http://schemas.microsoft.com/office/drawing/2014/main" id="{F089C873-FD62-4AC2-9411-3208E371E9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548360" y="0"/>
          <a:ext cx="829746" cy="275590"/>
        </a:xfrm>
        <a:prstGeom prst="rect">
          <a:avLst/>
        </a:prstGeom>
      </xdr:spPr>
    </xdr:pic>
    <xdr:clientData/>
  </xdr:oneCellAnchor>
  <xdr:twoCellAnchor>
    <xdr:from>
      <xdr:col>1</xdr:col>
      <xdr:colOff>19050</xdr:colOff>
      <xdr:row>26</xdr:row>
      <xdr:rowOff>19050</xdr:rowOff>
    </xdr:from>
    <xdr:to>
      <xdr:col>9</xdr:col>
      <xdr:colOff>714375</xdr:colOff>
      <xdr:row>42</xdr:row>
      <xdr:rowOff>180975</xdr:rowOff>
    </xdr:to>
    <xdr:graphicFrame macro="">
      <xdr:nvGraphicFramePr>
        <xdr:cNvPr id="3" name="Chart 2">
          <a:extLst>
            <a:ext uri="{FF2B5EF4-FFF2-40B4-BE49-F238E27FC236}">
              <a16:creationId xmlns:a16="http://schemas.microsoft.com/office/drawing/2014/main" id="{10304894-C237-455B-B799-D5B69DEAA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a="http://schemas.openxmlformats.org/drawingml/2006/main">
  <xdr:oneCellAnchor>
    <xdr:from>
      <xdr:col>4</xdr:col>
      <xdr:colOff>657225</xdr:colOff>
      <xdr:row>0</xdr:row>
      <xdr:rowOff>0</xdr:rowOff>
    </xdr:from>
    <xdr:ext cx="829746" cy="275590"/>
    <xdr:pic>
      <xdr:nvPicPr>
        <xdr:cNvPr id="3" name="Picture 2">
          <a:extLst>
            <a:ext uri="{FF2B5EF4-FFF2-40B4-BE49-F238E27FC236}">
              <a16:creationId xmlns:a16="http://schemas.microsoft.com/office/drawing/2014/main" id="{3D88F568-9B58-45FC-B89A-BE117C9A95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67275" y="0"/>
          <a:ext cx="829746" cy="275590"/>
        </a:xfrm>
        <a:prstGeom prst="rect">
          <a:avLst/>
        </a:prstGeom>
      </xdr:spPr>
    </xdr:pic>
    <xdr:clientData/>
  </xdr:oneCellAnchor>
  <xdr:twoCellAnchor>
    <xdr:from>
      <xdr:col>1</xdr:col>
      <xdr:colOff>9525</xdr:colOff>
      <xdr:row>20</xdr:row>
      <xdr:rowOff>19050</xdr:rowOff>
    </xdr:from>
    <xdr:to>
      <xdr:col>7</xdr:col>
      <xdr:colOff>723900</xdr:colOff>
      <xdr:row>31</xdr:row>
      <xdr:rowOff>180975</xdr:rowOff>
    </xdr:to>
    <xdr:graphicFrame macro="">
      <xdr:nvGraphicFramePr>
        <xdr:cNvPr id="4" name="Chart 3">
          <a:extLst>
            <a:ext uri="{FF2B5EF4-FFF2-40B4-BE49-F238E27FC236}">
              <a16:creationId xmlns:a16="http://schemas.microsoft.com/office/drawing/2014/main" id="{3158FF5D-54CD-444D-95FF-F8ECE96A4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7.xml><?xml version="1.0" encoding="utf-8"?>
<xdr:wsDr xmlns:xdr="http://schemas.openxmlformats.org/drawingml/2006/spreadsheetDrawing" xmlns:a="http://schemas.openxmlformats.org/drawingml/2006/main">
  <xdr:oneCellAnchor>
    <xdr:from>
      <xdr:col>5</xdr:col>
      <xdr:colOff>428625</xdr:colOff>
      <xdr:row>0</xdr:row>
      <xdr:rowOff>0</xdr:rowOff>
    </xdr:from>
    <xdr:ext cx="829746" cy="275590"/>
    <xdr:pic>
      <xdr:nvPicPr>
        <xdr:cNvPr id="2" name="Picture 1">
          <a:extLst>
            <a:ext uri="{FF2B5EF4-FFF2-40B4-BE49-F238E27FC236}">
              <a16:creationId xmlns:a16="http://schemas.microsoft.com/office/drawing/2014/main" id="{4E699E59-DDB6-4712-B76B-EF5653D168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14950" y="0"/>
          <a:ext cx="829746" cy="27559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twoCellAnchor>
    <xdr:from>
      <xdr:col>3</xdr:col>
      <xdr:colOff>670113</xdr:colOff>
      <xdr:row>9</xdr:row>
      <xdr:rowOff>28575</xdr:rowOff>
    </xdr:from>
    <xdr:to>
      <xdr:col>12</xdr:col>
      <xdr:colOff>182445</xdr:colOff>
      <xdr:row>26</xdr:row>
      <xdr:rowOff>71157</xdr:rowOff>
    </xdr:to>
    <xdr:graphicFrame macro="">
      <xdr:nvGraphicFramePr>
        <xdr:cNvPr id="7" name="Chart 6">
          <a:extLst>
            <a:ext uri="{FF2B5EF4-FFF2-40B4-BE49-F238E27FC236}">
              <a16:creationId xmlns:a16="http://schemas.microsoft.com/office/drawing/2014/main" id="{42FA5A79-BC6F-4746-8CC6-59D8A3366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266700</xdr:colOff>
      <xdr:row>0</xdr:row>
      <xdr:rowOff>57150</xdr:rowOff>
    </xdr:from>
    <xdr:ext cx="829746" cy="275590"/>
    <xdr:pic>
      <xdr:nvPicPr>
        <xdr:cNvPr id="8" name="Picture 7">
          <a:extLst>
            <a:ext uri="{FF2B5EF4-FFF2-40B4-BE49-F238E27FC236}">
              <a16:creationId xmlns:a16="http://schemas.microsoft.com/office/drawing/2014/main" id="{8A72527B-3BCA-4EA6-B121-86E1192BA9B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20275" y="57150"/>
          <a:ext cx="829746" cy="27559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eer\Desktop\Learning\CFI\6%20-%20Case%20Study%20Challenges\The%20Amazon%20Case%20Study\Amazon%20Case%20Study%20Attachments\3.%20Comparable%20Trading%20Metrics.xlsx" TargetMode="External"/><Relationship Id="rId1" Type="http://schemas.openxmlformats.org/officeDocument/2006/relationships/externalLinkPath" Target="3.%20Comparable%20Trading%20Metr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CIQHiddenCacheSheet"/>
      <sheetName val="Cover Page"/>
      <sheetName val="Comps Data (Hard-Coded)"/>
      <sheetName val="&lt;&lt;Captial IQ"/>
      <sheetName val="Comps Data (Capital IQ))"/>
      <sheetName val="AMZN"/>
      <sheetName val="WMT"/>
      <sheetName val="HD"/>
      <sheetName val="LOW"/>
      <sheetName val="TGT"/>
      <sheetName val="BABA"/>
      <sheetName val="EBAY"/>
      <sheetName val="ETSY"/>
      <sheetName val="GOOG.L"/>
      <sheetName val="FB"/>
      <sheetName val="TWTR"/>
      <sheetName val="CRM"/>
      <sheetName val="ORCL"/>
      <sheetName val="SAP"/>
      <sheetName val="VMW"/>
      <sheetName val="NFLX"/>
      <sheetName val="SPOT"/>
      <sheetName val="ROKU"/>
      <sheetName val="SIRI"/>
      <sheetName val="Company Template"/>
    </sheetNames>
    <sheetDataSet>
      <sheetData sheetId="0"/>
      <sheetData sheetId="1"/>
      <sheetData sheetId="2"/>
      <sheetData sheetId="3"/>
      <sheetData sheetId="4"/>
      <sheetData sheetId="5"/>
      <sheetData sheetId="6">
        <row r="6">
          <cell r="B6" t="str">
            <v>Walmart Inc.</v>
          </cell>
        </row>
        <row r="11">
          <cell r="E11">
            <v>43.913330000000002</v>
          </cell>
          <cell r="H11">
            <v>552181.35774000001</v>
          </cell>
          <cell r="I11">
            <v>567641.65714000002</v>
          </cell>
        </row>
        <row r="12">
          <cell r="H12">
            <v>35135.367689999999</v>
          </cell>
          <cell r="I12">
            <v>37013.018450000003</v>
          </cell>
        </row>
        <row r="13">
          <cell r="H13">
            <v>18621.81494</v>
          </cell>
          <cell r="I13">
            <v>14288.424999999999</v>
          </cell>
        </row>
        <row r="14">
          <cell r="H14">
            <v>30037.416669999999</v>
          </cell>
          <cell r="I14">
            <v>27681.727269999999</v>
          </cell>
        </row>
        <row r="19">
          <cell r="E19">
            <v>8492.3060000000005</v>
          </cell>
        </row>
        <row r="23">
          <cell r="E23">
            <v>17741</v>
          </cell>
          <cell r="I23">
            <v>0.72705669991203115</v>
          </cell>
        </row>
        <row r="24">
          <cell r="I24">
            <v>0.42098021445912243</v>
          </cell>
        </row>
        <row r="29">
          <cell r="E29">
            <v>63640</v>
          </cell>
        </row>
        <row r="31">
          <cell r="E31">
            <v>45899</v>
          </cell>
        </row>
      </sheetData>
      <sheetData sheetId="7">
        <row r="6">
          <cell r="B6" t="str">
            <v>The Home Depot, Inc.</v>
          </cell>
        </row>
        <row r="11">
          <cell r="E11">
            <v>289.10000000000002</v>
          </cell>
          <cell r="H11">
            <v>130345.63710000001</v>
          </cell>
          <cell r="I11">
            <v>135501.82561999999</v>
          </cell>
        </row>
        <row r="12">
          <cell r="H12">
            <v>20628.049360000001</v>
          </cell>
          <cell r="I12">
            <v>21809.92035</v>
          </cell>
        </row>
        <row r="13">
          <cell r="H13">
            <v>12804.15921</v>
          </cell>
          <cell r="I13">
            <v>13494.422629999999</v>
          </cell>
        </row>
        <row r="14">
          <cell r="H14">
            <v>16602.2</v>
          </cell>
          <cell r="I14">
            <v>16511.545450000001</v>
          </cell>
        </row>
        <row r="19">
          <cell r="E19">
            <v>1080.2231162919404</v>
          </cell>
        </row>
        <row r="23">
          <cell r="E23">
            <v>7895</v>
          </cell>
          <cell r="I23">
            <v>13.162170354652925</v>
          </cell>
        </row>
        <row r="24">
          <cell r="I24">
            <v>0.92938935382376231</v>
          </cell>
        </row>
        <row r="29">
          <cell r="E29">
            <v>43422</v>
          </cell>
        </row>
        <row r="31">
          <cell r="E31">
            <v>35527</v>
          </cell>
        </row>
      </sheetData>
      <sheetData sheetId="8">
        <row r="6">
          <cell r="B6" t="str">
            <v>Lowe's Companies, Inc.</v>
          </cell>
        </row>
        <row r="11">
          <cell r="E11">
            <v>179.49</v>
          </cell>
          <cell r="H11">
            <v>88644.389639999994</v>
          </cell>
          <cell r="I11">
            <v>95796.8177</v>
          </cell>
        </row>
        <row r="12">
          <cell r="H12">
            <v>11134.244769999999</v>
          </cell>
          <cell r="I12">
            <v>13786.583549999999</v>
          </cell>
        </row>
        <row r="13">
          <cell r="H13">
            <v>6024.8232500000004</v>
          </cell>
          <cell r="I13">
            <v>8326.3219300000001</v>
          </cell>
        </row>
        <row r="14">
          <cell r="H14">
            <v>9679.0833299999995</v>
          </cell>
          <cell r="I14">
            <v>11097.74</v>
          </cell>
        </row>
        <row r="19">
          <cell r="E19">
            <v>735.39225539027245</v>
          </cell>
        </row>
        <row r="23">
          <cell r="E23">
            <v>4690</v>
          </cell>
          <cell r="I23">
            <v>18.240083507306888</v>
          </cell>
        </row>
        <row r="24">
          <cell r="I24">
            <v>0.94802517361111116</v>
          </cell>
        </row>
        <row r="29">
          <cell r="E29">
            <v>26211</v>
          </cell>
        </row>
        <row r="31">
          <cell r="E31">
            <v>21521</v>
          </cell>
        </row>
      </sheetData>
      <sheetData sheetId="9">
        <row r="6">
          <cell r="B6" t="str">
            <v>Target Corporation</v>
          </cell>
        </row>
        <row r="11">
          <cell r="E11">
            <v>187.55</v>
          </cell>
          <cell r="H11">
            <v>92600.040420000005</v>
          </cell>
          <cell r="I11">
            <v>106336.68332</v>
          </cell>
        </row>
        <row r="12">
          <cell r="H12">
            <v>8872.8074300000007</v>
          </cell>
          <cell r="I12">
            <v>11294.03363</v>
          </cell>
        </row>
        <row r="13">
          <cell r="H13">
            <v>4417.3888900000002</v>
          </cell>
          <cell r="I13">
            <v>6692.8571400000001</v>
          </cell>
        </row>
        <row r="14">
          <cell r="H14">
            <v>7645.15</v>
          </cell>
          <cell r="I14">
            <v>8391.1749999999993</v>
          </cell>
        </row>
        <row r="19">
          <cell r="E19">
            <v>510.50993079978679</v>
          </cell>
        </row>
        <row r="23">
          <cell r="E23">
            <v>8511</v>
          </cell>
          <cell r="I23">
            <v>1.0463296398891966</v>
          </cell>
        </row>
        <row r="24">
          <cell r="I24">
            <v>0.51132018003993362</v>
          </cell>
        </row>
        <row r="29">
          <cell r="E29">
            <v>15109</v>
          </cell>
        </row>
        <row r="31">
          <cell r="E31">
            <v>6598</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25F20D-641D-44AA-87DF-C3C2891B4D81}" name="Table2" displayName="Table2" ref="B10:C1374" totalsRowShown="0" headerRowDxfId="4">
  <autoFilter ref="B10:C1374" xr:uid="{00A7BE77-9AFA-4063-AFE3-652EDFF4F258}"/>
  <tableColumns count="2">
    <tableColumn id="1" xr3:uid="{8CB071A3-2824-4051-94D4-4AB54E73C9AA}" name="Dates" dataDxfId="3" dataCellStyle="Normal 9"/>
    <tableColumn id="2" xr3:uid="{E8CFBDAA-CC14-4BC1-81D3-200C0A50B6C3}" name="Amazon.com, Inc. (NasdaqGS:AMZN) - Share Pricing" dataDxfId="2" dataCellStyle="Currenc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1.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2.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customProperty" Target="../customProperty3.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customProperty" Target="../customProperty4.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customProperty" Target="../customProperty5.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economics.td.com/ca-long-term-forecast" TargetMode="External"/><Relationship Id="rId2" Type="http://schemas.openxmlformats.org/officeDocument/2006/relationships/hyperlink" Target="https://www.pwc.com/gx/en/research-insights/economy/global-economy-watch/projections.html" TargetMode="External"/><Relationship Id="rId1" Type="http://schemas.openxmlformats.org/officeDocument/2006/relationships/hyperlink" Target="https://www.cbo.gov/publication/56465" TargetMode="External"/><Relationship Id="rId6" Type="http://schemas.openxmlformats.org/officeDocument/2006/relationships/drawing" Target="../drawings/drawing16.xml"/><Relationship Id="rId5" Type="http://schemas.openxmlformats.org/officeDocument/2006/relationships/customProperty" Target="../customProperty6.bin"/><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customProperty" Target="../customProperty7.bin"/><Relationship Id="rId1" Type="http://schemas.openxmlformats.org/officeDocument/2006/relationships/printerSettings" Target="../printerSettings/printerSettings18.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F146-432F-4933-BBDB-7BA88577CE55}">
  <dimension ref="A1:P42"/>
  <sheetViews>
    <sheetView showGridLines="0" topLeftCell="A5" zoomScaleNormal="100" workbookViewId="0">
      <selection activeCell="C24" sqref="C24"/>
    </sheetView>
  </sheetViews>
  <sheetFormatPr defaultColWidth="10.125" defaultRowHeight="13.8" x14ac:dyDescent="0.25"/>
  <cols>
    <col min="1" max="1" width="3.375" style="52" customWidth="1"/>
    <col min="2" max="2" width="12.125" style="48" customWidth="1"/>
    <col min="3" max="3" width="32.125" style="48" customWidth="1"/>
    <col min="4" max="16" width="12.125" style="48" customWidth="1"/>
    <col min="17" max="16384" width="10.125" style="48"/>
  </cols>
  <sheetData>
    <row r="1" spans="2:16" ht="19.5" customHeight="1" x14ac:dyDescent="0.25"/>
    <row r="2" spans="2:16" ht="19.5" customHeight="1" x14ac:dyDescent="0.25"/>
    <row r="3" spans="2:16" ht="19.5" customHeight="1" x14ac:dyDescent="0.25">
      <c r="B3" s="49"/>
      <c r="C3" s="49"/>
      <c r="D3" s="49"/>
      <c r="E3" s="49"/>
      <c r="F3" s="49"/>
      <c r="G3" s="49"/>
      <c r="H3" s="49"/>
      <c r="I3" s="49"/>
      <c r="J3" s="49"/>
      <c r="K3" s="49"/>
      <c r="L3" s="49"/>
      <c r="M3" s="49"/>
      <c r="N3" s="49"/>
      <c r="O3" s="49"/>
      <c r="P3" s="49"/>
    </row>
    <row r="4" spans="2:16" ht="28.2" x14ac:dyDescent="0.5">
      <c r="B4" s="49"/>
      <c r="C4" s="530" t="s">
        <v>183</v>
      </c>
      <c r="D4" s="49"/>
      <c r="E4" s="49"/>
      <c r="F4" s="49"/>
      <c r="G4" s="49"/>
      <c r="H4" s="49"/>
      <c r="I4" s="49"/>
      <c r="J4" s="49"/>
      <c r="K4" s="49"/>
      <c r="L4" s="49"/>
      <c r="M4" s="49"/>
      <c r="N4" s="49"/>
      <c r="O4" s="49"/>
      <c r="P4" s="49"/>
    </row>
    <row r="5" spans="2:16" ht="28.2" x14ac:dyDescent="0.5">
      <c r="B5" s="49"/>
      <c r="C5" s="530"/>
      <c r="D5" s="49"/>
      <c r="E5" s="49"/>
      <c r="F5" s="49"/>
      <c r="G5" s="49"/>
      <c r="H5" s="49"/>
      <c r="I5" s="49"/>
      <c r="J5" s="49"/>
      <c r="K5" s="49"/>
      <c r="L5" s="49"/>
      <c r="M5" s="49"/>
      <c r="N5" s="49"/>
      <c r="O5" s="49"/>
      <c r="P5" s="49"/>
    </row>
    <row r="6" spans="2:16" ht="19.5" customHeight="1" x14ac:dyDescent="0.25">
      <c r="B6" s="49"/>
      <c r="C6" s="50"/>
      <c r="D6" s="49"/>
      <c r="E6" s="49"/>
      <c r="F6" s="49"/>
      <c r="G6" s="49"/>
      <c r="H6" s="49"/>
      <c r="I6" s="49"/>
      <c r="J6" s="49"/>
      <c r="K6" s="49"/>
      <c r="L6" s="49"/>
      <c r="M6" s="49"/>
      <c r="N6" s="49"/>
      <c r="O6" s="49"/>
      <c r="P6" s="49"/>
    </row>
    <row r="7" spans="2:16" ht="19.5" customHeight="1" x14ac:dyDescent="0.25">
      <c r="B7" s="49"/>
      <c r="C7" s="531"/>
      <c r="D7" s="49"/>
      <c r="E7" s="49"/>
      <c r="F7" s="49"/>
      <c r="G7" s="49"/>
      <c r="H7" s="49"/>
      <c r="I7" s="49"/>
      <c r="J7" s="49"/>
      <c r="K7" s="49"/>
      <c r="L7" s="49"/>
      <c r="M7" s="49"/>
      <c r="N7" s="49"/>
      <c r="O7" s="532"/>
      <c r="P7" s="49"/>
    </row>
    <row r="8" spans="2:16" ht="19.5" customHeight="1" x14ac:dyDescent="0.25">
      <c r="B8" s="49"/>
      <c r="C8" s="50"/>
      <c r="D8" s="49"/>
      <c r="E8" s="49"/>
      <c r="F8" s="49"/>
      <c r="G8" s="49"/>
      <c r="H8" s="49"/>
      <c r="I8" s="49"/>
      <c r="J8" s="49"/>
      <c r="K8" s="49"/>
      <c r="L8" s="49"/>
      <c r="M8" s="49"/>
      <c r="N8" s="49"/>
      <c r="O8" s="49"/>
      <c r="P8" s="49"/>
    </row>
    <row r="9" spans="2:16" ht="19.5" customHeight="1" x14ac:dyDescent="0.25">
      <c r="B9" s="49"/>
      <c r="C9" s="50"/>
      <c r="D9" s="49"/>
      <c r="E9" s="49"/>
      <c r="F9" s="49"/>
      <c r="G9" s="49"/>
      <c r="H9" s="49"/>
      <c r="I9" s="49"/>
      <c r="J9" s="49"/>
      <c r="K9" s="49"/>
      <c r="L9" s="49"/>
      <c r="M9" s="49"/>
      <c r="N9" s="49"/>
      <c r="O9" s="49"/>
      <c r="P9" s="49"/>
    </row>
    <row r="10" spans="2:16" ht="19.5" customHeight="1" x14ac:dyDescent="0.25">
      <c r="B10" s="49"/>
      <c r="C10" s="50"/>
      <c r="D10" s="49"/>
      <c r="E10" s="49"/>
      <c r="F10" s="49"/>
      <c r="G10" s="49"/>
      <c r="H10" s="49"/>
      <c r="I10" s="49"/>
      <c r="J10" s="49"/>
      <c r="K10" s="49"/>
      <c r="L10" s="49"/>
      <c r="M10" s="49"/>
      <c r="N10" s="49"/>
      <c r="O10" s="49"/>
      <c r="P10" s="49"/>
    </row>
    <row r="11" spans="2:16" ht="19.5" customHeight="1" x14ac:dyDescent="0.25">
      <c r="B11" s="49"/>
      <c r="C11" s="50"/>
      <c r="D11" s="49"/>
      <c r="E11" s="49"/>
      <c r="F11" s="49"/>
      <c r="G11" s="49"/>
      <c r="H11" s="49"/>
      <c r="I11" s="49"/>
      <c r="J11" s="49"/>
      <c r="K11" s="49"/>
      <c r="L11" s="49"/>
      <c r="M11" s="49"/>
      <c r="N11" s="49"/>
      <c r="O11" s="49"/>
      <c r="P11" s="49"/>
    </row>
    <row r="12" spans="2:16" ht="19.5" customHeight="1" x14ac:dyDescent="0.25">
      <c r="B12" s="49"/>
      <c r="C12" s="50"/>
      <c r="D12" s="49"/>
      <c r="E12" s="49"/>
      <c r="F12" s="49"/>
      <c r="G12" s="49"/>
      <c r="H12" s="49"/>
      <c r="I12" s="49"/>
      <c r="J12" s="49"/>
      <c r="K12" s="49"/>
      <c r="L12" s="49"/>
      <c r="M12" s="49"/>
      <c r="N12" s="49"/>
      <c r="O12" s="49"/>
      <c r="P12" s="49"/>
    </row>
    <row r="13" spans="2:16" ht="19.5" customHeight="1" x14ac:dyDescent="0.25">
      <c r="B13" s="49"/>
      <c r="C13" s="50"/>
      <c r="D13" s="49"/>
      <c r="E13" s="49"/>
      <c r="F13" s="49"/>
      <c r="G13" s="49"/>
      <c r="H13" s="49"/>
      <c r="I13" s="49"/>
      <c r="J13" s="49"/>
      <c r="K13" s="49"/>
      <c r="L13" s="49"/>
      <c r="M13" s="49"/>
      <c r="N13" s="49"/>
      <c r="O13" s="49"/>
      <c r="P13" s="49"/>
    </row>
    <row r="14" spans="2:16" ht="19.5" customHeight="1" x14ac:dyDescent="0.3">
      <c r="B14" s="49"/>
      <c r="C14" s="538" t="s">
        <v>583</v>
      </c>
      <c r="D14" s="539"/>
      <c r="E14" s="539" t="s">
        <v>584</v>
      </c>
      <c r="F14" s="539"/>
      <c r="G14" s="539"/>
      <c r="H14" s="539" t="s">
        <v>585</v>
      </c>
      <c r="I14" s="539"/>
      <c r="J14" s="49"/>
      <c r="K14" s="49"/>
      <c r="L14" s="49"/>
      <c r="M14" s="49"/>
      <c r="N14" s="49"/>
      <c r="O14" s="49"/>
      <c r="P14" s="49"/>
    </row>
    <row r="15" spans="2:16" ht="19.5" customHeight="1" x14ac:dyDescent="0.25">
      <c r="B15" s="49"/>
      <c r="C15" s="533" t="s">
        <v>448</v>
      </c>
      <c r="D15" s="49"/>
      <c r="E15" s="533" t="s">
        <v>447</v>
      </c>
      <c r="F15" s="49"/>
      <c r="G15" s="49"/>
      <c r="H15" s="533" t="s">
        <v>586</v>
      </c>
      <c r="I15" s="49"/>
      <c r="J15" s="49"/>
      <c r="K15" s="49"/>
      <c r="L15" s="49"/>
      <c r="M15" s="49"/>
      <c r="N15" s="49"/>
      <c r="O15" s="49"/>
      <c r="P15" s="49"/>
    </row>
    <row r="16" spans="2:16" ht="19.5" customHeight="1" x14ac:dyDescent="0.25">
      <c r="B16" s="49"/>
      <c r="C16" s="533" t="s">
        <v>450</v>
      </c>
      <c r="D16" s="49"/>
      <c r="E16" s="533" t="s">
        <v>540</v>
      </c>
      <c r="F16" s="49"/>
      <c r="G16" s="49"/>
      <c r="H16" s="533" t="s">
        <v>449</v>
      </c>
      <c r="I16" s="49"/>
      <c r="J16" s="49"/>
      <c r="K16" s="49"/>
      <c r="L16" s="49"/>
      <c r="M16" s="49"/>
      <c r="N16" s="49"/>
      <c r="O16" s="532"/>
      <c r="P16" s="49"/>
    </row>
    <row r="17" spans="2:16" ht="19.5" customHeight="1" x14ac:dyDescent="0.25">
      <c r="B17" s="49"/>
      <c r="C17" s="533" t="s">
        <v>158</v>
      </c>
      <c r="D17" s="49"/>
      <c r="E17" s="533" t="s">
        <v>600</v>
      </c>
      <c r="F17" s="49"/>
      <c r="G17" s="49"/>
      <c r="H17" s="533" t="s">
        <v>453</v>
      </c>
      <c r="I17" s="49"/>
      <c r="J17" s="49"/>
      <c r="K17" s="49"/>
      <c r="L17" s="49"/>
      <c r="M17" s="49"/>
      <c r="N17" s="49"/>
      <c r="O17" s="532"/>
      <c r="P17" s="49"/>
    </row>
    <row r="18" spans="2:16" ht="19.5" customHeight="1" x14ac:dyDescent="0.25">
      <c r="B18" s="49"/>
      <c r="C18" s="533" t="s">
        <v>213</v>
      </c>
      <c r="D18" s="49"/>
      <c r="E18" s="533"/>
      <c r="F18" s="49"/>
      <c r="G18" s="49"/>
      <c r="H18" s="533" t="s">
        <v>452</v>
      </c>
      <c r="I18" s="49"/>
      <c r="J18" s="49"/>
      <c r="K18" s="49"/>
      <c r="L18" s="49"/>
      <c r="M18" s="49"/>
      <c r="N18" s="49"/>
      <c r="O18" s="532"/>
      <c r="P18" s="49"/>
    </row>
    <row r="19" spans="2:16" ht="19.5" customHeight="1" x14ac:dyDescent="0.25">
      <c r="B19" s="49"/>
      <c r="C19" s="533" t="s">
        <v>401</v>
      </c>
      <c r="D19" s="49"/>
      <c r="E19" s="49"/>
      <c r="F19" s="49"/>
      <c r="G19" s="49"/>
      <c r="H19" s="49"/>
      <c r="I19" s="49"/>
      <c r="J19" s="49"/>
      <c r="K19" s="49"/>
      <c r="L19" s="49"/>
      <c r="M19" s="49"/>
      <c r="N19" s="49"/>
      <c r="O19" s="532"/>
      <c r="P19" s="49"/>
    </row>
    <row r="20" spans="2:16" ht="19.5" customHeight="1" x14ac:dyDescent="0.25">
      <c r="B20" s="49"/>
      <c r="C20" s="533" t="s">
        <v>417</v>
      </c>
      <c r="D20" s="49"/>
      <c r="E20" s="49"/>
      <c r="F20" s="49"/>
      <c r="G20" s="49"/>
      <c r="H20" s="49"/>
      <c r="I20" s="49"/>
      <c r="J20" s="49"/>
      <c r="K20" s="49"/>
      <c r="L20" s="49"/>
      <c r="M20" s="49"/>
      <c r="N20" s="49"/>
      <c r="O20" s="532"/>
      <c r="P20" s="49"/>
    </row>
    <row r="21" spans="2:16" ht="19.5" customHeight="1" x14ac:dyDescent="0.25">
      <c r="B21" s="49"/>
      <c r="C21" s="533" t="s">
        <v>425</v>
      </c>
      <c r="D21" s="49"/>
      <c r="E21" s="49"/>
      <c r="F21" s="49"/>
      <c r="G21" s="49"/>
      <c r="H21" s="49"/>
      <c r="I21" s="49"/>
      <c r="J21" s="49"/>
      <c r="K21" s="49"/>
      <c r="L21" s="49"/>
      <c r="M21" s="49"/>
      <c r="N21" s="49"/>
      <c r="O21" s="532"/>
      <c r="P21" s="49"/>
    </row>
    <row r="22" spans="2:16" ht="19.5" customHeight="1" x14ac:dyDescent="0.25">
      <c r="B22" s="49"/>
      <c r="C22" s="533" t="s">
        <v>454</v>
      </c>
      <c r="D22" s="49"/>
      <c r="E22" s="49"/>
      <c r="F22" s="49"/>
      <c r="G22" s="49"/>
      <c r="H22" s="49"/>
      <c r="I22" s="49"/>
      <c r="J22" s="49"/>
      <c r="K22" s="49"/>
      <c r="L22" s="49"/>
      <c r="M22" s="49"/>
      <c r="N22" s="49"/>
      <c r="O22" s="532"/>
      <c r="P22" s="49"/>
    </row>
    <row r="23" spans="2:16" ht="19.5" customHeight="1" x14ac:dyDescent="0.25">
      <c r="B23" s="49"/>
      <c r="C23" s="533" t="s">
        <v>296</v>
      </c>
      <c r="D23" s="49"/>
      <c r="E23" s="49"/>
      <c r="F23" s="49"/>
      <c r="G23" s="49"/>
      <c r="H23" s="49"/>
      <c r="I23" s="49"/>
      <c r="J23" s="49"/>
      <c r="K23" s="49"/>
      <c r="L23" s="49"/>
      <c r="M23" s="49"/>
      <c r="N23" s="49"/>
      <c r="O23" s="532"/>
      <c r="P23" s="49"/>
    </row>
    <row r="24" spans="2:16" ht="19.5" customHeight="1" x14ac:dyDescent="0.25">
      <c r="B24" s="49"/>
      <c r="C24" s="533" t="s">
        <v>179</v>
      </c>
      <c r="D24" s="49"/>
      <c r="E24" s="49"/>
      <c r="F24" s="49"/>
      <c r="G24" s="49"/>
      <c r="H24" s="49"/>
      <c r="I24" s="49"/>
      <c r="J24" s="49"/>
      <c r="K24" s="49"/>
      <c r="L24" s="49"/>
      <c r="M24" s="49"/>
      <c r="N24" s="49"/>
      <c r="O24" s="532"/>
      <c r="P24" s="49"/>
    </row>
    <row r="25" spans="2:16" ht="19.5" customHeight="1" x14ac:dyDescent="0.25">
      <c r="B25" s="49"/>
      <c r="C25" s="533"/>
      <c r="D25" s="49"/>
      <c r="E25" s="49"/>
      <c r="F25" s="49"/>
      <c r="G25" s="49"/>
      <c r="H25" s="49"/>
      <c r="I25" s="49"/>
      <c r="J25" s="49"/>
      <c r="K25" s="49"/>
      <c r="L25" s="49"/>
      <c r="M25" s="49"/>
      <c r="N25" s="49"/>
      <c r="O25" s="532"/>
      <c r="P25" s="49"/>
    </row>
    <row r="26" spans="2:16" ht="19.5" customHeight="1" x14ac:dyDescent="0.25">
      <c r="B26" s="49"/>
      <c r="C26" s="533"/>
      <c r="D26" s="49"/>
      <c r="E26" s="49"/>
      <c r="F26" s="49"/>
      <c r="G26" s="49"/>
      <c r="H26" s="49"/>
      <c r="I26" s="49"/>
      <c r="J26" s="49"/>
      <c r="K26" s="49"/>
      <c r="L26" s="49"/>
      <c r="M26" s="49"/>
      <c r="N26" s="49"/>
      <c r="O26" s="532"/>
      <c r="P26" s="49"/>
    </row>
    <row r="27" spans="2:16" ht="19.5" customHeight="1" x14ac:dyDescent="0.25">
      <c r="B27" s="49"/>
      <c r="C27" s="49" t="s">
        <v>184</v>
      </c>
      <c r="D27" s="49"/>
      <c r="E27" s="49"/>
      <c r="F27" s="49"/>
      <c r="G27" s="49"/>
      <c r="H27" s="49"/>
      <c r="I27" s="49"/>
      <c r="J27" s="49"/>
      <c r="K27" s="49"/>
      <c r="L27" s="49"/>
      <c r="M27" s="49"/>
      <c r="N27" s="49"/>
      <c r="O27" s="49"/>
      <c r="P27" s="49"/>
    </row>
    <row r="28" spans="2:16" ht="19.5" customHeight="1" x14ac:dyDescent="0.25">
      <c r="B28" s="49"/>
      <c r="C28" s="534" t="s">
        <v>185</v>
      </c>
      <c r="D28" s="535"/>
      <c r="E28" s="535"/>
      <c r="F28" s="535"/>
      <c r="G28" s="535"/>
      <c r="H28" s="535"/>
      <c r="I28" s="535"/>
      <c r="J28" s="535"/>
      <c r="K28" s="535"/>
      <c r="L28" s="535"/>
      <c r="M28" s="535"/>
      <c r="N28" s="535"/>
      <c r="O28" s="535"/>
      <c r="P28" s="49"/>
    </row>
    <row r="29" spans="2:16" ht="19.5" customHeight="1" x14ac:dyDescent="0.25">
      <c r="B29" s="49"/>
      <c r="C29" s="536" t="s">
        <v>624</v>
      </c>
      <c r="D29" s="49"/>
      <c r="E29" s="49"/>
      <c r="F29" s="49"/>
      <c r="G29" s="49"/>
      <c r="H29" s="49"/>
      <c r="I29" s="49"/>
      <c r="J29" s="49"/>
      <c r="K29" s="49"/>
      <c r="L29" s="49"/>
      <c r="M29" s="49"/>
      <c r="N29" s="49"/>
      <c r="O29" s="49"/>
      <c r="P29" s="49"/>
    </row>
    <row r="30" spans="2:16" ht="19.5" customHeight="1" x14ac:dyDescent="0.25">
      <c r="B30" s="49"/>
      <c r="C30" s="536" t="s">
        <v>186</v>
      </c>
      <c r="D30" s="49"/>
      <c r="E30" s="49"/>
      <c r="F30" s="49"/>
      <c r="G30" s="49"/>
      <c r="H30" s="49"/>
      <c r="I30" s="49"/>
      <c r="J30" s="49"/>
      <c r="K30" s="49"/>
      <c r="L30" s="49"/>
      <c r="M30" s="49"/>
      <c r="N30" s="49"/>
      <c r="O30" s="49"/>
      <c r="P30" s="49"/>
    </row>
    <row r="31" spans="2:16" ht="19.5" customHeight="1" x14ac:dyDescent="0.25">
      <c r="B31" s="49"/>
      <c r="C31" s="536" t="s">
        <v>187</v>
      </c>
      <c r="D31" s="49"/>
      <c r="E31" s="49"/>
      <c r="F31" s="49"/>
      <c r="G31" s="49"/>
      <c r="H31" s="49"/>
      <c r="I31" s="49"/>
      <c r="J31" s="49"/>
      <c r="K31" s="49"/>
      <c r="L31" s="49"/>
      <c r="M31" s="49"/>
      <c r="N31" s="49"/>
      <c r="O31" s="49"/>
      <c r="P31" s="49"/>
    </row>
    <row r="32" spans="2:16" ht="19.5" customHeight="1" x14ac:dyDescent="0.25">
      <c r="B32" s="49"/>
      <c r="C32" s="537" t="s">
        <v>188</v>
      </c>
      <c r="D32" s="49"/>
      <c r="E32" s="49"/>
      <c r="F32" s="49"/>
      <c r="G32" s="49"/>
      <c r="H32" s="49"/>
      <c r="I32" s="49"/>
      <c r="J32" s="49"/>
      <c r="K32" s="49"/>
      <c r="L32" s="49"/>
      <c r="M32" s="49"/>
      <c r="N32" s="49"/>
      <c r="O32" s="49"/>
      <c r="P32" s="49"/>
    </row>
    <row r="33" spans="2:16" ht="19.5" customHeight="1" x14ac:dyDescent="0.25">
      <c r="B33" s="49"/>
      <c r="C33" s="49"/>
      <c r="D33" s="49"/>
      <c r="E33" s="49"/>
      <c r="F33" s="49"/>
      <c r="G33" s="49"/>
      <c r="H33" s="49"/>
      <c r="I33" s="49"/>
      <c r="J33" s="49"/>
      <c r="K33" s="49"/>
      <c r="L33" s="49"/>
      <c r="M33" s="49"/>
      <c r="N33" s="49"/>
      <c r="O33" s="49"/>
      <c r="P33" s="49"/>
    </row>
    <row r="34" spans="2:16" s="52" customFormat="1" ht="19.5" customHeight="1" x14ac:dyDescent="0.25">
      <c r="B34" s="56"/>
      <c r="C34" s="54" t="s">
        <v>446</v>
      </c>
      <c r="D34" s="55"/>
      <c r="E34" s="55"/>
      <c r="F34" s="55"/>
      <c r="G34" s="55"/>
      <c r="H34" s="55"/>
      <c r="I34" s="55"/>
      <c r="J34" s="55"/>
      <c r="K34" s="55"/>
      <c r="L34" s="55"/>
      <c r="M34" s="55"/>
      <c r="N34" s="55"/>
      <c r="O34" s="410"/>
      <c r="P34" s="53"/>
    </row>
    <row r="35" spans="2:16" s="52" customFormat="1" ht="19.5" customHeight="1" x14ac:dyDescent="0.25">
      <c r="B35" s="56"/>
      <c r="C35" s="54" t="s">
        <v>189</v>
      </c>
      <c r="D35" s="54"/>
      <c r="E35" s="54"/>
      <c r="F35" s="54"/>
      <c r="G35" s="54"/>
      <c r="H35" s="54"/>
      <c r="I35" s="54"/>
      <c r="J35" s="54"/>
      <c r="K35" s="54"/>
      <c r="L35" s="54"/>
      <c r="M35" s="54"/>
      <c r="N35" s="54"/>
      <c r="O35" s="411"/>
      <c r="P35" s="56"/>
    </row>
    <row r="36" spans="2:16" s="52" customFormat="1" ht="19.5" customHeight="1" x14ac:dyDescent="0.25">
      <c r="B36" s="56"/>
      <c r="C36" s="54" t="s">
        <v>190</v>
      </c>
      <c r="D36" s="54"/>
      <c r="E36" s="54"/>
      <c r="F36" s="54"/>
      <c r="G36" s="54"/>
      <c r="H36" s="54"/>
      <c r="I36" s="54"/>
      <c r="J36" s="54"/>
      <c r="K36" s="54"/>
      <c r="L36" s="54"/>
      <c r="M36" s="54"/>
      <c r="N36" s="54"/>
      <c r="O36" s="411"/>
      <c r="P36" s="56"/>
    </row>
    <row r="37" spans="2:16" s="52" customFormat="1" ht="19.5" customHeight="1" x14ac:dyDescent="0.25">
      <c r="B37" s="56"/>
      <c r="C37" s="54" t="s">
        <v>191</v>
      </c>
      <c r="D37" s="54"/>
      <c r="E37" s="54"/>
      <c r="F37" s="54"/>
      <c r="G37" s="54"/>
      <c r="H37" s="54"/>
      <c r="I37" s="54"/>
      <c r="J37" s="54"/>
      <c r="K37" s="54"/>
      <c r="L37" s="54"/>
      <c r="M37" s="54"/>
      <c r="N37" s="54"/>
      <c r="O37" s="411"/>
      <c r="P37" s="56"/>
    </row>
    <row r="38" spans="2:16" s="52" customFormat="1" ht="19.5" customHeight="1" x14ac:dyDescent="0.25">
      <c r="B38" s="56"/>
      <c r="C38" s="54"/>
      <c r="D38" s="54"/>
      <c r="E38" s="54"/>
      <c r="F38" s="54"/>
      <c r="G38" s="54"/>
      <c r="H38" s="54"/>
      <c r="I38" s="54"/>
      <c r="J38" s="54"/>
      <c r="K38" s="54"/>
      <c r="L38" s="54"/>
      <c r="M38" s="54"/>
      <c r="N38" s="54"/>
      <c r="O38" s="411"/>
      <c r="P38" s="56"/>
    </row>
    <row r="39" spans="2:16" s="52" customFormat="1" ht="19.5" customHeight="1" x14ac:dyDescent="0.25">
      <c r="B39" s="56"/>
      <c r="C39" s="56"/>
      <c r="D39" s="56"/>
      <c r="E39" s="56"/>
      <c r="F39" s="56"/>
      <c r="G39" s="56"/>
      <c r="H39" s="56"/>
      <c r="I39" s="56"/>
      <c r="J39" s="56"/>
      <c r="K39" s="56"/>
      <c r="L39" s="56"/>
      <c r="M39" s="56"/>
      <c r="N39" s="56"/>
      <c r="O39" s="56"/>
      <c r="P39" s="56"/>
    </row>
    <row r="40" spans="2:16" ht="19.5" customHeight="1" x14ac:dyDescent="0.25"/>
    <row r="41" spans="2:16" ht="19.5" customHeight="1" x14ac:dyDescent="0.25">
      <c r="B41" s="51"/>
      <c r="C41" s="51"/>
      <c r="D41" s="51"/>
      <c r="E41" s="51"/>
      <c r="F41" s="51"/>
      <c r="G41" s="51"/>
      <c r="H41" s="51"/>
      <c r="I41" s="51"/>
      <c r="J41" s="51"/>
      <c r="K41" s="51"/>
      <c r="L41" s="51"/>
      <c r="M41" s="51"/>
      <c r="N41" s="51"/>
      <c r="O41" s="51"/>
      <c r="P41" s="51"/>
    </row>
    <row r="42" spans="2:16" ht="167.25" customHeight="1" x14ac:dyDescent="0.25">
      <c r="B42" s="51"/>
      <c r="C42" s="584" t="s">
        <v>593</v>
      </c>
      <c r="D42" s="585"/>
      <c r="E42" s="585"/>
      <c r="F42" s="585"/>
      <c r="G42" s="585"/>
      <c r="H42" s="585"/>
      <c r="I42" s="585"/>
      <c r="J42" s="585"/>
      <c r="K42" s="585"/>
      <c r="L42" s="585"/>
      <c r="M42" s="585"/>
      <c r="N42" s="585"/>
      <c r="O42" s="585"/>
      <c r="P42" s="51"/>
    </row>
  </sheetData>
  <mergeCells count="1">
    <mergeCell ref="C42:O42"/>
  </mergeCells>
  <hyperlinks>
    <hyperlink ref="C32" r:id="rId1" xr:uid="{B32A0684-C8E3-4ACF-91CA-1E7FA9CFE7C0}"/>
    <hyperlink ref="C15" location="'Control Panel'!A1" display="Control Panel" xr:uid="{2BF9550B-2854-4611-BF91-CF3E772F8698}"/>
    <hyperlink ref="H15" location="'Financial Statements'!A1" display="Financial Statements" xr:uid="{C3380309-0E23-481C-B73D-F3DAB539BF38}"/>
    <hyperlink ref="C16" location="Scenarios!A1" display="Scenerios" xr:uid="{C8634F68-F5D5-4EFF-BDC5-28909058C4E3}"/>
    <hyperlink ref="H16" location="DCF!A1" display="DCF" xr:uid="{9896736D-94A0-4B68-8985-2524179E81B9}"/>
    <hyperlink ref="C17" location="WACC!A1" display="WACC" xr:uid="{D107ED4D-3CED-4870-B74C-DCD8AA05705B}"/>
    <hyperlink ref="H18" location="PrecedentsVal!A1" display="Precedent Transactions Valuation" xr:uid="{017833D7-7897-41E6-9D00-2E61686A9F5D}"/>
    <hyperlink ref="C19" location="Precedents!A1" display="Precedent M&amp;A Transactions" xr:uid="{DBB6FC16-0F5A-41D6-9BC7-AA8455F7EA89}"/>
    <hyperlink ref="H17" location="SOTP!A1" display="Sum-of-the-parts Analysis" xr:uid="{95121234-E751-4572-8082-FBB76374CA62}"/>
    <hyperlink ref="C18" location="Comps!A1" display="Comparable Trading Metrics" xr:uid="{F494FC1D-2A63-4914-AA5D-2C978C99E682}"/>
    <hyperlink ref="C20" location="'Cover Page'!A1" display="Market Size" xr:uid="{ADEEDEA8-B9B6-4E1D-9AFD-8BAB5E6715DD}"/>
    <hyperlink ref="C22" location="Consensus!A1" display="Consensus" xr:uid="{B7A36E60-7254-494F-BF31-2A02675E0514}"/>
    <hyperlink ref="C23" location="'Raw Data'!A1" display="Historical Financial Information" xr:uid="{AA92B286-469A-4EA1-B2C5-22A2E2DE9882}"/>
    <hyperlink ref="C21" location="Macro!A1" display="Macroeconomic Analysis" xr:uid="{96910B05-62E2-4700-9DDB-A9E940143D3B}"/>
    <hyperlink ref="C24" location="'Share Price'!A1" display="Share Price Chart" xr:uid="{6095E709-49C5-4FF7-BD18-AF9CCBF05273}"/>
    <hyperlink ref="E16" location="'Implied Value Summary'!A1" display="Implied Value Summary" xr:uid="{024EFE06-ED02-45C2-A3CB-32791216D155}"/>
    <hyperlink ref="E17" location="Outputs!A1" display="Summary Outputs" xr:uid="{AC125A31-1D5E-4E40-A8B9-2A1774CB2220}"/>
    <hyperlink ref="E15" location="Dashboard!A1" display="Dashboard" xr:uid="{6D6D789F-2F25-4356-9E2B-59A6AB9B0AD7}"/>
  </hyperlinks>
  <pageMargins left="0.7" right="0.7" top="0.75" bottom="0.75" header="0.3" footer="0.3"/>
  <pageSetup scale="63" orientation="landscape" r:id="rId2"/>
  <rowBreaks count="1" manualBreakCount="1">
    <brk id="39"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DEF6-5B7D-46A2-B985-F7B7CFC7D556}">
  <dimension ref="A1:AO39"/>
  <sheetViews>
    <sheetView showGridLines="0" tabSelected="1" zoomScale="70" zoomScaleNormal="70" workbookViewId="0">
      <selection activeCell="AC3" sqref="AC3"/>
    </sheetView>
  </sheetViews>
  <sheetFormatPr defaultColWidth="10.75" defaultRowHeight="15.6" x14ac:dyDescent="0.3"/>
  <cols>
    <col min="1" max="2" width="3.375" style="69" customWidth="1"/>
    <col min="3" max="7" width="10.75" style="69" customWidth="1"/>
    <col min="8" max="8" width="11.25" style="69" bestFit="1" customWidth="1"/>
    <col min="9" max="9" width="3.75" style="69" customWidth="1"/>
    <col min="10" max="16" width="10.75" style="69" customWidth="1"/>
    <col min="17" max="17" width="3.75" style="69" customWidth="1"/>
    <col min="18" max="21" width="10.75" style="69" customWidth="1"/>
    <col min="22" max="22" width="5.75" style="69" customWidth="1"/>
    <col min="23" max="26" width="10.75" style="69" customWidth="1"/>
    <col min="27" max="28" width="3.375" style="69" customWidth="1"/>
    <col min="29" max="31" width="9.125" style="69" customWidth="1"/>
    <col min="32" max="32" width="27.875" style="69" bestFit="1" customWidth="1"/>
    <col min="33" max="16384" width="10.75" style="69"/>
  </cols>
  <sheetData>
    <row r="1" spans="1:41" ht="16.2" thickBot="1" x14ac:dyDescent="0.35">
      <c r="A1" s="383"/>
      <c r="B1" s="383"/>
      <c r="C1" s="383"/>
      <c r="D1" s="383"/>
      <c r="E1" s="383"/>
      <c r="F1" s="383"/>
      <c r="G1" s="383"/>
      <c r="H1" s="383"/>
      <c r="I1" s="383"/>
      <c r="J1" s="383"/>
      <c r="K1" s="383"/>
      <c r="L1" s="383"/>
      <c r="M1" s="383"/>
      <c r="N1" s="383"/>
      <c r="O1" s="383"/>
      <c r="P1" s="383"/>
      <c r="Q1" s="383"/>
    </row>
    <row r="2" spans="1:41" ht="16.2" thickTop="1" x14ac:dyDescent="0.3">
      <c r="B2" s="158"/>
      <c r="C2" s="159"/>
      <c r="D2" s="159"/>
      <c r="E2" s="159"/>
      <c r="F2" s="159"/>
      <c r="G2" s="159"/>
      <c r="H2" s="159"/>
      <c r="I2" s="159"/>
      <c r="J2" s="159"/>
      <c r="K2" s="159"/>
      <c r="L2" s="159"/>
      <c r="M2" s="159"/>
      <c r="N2" s="159"/>
      <c r="O2" s="159"/>
      <c r="P2" s="159"/>
      <c r="Q2" s="159"/>
      <c r="R2" s="159"/>
      <c r="S2" s="159"/>
      <c r="T2" s="159"/>
      <c r="U2" s="159"/>
      <c r="V2" s="159"/>
      <c r="W2" s="159"/>
      <c r="X2" s="159"/>
      <c r="Y2" s="159"/>
      <c r="Z2" s="159"/>
      <c r="AA2" s="160"/>
    </row>
    <row r="3" spans="1:41" x14ac:dyDescent="0.3">
      <c r="B3" s="161"/>
      <c r="F3" s="112" t="s">
        <v>169</v>
      </c>
      <c r="H3" s="112"/>
      <c r="J3" s="112" t="s">
        <v>604</v>
      </c>
      <c r="K3" s="112"/>
      <c r="L3" s="112"/>
      <c r="M3" s="147">
        <f>AK24</f>
        <v>3741.2265879922802</v>
      </c>
      <c r="P3" s="572"/>
      <c r="V3" s="162"/>
      <c r="W3" s="162"/>
      <c r="X3" s="162"/>
      <c r="AA3" s="163"/>
    </row>
    <row r="4" spans="1:41" x14ac:dyDescent="0.3">
      <c r="B4" s="161"/>
      <c r="E4" s="112"/>
      <c r="F4" s="1" t="str">
        <f>'Control Panel'!$B$11&amp;":"</f>
        <v>Valuation Date:</v>
      </c>
      <c r="H4" s="382">
        <f>_Vdate</f>
        <v>44275</v>
      </c>
      <c r="J4" s="112" t="s">
        <v>170</v>
      </c>
      <c r="K4" s="112"/>
      <c r="L4" s="112"/>
      <c r="M4" s="191" t="str">
        <f>IF(M3&gt;U8*(1+'Control Panel'!F41),"BUY",IF(M3&lt;U8*(1+'Control Panel'!F39),"SELL","HOLD"))</f>
        <v>BUY</v>
      </c>
      <c r="O4" s="573"/>
      <c r="P4" s="112"/>
      <c r="R4" s="112"/>
      <c r="T4" s="113"/>
      <c r="U4" s="381"/>
      <c r="V4" s="162"/>
      <c r="W4" s="162"/>
      <c r="X4" s="162"/>
      <c r="AA4" s="163"/>
    </row>
    <row r="5" spans="1:41" x14ac:dyDescent="0.3">
      <c r="B5" s="161"/>
      <c r="AA5" s="163"/>
    </row>
    <row r="6" spans="1:41" x14ac:dyDescent="0.3">
      <c r="B6" s="161"/>
      <c r="C6" s="164" t="s">
        <v>172</v>
      </c>
      <c r="D6" s="165"/>
      <c r="E6" s="165"/>
      <c r="F6" s="165"/>
      <c r="G6" s="165"/>
      <c r="H6" s="166"/>
      <c r="I6" s="165"/>
      <c r="J6" s="165"/>
      <c r="K6" s="165"/>
      <c r="L6" s="165"/>
      <c r="M6" s="165"/>
      <c r="N6" s="164"/>
      <c r="O6" s="164"/>
      <c r="P6" s="165"/>
      <c r="R6" s="164" t="s">
        <v>336</v>
      </c>
      <c r="S6" s="166"/>
      <c r="T6" s="165"/>
      <c r="U6" s="165"/>
      <c r="W6" s="164" t="s">
        <v>335</v>
      </c>
      <c r="X6" s="164"/>
      <c r="Y6" s="165"/>
      <c r="Z6" s="165"/>
      <c r="AA6" s="163"/>
    </row>
    <row r="7" spans="1:41" ht="5.25" customHeight="1" x14ac:dyDescent="0.3">
      <c r="B7" s="161"/>
      <c r="C7" s="112"/>
      <c r="H7" s="112"/>
      <c r="N7" s="112"/>
      <c r="O7" s="112"/>
      <c r="T7" s="112"/>
      <c r="Y7" s="167"/>
      <c r="AA7" s="163"/>
    </row>
    <row r="8" spans="1:41" x14ac:dyDescent="0.3">
      <c r="B8" s="161"/>
      <c r="J8" s="168"/>
      <c r="Q8" s="145"/>
      <c r="R8" s="69" t="s">
        <v>337</v>
      </c>
      <c r="U8" s="151">
        <f>Comps!D10</f>
        <v>3074.96</v>
      </c>
      <c r="Y8" s="146"/>
      <c r="AA8" s="163"/>
    </row>
    <row r="9" spans="1:41" x14ac:dyDescent="0.3">
      <c r="B9" s="161"/>
      <c r="E9" s="169"/>
      <c r="J9" s="170"/>
      <c r="Q9" s="171"/>
      <c r="R9" s="69" t="s">
        <v>163</v>
      </c>
      <c r="U9" s="151">
        <f>Comps!F10</f>
        <v>1593444.2720000001</v>
      </c>
      <c r="Y9" s="146"/>
      <c r="AA9" s="163"/>
    </row>
    <row r="10" spans="1:41" x14ac:dyDescent="0.3">
      <c r="B10" s="161"/>
      <c r="E10" s="169"/>
      <c r="Q10" s="172"/>
      <c r="R10" s="69" t="s">
        <v>225</v>
      </c>
      <c r="U10" s="151">
        <f>Comps!I10</f>
        <v>59107</v>
      </c>
      <c r="Y10" s="146"/>
      <c r="AA10" s="163"/>
    </row>
    <row r="11" spans="1:41" x14ac:dyDescent="0.3">
      <c r="B11" s="161"/>
      <c r="E11" s="173"/>
      <c r="P11" s="174"/>
      <c r="Q11" s="175"/>
      <c r="R11" s="69" t="s">
        <v>164</v>
      </c>
      <c r="U11" s="151">
        <f>Comps!J10</f>
        <v>1652551.2720000001</v>
      </c>
      <c r="Y11" s="176"/>
      <c r="AA11" s="163"/>
    </row>
    <row r="12" spans="1:41" x14ac:dyDescent="0.3">
      <c r="B12" s="161"/>
      <c r="E12" s="177"/>
      <c r="Q12" s="157"/>
      <c r="AA12" s="163"/>
      <c r="AH12" s="288" t="s">
        <v>455</v>
      </c>
      <c r="AI12" s="288"/>
      <c r="AJ12" s="288"/>
      <c r="AK12" s="288"/>
      <c r="AL12" s="288"/>
      <c r="AM12" s="288"/>
      <c r="AN12" s="288"/>
      <c r="AO12" s="288"/>
    </row>
    <row r="13" spans="1:41" x14ac:dyDescent="0.3">
      <c r="B13" s="161"/>
      <c r="J13" s="178"/>
      <c r="K13" s="179"/>
      <c r="Q13" s="157"/>
      <c r="T13" s="189" t="s">
        <v>338</v>
      </c>
      <c r="U13" s="189" t="s">
        <v>339</v>
      </c>
      <c r="Z13" s="180"/>
      <c r="AA13" s="163"/>
      <c r="AC13" s="235"/>
      <c r="AD13" s="235"/>
      <c r="AH13" s="78">
        <f>'Financial Statements'!E5</f>
        <v>2018</v>
      </c>
      <c r="AI13" s="78">
        <f>'Financial Statements'!F5</f>
        <v>2019</v>
      </c>
      <c r="AJ13" s="78">
        <f>'Financial Statements'!G5</f>
        <v>2020</v>
      </c>
      <c r="AK13" s="79">
        <f>'Financial Statements'!H5</f>
        <v>2021</v>
      </c>
      <c r="AL13" s="79">
        <f>'Financial Statements'!I5</f>
        <v>2022</v>
      </c>
      <c r="AM13" s="79">
        <f>'Financial Statements'!J5</f>
        <v>2023</v>
      </c>
      <c r="AN13" s="79">
        <f>'Financial Statements'!K5</f>
        <v>2024</v>
      </c>
      <c r="AO13" s="79">
        <f>'Financial Statements'!L5</f>
        <v>2025</v>
      </c>
    </row>
    <row r="14" spans="1:41" x14ac:dyDescent="0.3">
      <c r="B14" s="161"/>
      <c r="R14" s="69" t="s">
        <v>340</v>
      </c>
      <c r="T14" s="190">
        <f>U11/AK14</f>
        <v>33.174383622385655</v>
      </c>
      <c r="U14" s="190">
        <f>U11/AL14</f>
        <v>26.894848024537502</v>
      </c>
      <c r="Z14" s="181"/>
      <c r="AA14" s="163"/>
      <c r="AF14" s="69" t="str">
        <f>'Financial Statements'!B334</f>
        <v>EBITDA (Excluding SBC)</v>
      </c>
      <c r="AH14" s="151">
        <f>'Financial Statements'!E334</f>
        <v>33180</v>
      </c>
      <c r="AI14" s="151">
        <f>'Financial Statements'!F334</f>
        <v>43194</v>
      </c>
      <c r="AJ14" s="151">
        <f>'Financial Statements'!G334</f>
        <v>57358</v>
      </c>
      <c r="AK14" s="151">
        <f>'Financial Statements'!H334</f>
        <v>49814.076150155794</v>
      </c>
      <c r="AL14" s="151">
        <f>'Financial Statements'!I334</f>
        <v>61444.900915308972</v>
      </c>
      <c r="AM14" s="151">
        <f>'Financial Statements'!J334</f>
        <v>73810.928804834708</v>
      </c>
      <c r="AN14" s="151">
        <f>'Financial Statements'!K334</f>
        <v>86688.249883494107</v>
      </c>
      <c r="AO14" s="151">
        <f>'Financial Statements'!L334</f>
        <v>99885.016275553135</v>
      </c>
    </row>
    <row r="15" spans="1:41" x14ac:dyDescent="0.3">
      <c r="B15" s="161"/>
      <c r="R15" s="69" t="s">
        <v>222</v>
      </c>
      <c r="T15" s="190">
        <f>U9/AK16</f>
        <v>105.41904380463615</v>
      </c>
      <c r="U15" s="190">
        <f>U9/AL16</f>
        <v>89.627090146271939</v>
      </c>
      <c r="Z15" s="181"/>
      <c r="AA15" s="163"/>
      <c r="AF15" s="69" t="str">
        <f>'Financial Statements'!B345</f>
        <v>Free Cash Flow to Firm (FCFF)</v>
      </c>
      <c r="AH15" s="151">
        <f>'Financial Statements'!E345</f>
        <v>17748.438000000002</v>
      </c>
      <c r="AI15" s="151">
        <f>'Financial Statements'!F345</f>
        <v>24095.797999999995</v>
      </c>
      <c r="AJ15" s="151">
        <f>'Financial Statements'!G345</f>
        <v>25214.521999999997</v>
      </c>
      <c r="AK15" s="151">
        <f>'Financial Statements'!H345</f>
        <v>15540.817847496823</v>
      </c>
      <c r="AL15" s="151">
        <f>'Financial Statements'!I345</f>
        <v>33835.674320852508</v>
      </c>
      <c r="AM15" s="151">
        <f>'Financial Statements'!J345</f>
        <v>39521.808999315981</v>
      </c>
      <c r="AN15" s="151">
        <f>'Financial Statements'!K345</f>
        <v>45553.027096940736</v>
      </c>
      <c r="AO15" s="151">
        <f>'Financial Statements'!L345</f>
        <v>52251.335180977068</v>
      </c>
    </row>
    <row r="16" spans="1:41" x14ac:dyDescent="0.3">
      <c r="B16" s="161"/>
      <c r="T16" s="190"/>
      <c r="U16" s="190"/>
      <c r="Z16" s="181"/>
      <c r="AA16" s="163"/>
      <c r="AC16" s="182"/>
      <c r="AF16" s="69" t="s">
        <v>615</v>
      </c>
      <c r="AH16" s="151">
        <f>'Financial Statements'!E51</f>
        <v>10073</v>
      </c>
      <c r="AI16" s="151">
        <f>'Financial Statements'!F51</f>
        <v>11588</v>
      </c>
      <c r="AJ16" s="151">
        <f>'Financial Statements'!G51</f>
        <v>21331</v>
      </c>
      <c r="AK16" s="151">
        <f>'Financial Statements'!H51</f>
        <v>15115.336038837446</v>
      </c>
      <c r="AL16" s="151">
        <f>'Financial Statements'!I51</f>
        <v>17778.600972088792</v>
      </c>
      <c r="AM16" s="151">
        <f>'Financial Statements'!J51</f>
        <v>20685.72500574118</v>
      </c>
      <c r="AN16" s="151">
        <f>'Financial Statements'!K51</f>
        <v>23510.779229258173</v>
      </c>
      <c r="AO16" s="151">
        <f>'Financial Statements'!L51</f>
        <v>26181.536039150455</v>
      </c>
    </row>
    <row r="17" spans="2:41" x14ac:dyDescent="0.3">
      <c r="B17" s="161"/>
      <c r="R17" s="69" t="s">
        <v>341</v>
      </c>
      <c r="T17" s="190"/>
      <c r="U17" s="190">
        <f>Comps!AD10</f>
        <v>1.0837758554237507</v>
      </c>
      <c r="Z17" s="181"/>
      <c r="AA17" s="163"/>
      <c r="AC17" s="182"/>
    </row>
    <row r="18" spans="2:41" x14ac:dyDescent="0.3">
      <c r="B18" s="161"/>
      <c r="R18" s="69" t="s">
        <v>356</v>
      </c>
      <c r="U18" s="190">
        <f>Comps!AE10</f>
        <v>0.5201019354374643</v>
      </c>
      <c r="Z18" s="181"/>
      <c r="AA18" s="163"/>
      <c r="AC18" s="182"/>
    </row>
    <row r="19" spans="2:41" x14ac:dyDescent="0.3">
      <c r="B19" s="161"/>
      <c r="Z19" s="181"/>
      <c r="AA19" s="163"/>
    </row>
    <row r="20" spans="2:41" x14ac:dyDescent="0.3">
      <c r="B20" s="161"/>
      <c r="C20" s="164" t="s">
        <v>587</v>
      </c>
      <c r="D20" s="165"/>
      <c r="E20" s="165"/>
      <c r="F20" s="164"/>
      <c r="G20" s="164"/>
      <c r="H20" s="164"/>
      <c r="I20" s="164"/>
      <c r="J20" s="164"/>
      <c r="K20" s="164"/>
      <c r="L20" s="164"/>
      <c r="M20" s="164"/>
      <c r="N20" s="164"/>
      <c r="O20" s="164"/>
      <c r="P20" s="164"/>
      <c r="R20" s="288" t="s">
        <v>178</v>
      </c>
      <c r="S20" s="183"/>
      <c r="T20" s="183"/>
      <c r="U20" s="183"/>
      <c r="V20" s="183"/>
      <c r="W20" s="183"/>
      <c r="X20" s="183"/>
      <c r="Y20" s="183"/>
      <c r="Z20" s="183"/>
      <c r="AA20" s="163"/>
    </row>
    <row r="21" spans="2:41" ht="5.25" customHeight="1" x14ac:dyDescent="0.3">
      <c r="B21" s="161"/>
      <c r="R21" s="148"/>
      <c r="S21" s="184"/>
      <c r="T21" s="184"/>
      <c r="U21" s="184"/>
      <c r="V21" s="184"/>
      <c r="W21" s="184"/>
      <c r="X21" s="184"/>
      <c r="Y21" s="184"/>
      <c r="AA21" s="163"/>
    </row>
    <row r="22" spans="2:41" x14ac:dyDescent="0.3">
      <c r="B22" s="161"/>
      <c r="C22" s="112"/>
      <c r="AA22" s="163"/>
      <c r="AF22" s="185" t="s">
        <v>175</v>
      </c>
      <c r="AI22" s="185" t="s">
        <v>535</v>
      </c>
      <c r="AJ22" s="185"/>
      <c r="AK22" s="185" t="s">
        <v>536</v>
      </c>
      <c r="AL22" s="185"/>
    </row>
    <row r="23" spans="2:41" x14ac:dyDescent="0.3">
      <c r="B23" s="161"/>
      <c r="AA23" s="163"/>
      <c r="AG23" s="461" t="s">
        <v>176</v>
      </c>
      <c r="AH23" s="461" t="s">
        <v>177</v>
      </c>
      <c r="AI23" s="461" t="s">
        <v>533</v>
      </c>
      <c r="AJ23" s="461" t="s">
        <v>534</v>
      </c>
      <c r="AK23" s="461" t="str">
        <f>AI23</f>
        <v>X</v>
      </c>
      <c r="AL23" s="461" t="str">
        <f>AJ23</f>
        <v>Y</v>
      </c>
    </row>
    <row r="24" spans="2:41" x14ac:dyDescent="0.3">
      <c r="B24" s="161"/>
      <c r="AA24" s="163"/>
      <c r="AF24" s="185" t="s">
        <v>539</v>
      </c>
      <c r="AG24" s="540">
        <f>'Implied Value Summary'!E32</f>
        <v>1846</v>
      </c>
      <c r="AH24" s="540">
        <f>'Implied Value Summary'!G32</f>
        <v>3531</v>
      </c>
      <c r="AI24" s="540">
        <f>U8</f>
        <v>3074.96</v>
      </c>
      <c r="AJ24" s="540">
        <v>0</v>
      </c>
      <c r="AK24" s="540">
        <f>AVERAGE(AG26:AH28)</f>
        <v>3741.2265879922802</v>
      </c>
      <c r="AL24" s="540">
        <v>0</v>
      </c>
    </row>
    <row r="25" spans="2:41" x14ac:dyDescent="0.3">
      <c r="B25" s="161"/>
      <c r="AA25" s="163"/>
      <c r="AF25" s="185" t="s">
        <v>537</v>
      </c>
      <c r="AG25" s="540">
        <f>'Implied Value Summary'!E33</f>
        <v>3700</v>
      </c>
      <c r="AH25" s="540">
        <f>'Implied Value Summary'!G33</f>
        <v>5200</v>
      </c>
      <c r="AI25" s="540">
        <f>U8</f>
        <v>3074.96</v>
      </c>
      <c r="AJ25" s="540">
        <f>COUNTA(AG24:AG28)</f>
        <v>5</v>
      </c>
      <c r="AK25" s="540">
        <f>AK24</f>
        <v>3741.2265879922802</v>
      </c>
      <c r="AL25" s="540">
        <f>COUNTA(AG24:AG28)</f>
        <v>5</v>
      </c>
    </row>
    <row r="26" spans="2:41" x14ac:dyDescent="0.3">
      <c r="B26" s="161"/>
      <c r="AA26" s="163"/>
      <c r="AD26" s="185"/>
      <c r="AE26" s="185"/>
      <c r="AF26" s="185" t="s">
        <v>538</v>
      </c>
      <c r="AG26" s="541">
        <v>524.71239093804593</v>
      </c>
      <c r="AH26" s="541">
        <v>2119.4930799564122</v>
      </c>
      <c r="AI26" s="542"/>
      <c r="AJ26" s="542"/>
      <c r="AK26" s="542"/>
      <c r="AL26" s="542"/>
    </row>
    <row r="27" spans="2:41" x14ac:dyDescent="0.3">
      <c r="B27" s="161"/>
      <c r="AA27" s="163"/>
      <c r="AF27" s="185" t="s">
        <v>370</v>
      </c>
      <c r="AG27" s="541">
        <v>2272.406895953221</v>
      </c>
      <c r="AH27" s="541">
        <v>7992.7173015322123</v>
      </c>
      <c r="AI27" s="542"/>
      <c r="AJ27" s="543"/>
      <c r="AK27" s="542"/>
      <c r="AL27" s="542"/>
    </row>
    <row r="28" spans="2:41" x14ac:dyDescent="0.3">
      <c r="B28" s="161"/>
      <c r="AA28" s="163"/>
      <c r="AF28" s="185" t="s">
        <v>449</v>
      </c>
      <c r="AG28" s="576">
        <v>3375.3624374697561</v>
      </c>
      <c r="AH28" s="576">
        <v>6162.6674221040366</v>
      </c>
      <c r="AI28" s="542"/>
      <c r="AJ28" s="544"/>
      <c r="AK28" s="542"/>
      <c r="AL28" s="542"/>
    </row>
    <row r="29" spans="2:41" x14ac:dyDescent="0.3">
      <c r="B29" s="161"/>
      <c r="AA29" s="163"/>
      <c r="AF29" s="185"/>
      <c r="AG29" s="185"/>
      <c r="AH29" s="185"/>
      <c r="AI29" s="151"/>
      <c r="AJ29" s="540"/>
      <c r="AK29" s="151"/>
      <c r="AL29" s="151"/>
    </row>
    <row r="30" spans="2:41" x14ac:dyDescent="0.3">
      <c r="B30" s="161"/>
      <c r="AA30" s="163"/>
      <c r="AJ30" s="186"/>
    </row>
    <row r="31" spans="2:41" x14ac:dyDescent="0.3">
      <c r="B31" s="161"/>
      <c r="AA31" s="163"/>
      <c r="AF31" s="166" t="s">
        <v>456</v>
      </c>
      <c r="AG31" s="183"/>
      <c r="AH31" s="183"/>
      <c r="AI31" s="183"/>
      <c r="AJ31" s="183"/>
      <c r="AK31" s="183"/>
      <c r="AL31" s="183"/>
      <c r="AM31" s="183"/>
      <c r="AN31" s="183"/>
      <c r="AO31" s="183"/>
    </row>
    <row r="32" spans="2:41" x14ac:dyDescent="0.3">
      <c r="B32" s="161"/>
      <c r="AA32" s="163"/>
      <c r="AH32" s="307">
        <f>'Financial Statements'!E5</f>
        <v>2018</v>
      </c>
      <c r="AI32" s="307">
        <f>'Financial Statements'!F5</f>
        <v>2019</v>
      </c>
      <c r="AJ32" s="307">
        <f>'Financial Statements'!G5</f>
        <v>2020</v>
      </c>
      <c r="AK32" s="64">
        <f>'Financial Statements'!H5</f>
        <v>2021</v>
      </c>
      <c r="AL32" s="64">
        <f>'Financial Statements'!I5</f>
        <v>2022</v>
      </c>
      <c r="AM32" s="64">
        <f>'Financial Statements'!J5</f>
        <v>2023</v>
      </c>
      <c r="AN32" s="64">
        <f>'Financial Statements'!K5</f>
        <v>2024</v>
      </c>
      <c r="AO32" s="64">
        <f>'Financial Statements'!L5</f>
        <v>2025</v>
      </c>
    </row>
    <row r="33" spans="2:41" x14ac:dyDescent="0.3">
      <c r="B33" s="161"/>
      <c r="AA33" s="163"/>
      <c r="AF33" s="69" t="str">
        <f>'Financial Statements'!B26</f>
        <v>Online Stores</v>
      </c>
      <c r="AH33" s="151">
        <f>'Financial Statements'!E26</f>
        <v>122987</v>
      </c>
      <c r="AI33" s="151">
        <f>'Financial Statements'!F26</f>
        <v>141247</v>
      </c>
      <c r="AJ33" s="151">
        <f>'Financial Statements'!G26</f>
        <v>197346</v>
      </c>
      <c r="AK33" s="151">
        <f>'Financial Statements'!H26</f>
        <v>229381.8774928145</v>
      </c>
      <c r="AL33" s="151">
        <f>'Financial Statements'!I26</f>
        <v>259170.97775907413</v>
      </c>
      <c r="AM33" s="151">
        <f>'Financial Statements'!J26</f>
        <v>286097.15109745896</v>
      </c>
      <c r="AN33" s="151">
        <f>'Financial Statements'!K26</f>
        <v>309876.0527281175</v>
      </c>
      <c r="AO33" s="151">
        <f>'Financial Statements'!L26</f>
        <v>330480.27656537923</v>
      </c>
    </row>
    <row r="34" spans="2:41" x14ac:dyDescent="0.3">
      <c r="B34" s="161"/>
      <c r="AA34" s="163"/>
      <c r="AF34" s="69" t="str">
        <f>'Financial Statements'!B27</f>
        <v>Physical Stores</v>
      </c>
      <c r="AH34" s="151">
        <f>'Financial Statements'!E27</f>
        <v>17224</v>
      </c>
      <c r="AI34" s="151">
        <f>'Financial Statements'!F27</f>
        <v>17192</v>
      </c>
      <c r="AJ34" s="151">
        <f>'Financial Statements'!G27</f>
        <v>16227</v>
      </c>
      <c r="AK34" s="151">
        <f>'Financial Statements'!H27</f>
        <v>16835.512500000001</v>
      </c>
      <c r="AL34" s="151">
        <f>'Financial Statements'!I27</f>
        <v>17340.577875000003</v>
      </c>
      <c r="AM34" s="151">
        <f>'Financial Statements'!J27</f>
        <v>17756.751744000005</v>
      </c>
      <c r="AN34" s="151">
        <f>'Financial Statements'!K27</f>
        <v>18097.681377484805</v>
      </c>
      <c r="AO34" s="151">
        <f>'Financial Statements'!L27</f>
        <v>18375.661763442971</v>
      </c>
    </row>
    <row r="35" spans="2:41" x14ac:dyDescent="0.3">
      <c r="B35" s="161"/>
      <c r="R35" s="304"/>
      <c r="S35" s="184"/>
      <c r="T35" s="184"/>
      <c r="U35" s="184"/>
      <c r="V35" s="184"/>
      <c r="W35" s="184"/>
      <c r="X35" s="184"/>
      <c r="Y35" s="184"/>
      <c r="Z35" s="184"/>
      <c r="AA35" s="163"/>
      <c r="AF35" s="69" t="str">
        <f>'Financial Statements'!B28</f>
        <v>Retail Third-Party Seller Services</v>
      </c>
      <c r="AH35" s="151">
        <f>'Financial Statements'!E28</f>
        <v>42745</v>
      </c>
      <c r="AI35" s="151">
        <f>'Financial Statements'!F28</f>
        <v>53762</v>
      </c>
      <c r="AJ35" s="151">
        <f>'Financial Statements'!G28</f>
        <v>80461</v>
      </c>
      <c r="AK35" s="151">
        <f>'Financial Statements'!H28</f>
        <v>102814.15373594449</v>
      </c>
      <c r="AL35" s="151">
        <f>'Financial Statements'!I28</f>
        <v>125664.68340562892</v>
      </c>
      <c r="AM35" s="151">
        <f>'Financial Statements'!J28</f>
        <v>148007.9462522339</v>
      </c>
      <c r="AN35" s="151">
        <f>'Financial Statements'!K28</f>
        <v>169060.67392004075</v>
      </c>
      <c r="AO35" s="151">
        <f>'Financial Statements'!L28</f>
        <v>188298.49684778531</v>
      </c>
    </row>
    <row r="36" spans="2:41" ht="16.2" thickBot="1" x14ac:dyDescent="0.35">
      <c r="B36" s="188"/>
      <c r="C36" s="187"/>
      <c r="D36" s="187"/>
      <c r="E36" s="187"/>
      <c r="F36" s="187"/>
      <c r="G36" s="187"/>
      <c r="H36" s="187"/>
      <c r="I36" s="187"/>
      <c r="J36" s="187"/>
      <c r="K36" s="187"/>
      <c r="L36" s="187"/>
      <c r="M36" s="187"/>
      <c r="N36" s="187"/>
      <c r="O36" s="187"/>
      <c r="P36" s="187"/>
      <c r="Q36" s="187"/>
      <c r="R36" s="187"/>
      <c r="S36" s="187"/>
      <c r="T36" s="187"/>
      <c r="U36" s="187"/>
      <c r="V36" s="187"/>
      <c r="W36" s="187"/>
      <c r="X36" s="187"/>
      <c r="Y36" s="187"/>
      <c r="Z36" s="187"/>
      <c r="AA36" s="187"/>
      <c r="AB36" s="161"/>
      <c r="AF36" s="69" t="str">
        <f>'Financial Statements'!B29</f>
        <v>Subscription Services</v>
      </c>
      <c r="AH36" s="151">
        <f>'Financial Statements'!E29</f>
        <v>14168</v>
      </c>
      <c r="AI36" s="151">
        <f>'Financial Statements'!F29</f>
        <v>19210</v>
      </c>
      <c r="AJ36" s="151">
        <f>'Financial Statements'!G29</f>
        <v>25207</v>
      </c>
      <c r="AK36" s="151">
        <f>'Financial Statements'!H29</f>
        <v>32985.793530058021</v>
      </c>
      <c r="AL36" s="151">
        <f>'Financial Statements'!I29</f>
        <v>41129.235503968295</v>
      </c>
      <c r="AM36" s="151">
        <f>'Financial Statements'!J29</f>
        <v>49252.333526822302</v>
      </c>
      <c r="AN36" s="151">
        <f>'Financial Statements'!K29</f>
        <v>57034.273126532586</v>
      </c>
      <c r="AO36" s="151">
        <f>'Financial Statements'!L29</f>
        <v>64243.470933858356</v>
      </c>
    </row>
    <row r="37" spans="2:41" ht="16.2" thickTop="1" x14ac:dyDescent="0.3">
      <c r="AF37" s="69" t="str">
        <f>'Financial Statements'!B30</f>
        <v>AWS</v>
      </c>
      <c r="AH37" s="151">
        <f>'Financial Statements'!E30</f>
        <v>25655</v>
      </c>
      <c r="AI37" s="151">
        <f>'Financial Statements'!F30</f>
        <v>35026</v>
      </c>
      <c r="AJ37" s="151">
        <f>'Financial Statements'!G30</f>
        <v>45370</v>
      </c>
      <c r="AK37" s="151">
        <f>'Financial Statements'!H30</f>
        <v>58631.16690344744</v>
      </c>
      <c r="AL37" s="151">
        <f>'Financial Statements'!I30</f>
        <v>72340.978497901931</v>
      </c>
      <c r="AM37" s="151">
        <f>'Financial Statements'!J30</f>
        <v>85873.456026762477</v>
      </c>
      <c r="AN37" s="151">
        <f>'Financial Statements'!K30</f>
        <v>98724.602230613862</v>
      </c>
      <c r="AO37" s="151">
        <f>'Financial Statements'!L30</f>
        <v>110544.08038728469</v>
      </c>
    </row>
    <row r="38" spans="2:41" x14ac:dyDescent="0.3">
      <c r="AF38" s="69" t="str">
        <f>'Financial Statements'!B31</f>
        <v>Other</v>
      </c>
      <c r="AH38" s="151">
        <f>'Financial Statements'!E31</f>
        <v>10108</v>
      </c>
      <c r="AI38" s="151">
        <f>'Financial Statements'!F31</f>
        <v>14085</v>
      </c>
      <c r="AJ38" s="151">
        <f>'Financial Statements'!G31</f>
        <v>21453</v>
      </c>
      <c r="AK38" s="151">
        <f>'Financial Statements'!H31</f>
        <v>32177.665001113543</v>
      </c>
      <c r="AL38" s="151">
        <f>'Financial Statements'!I31</f>
        <v>45046.529128461647</v>
      </c>
      <c r="AM38" s="151">
        <f>'Financial Statements'!J31</f>
        <v>59458.952472237281</v>
      </c>
      <c r="AN38" s="151">
        <f>'Financial Statements'!K31</f>
        <v>74677.840341063129</v>
      </c>
      <c r="AO38" s="151">
        <f>'Financial Statements'!L31</f>
        <v>89969.245671049488</v>
      </c>
    </row>
    <row r="39" spans="2:41" x14ac:dyDescent="0.3">
      <c r="AF39" s="306" t="s">
        <v>147</v>
      </c>
      <c r="AG39" s="109"/>
      <c r="AH39" s="463">
        <f>SUM(AH33:AH38)</f>
        <v>232887</v>
      </c>
      <c r="AI39" s="463">
        <f t="shared" ref="AI39:AO39" si="0">SUM(AI33:AI38)</f>
        <v>280522</v>
      </c>
      <c r="AJ39" s="463">
        <f t="shared" si="0"/>
        <v>386064</v>
      </c>
      <c r="AK39" s="463">
        <f t="shared" si="0"/>
        <v>472826.16916337796</v>
      </c>
      <c r="AL39" s="463">
        <f t="shared" si="0"/>
        <v>560692.9821700349</v>
      </c>
      <c r="AM39" s="463">
        <f t="shared" si="0"/>
        <v>646446.59111951489</v>
      </c>
      <c r="AN39" s="463">
        <f t="shared" si="0"/>
        <v>727471.12372385256</v>
      </c>
      <c r="AO39" s="463">
        <f t="shared" si="0"/>
        <v>801911.23216879996</v>
      </c>
    </row>
  </sheetData>
  <pageMargins left="0.25" right="0.25" top="0.75" bottom="0.75" header="0.3" footer="0.3"/>
  <pageSetup scale="4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1367D-F3E3-42FE-B5A0-67FF771FA837}">
  <dimension ref="A1:U45"/>
  <sheetViews>
    <sheetView showGridLines="0" topLeftCell="A9" zoomScale="70" zoomScaleNormal="70" workbookViewId="0">
      <selection activeCell="T17" sqref="T17:U21"/>
    </sheetView>
  </sheetViews>
  <sheetFormatPr defaultRowHeight="13.8" outlineLevelRow="1" x14ac:dyDescent="0.25"/>
  <cols>
    <col min="1" max="1" width="3.375" customWidth="1"/>
    <col min="2" max="2" width="34.25" bestFit="1" customWidth="1"/>
    <col min="5" max="5" width="12.375" customWidth="1"/>
    <col min="6" max="7" width="12.375" bestFit="1" customWidth="1"/>
    <col min="9" max="11" width="12.375" bestFit="1" customWidth="1"/>
    <col min="14" max="14" width="20.125" bestFit="1" customWidth="1"/>
    <col min="15" max="16" width="10.25" bestFit="1" customWidth="1"/>
    <col min="19" max="19" width="20.125" bestFit="1" customWidth="1"/>
    <col min="20" max="21" width="10.25" bestFit="1" customWidth="1"/>
  </cols>
  <sheetData>
    <row r="1" spans="1:21" ht="15.6" x14ac:dyDescent="0.25">
      <c r="A1" s="67" t="s">
        <v>76</v>
      </c>
      <c r="B1" s="67"/>
      <c r="C1" s="68"/>
      <c r="D1" s="68"/>
      <c r="E1" s="68"/>
      <c r="F1" s="68"/>
      <c r="G1" s="68"/>
      <c r="H1" s="68"/>
      <c r="I1" s="68"/>
      <c r="J1" s="68"/>
      <c r="K1" s="68"/>
      <c r="L1" s="68"/>
      <c r="M1" s="68"/>
      <c r="N1" s="68"/>
      <c r="O1" s="68"/>
      <c r="P1" s="68"/>
    </row>
    <row r="2" spans="1:21" ht="18" x14ac:dyDescent="0.25">
      <c r="A2" s="70" t="s">
        <v>540</v>
      </c>
      <c r="B2" s="70"/>
      <c r="C2" s="116"/>
      <c r="D2" s="116"/>
      <c r="E2" s="116"/>
      <c r="F2" s="116"/>
      <c r="G2" s="116"/>
      <c r="H2" s="116"/>
      <c r="I2" s="116"/>
      <c r="J2" s="116"/>
      <c r="K2" s="116"/>
      <c r="L2" s="116"/>
      <c r="M2" s="116"/>
      <c r="N2" s="116"/>
      <c r="O2" s="116"/>
      <c r="P2" s="116"/>
    </row>
    <row r="3" spans="1:21" ht="15.6" x14ac:dyDescent="0.25">
      <c r="A3" s="71" t="s">
        <v>214</v>
      </c>
      <c r="B3" s="71"/>
      <c r="C3" s="72"/>
      <c r="D3" s="72"/>
      <c r="E3" s="72"/>
      <c r="F3" s="72"/>
      <c r="G3" s="72"/>
      <c r="H3" s="72"/>
      <c r="I3" s="72"/>
      <c r="J3" s="72"/>
      <c r="K3" s="72"/>
      <c r="L3" s="72"/>
      <c r="M3" s="72"/>
      <c r="N3" s="72"/>
      <c r="O3" s="72"/>
      <c r="P3" s="72"/>
    </row>
    <row r="4" spans="1:21" ht="15.6" x14ac:dyDescent="0.25">
      <c r="B4" s="73"/>
      <c r="C4" s="73"/>
      <c r="D4" s="73"/>
      <c r="E4" s="73"/>
      <c r="F4" s="73"/>
      <c r="G4" s="73"/>
      <c r="H4" s="73"/>
      <c r="I4" s="73"/>
      <c r="J4" s="73"/>
      <c r="K4" s="73"/>
    </row>
    <row r="5" spans="1:21" ht="15.6" outlineLevel="1" x14ac:dyDescent="0.25">
      <c r="B5" s="73"/>
      <c r="C5" s="73"/>
      <c r="D5" s="73"/>
      <c r="E5" s="417" t="s">
        <v>164</v>
      </c>
      <c r="F5" s="416"/>
      <c r="G5" s="416"/>
      <c r="H5" s="73"/>
      <c r="I5" s="73"/>
      <c r="J5" s="73"/>
      <c r="K5" s="73"/>
    </row>
    <row r="6" spans="1:21" outlineLevel="1" x14ac:dyDescent="0.25">
      <c r="E6" s="63" t="s">
        <v>180</v>
      </c>
      <c r="F6" s="63" t="s">
        <v>255</v>
      </c>
      <c r="G6" s="63" t="s">
        <v>256</v>
      </c>
    </row>
    <row r="7" spans="1:21" outlineLevel="1" x14ac:dyDescent="0.25">
      <c r="E7" s="20"/>
      <c r="F7" s="20"/>
      <c r="G7" s="20"/>
    </row>
    <row r="8" spans="1:21" ht="15.6" outlineLevel="1" x14ac:dyDescent="0.3">
      <c r="B8" s="69" t="s">
        <v>449</v>
      </c>
      <c r="E8" s="449">
        <v>1808219.8150968277</v>
      </c>
      <c r="F8" s="449">
        <v>2422028.2134753112</v>
      </c>
      <c r="G8" s="449">
        <v>3252601.258134312</v>
      </c>
    </row>
    <row r="9" spans="1:21" ht="15.6" outlineLevel="1" x14ac:dyDescent="0.3">
      <c r="B9" s="69" t="s">
        <v>370</v>
      </c>
      <c r="E9" s="449">
        <v>1330482.1518664183</v>
      </c>
      <c r="F9" s="449">
        <v>2324522.7328049024</v>
      </c>
      <c r="G9" s="449">
        <v>3933034.6157539538</v>
      </c>
      <c r="I9" s="457"/>
      <c r="J9" s="457"/>
      <c r="K9" s="457"/>
    </row>
    <row r="10" spans="1:21" ht="15.6" outlineLevel="1" x14ac:dyDescent="0.3">
      <c r="B10" s="69" t="s">
        <v>544</v>
      </c>
      <c r="E10" s="449">
        <v>331012.96098409541</v>
      </c>
      <c r="F10" s="449">
        <v>723099.16323488019</v>
      </c>
      <c r="G10" s="449">
        <v>1157428.3140334128</v>
      </c>
      <c r="I10" s="457"/>
      <c r="J10" s="457"/>
      <c r="K10" s="457"/>
    </row>
    <row r="11" spans="1:21" ht="15.6" outlineLevel="1" x14ac:dyDescent="0.3">
      <c r="B11" s="69" t="s">
        <v>537</v>
      </c>
      <c r="E11" s="376">
        <f>E45</f>
        <v>1976447.0000000002</v>
      </c>
      <c r="F11" s="376">
        <f t="shared" ref="F11:G11" si="0">F45</f>
        <v>2232023.2400000002</v>
      </c>
      <c r="G11" s="376">
        <f t="shared" si="0"/>
        <v>2753747.0000000005</v>
      </c>
    </row>
    <row r="12" spans="1:21" ht="15.6" outlineLevel="1" x14ac:dyDescent="0.3">
      <c r="B12" s="69" t="s">
        <v>539</v>
      </c>
      <c r="E12" s="376">
        <f>E39</f>
        <v>1015704.2000000001</v>
      </c>
      <c r="F12" s="376">
        <f t="shared" ref="F12:G12" si="1">F39</f>
        <v>1583133.2000000002</v>
      </c>
      <c r="G12" s="376">
        <f t="shared" si="1"/>
        <v>1888871.2000000002</v>
      </c>
    </row>
    <row r="16" spans="1:21" ht="15.6" x14ac:dyDescent="0.3">
      <c r="S16" s="69"/>
      <c r="T16" s="180" t="s">
        <v>176</v>
      </c>
      <c r="U16" s="180" t="s">
        <v>177</v>
      </c>
    </row>
    <row r="17" spans="2:21" ht="15.6" x14ac:dyDescent="0.3">
      <c r="S17" s="185" t="s">
        <v>539</v>
      </c>
      <c r="T17" s="186">
        <f>E12/_RoundBillions</f>
        <v>1015.7042</v>
      </c>
      <c r="U17" s="186">
        <f>G12/_RoundBillions</f>
        <v>1888.8712000000003</v>
      </c>
    </row>
    <row r="18" spans="2:21" ht="15.6" x14ac:dyDescent="0.3">
      <c r="S18" s="185" t="s">
        <v>537</v>
      </c>
      <c r="T18" s="186">
        <f>E11/_RoundBillions</f>
        <v>1976.4470000000003</v>
      </c>
      <c r="U18" s="186">
        <f>G11/_RoundBillions</f>
        <v>2753.7470000000003</v>
      </c>
    </row>
    <row r="19" spans="2:21" ht="15.6" x14ac:dyDescent="0.3">
      <c r="S19" s="185" t="s">
        <v>561</v>
      </c>
      <c r="T19" s="186">
        <f>E10/_RoundBillions</f>
        <v>331.0129609840954</v>
      </c>
      <c r="U19" s="186">
        <f>G10/_RoundBillions</f>
        <v>1157.4283140334128</v>
      </c>
    </row>
    <row r="20" spans="2:21" ht="15.6" x14ac:dyDescent="0.3">
      <c r="S20" s="185" t="s">
        <v>370</v>
      </c>
      <c r="T20" s="186">
        <f>E9/_RoundBillions</f>
        <v>1330.4821518664182</v>
      </c>
      <c r="U20" s="186">
        <f>G9/_RoundBillions</f>
        <v>3933.0346157539539</v>
      </c>
    </row>
    <row r="21" spans="2:21" ht="15.6" x14ac:dyDescent="0.3">
      <c r="S21" s="185" t="s">
        <v>449</v>
      </c>
      <c r="T21" s="186">
        <f>E8/_RoundBillions</f>
        <v>1808.2198150968277</v>
      </c>
      <c r="U21" s="186">
        <f>G8/_RoundBillions</f>
        <v>3252.601258134312</v>
      </c>
    </row>
    <row r="29" spans="2:21" outlineLevel="1" x14ac:dyDescent="0.25">
      <c r="B29" s="61" t="s">
        <v>559</v>
      </c>
      <c r="C29" s="456"/>
      <c r="D29" s="456"/>
      <c r="E29" s="456"/>
      <c r="F29" s="456"/>
      <c r="G29" s="456"/>
    </row>
    <row r="30" spans="2:21" outlineLevel="1" x14ac:dyDescent="0.25">
      <c r="B30" s="380"/>
      <c r="E30" s="61" t="s">
        <v>545</v>
      </c>
      <c r="F30" s="61"/>
      <c r="G30" s="61"/>
    </row>
    <row r="31" spans="2:21" ht="15.6" outlineLevel="1" x14ac:dyDescent="0.3">
      <c r="B31" s="69"/>
      <c r="E31" s="63" t="s">
        <v>180</v>
      </c>
      <c r="F31" s="63" t="s">
        <v>255</v>
      </c>
      <c r="G31" s="63" t="s">
        <v>256</v>
      </c>
    </row>
    <row r="32" spans="2:21" outlineLevel="1" x14ac:dyDescent="0.25">
      <c r="B32" s="1" t="s">
        <v>517</v>
      </c>
      <c r="E32" s="224">
        <v>1846</v>
      </c>
      <c r="F32" s="224">
        <v>2941</v>
      </c>
      <c r="G32" s="224">
        <v>3531</v>
      </c>
    </row>
    <row r="33" spans="2:7" outlineLevel="1" x14ac:dyDescent="0.25">
      <c r="B33" s="1" t="s">
        <v>518</v>
      </c>
      <c r="E33" s="224">
        <f>Consensus!E36</f>
        <v>3700</v>
      </c>
      <c r="F33" s="224">
        <f>Consensus!E33</f>
        <v>4193.2</v>
      </c>
      <c r="G33" s="224">
        <f>Consensus!E37</f>
        <v>5200</v>
      </c>
    </row>
    <row r="34" spans="2:7" outlineLevel="1" x14ac:dyDescent="0.25">
      <c r="B34" s="1"/>
      <c r="E34" s="224"/>
      <c r="F34" s="224"/>
      <c r="G34" s="224"/>
    </row>
    <row r="35" spans="2:7" outlineLevel="1" x14ac:dyDescent="0.25">
      <c r="B35" t="s">
        <v>542</v>
      </c>
      <c r="E35" s="220">
        <f>E32</f>
        <v>1846</v>
      </c>
      <c r="F35" s="220">
        <f t="shared" ref="F35:G35" si="2">F32</f>
        <v>2941</v>
      </c>
      <c r="G35" s="220">
        <f t="shared" si="2"/>
        <v>3531</v>
      </c>
    </row>
    <row r="36" spans="2:7" ht="15.6" outlineLevel="1" x14ac:dyDescent="0.3">
      <c r="B36" s="69" t="s">
        <v>480</v>
      </c>
      <c r="E36" s="421">
        <f>Comps!$E$10</f>
        <v>518.20000000000005</v>
      </c>
      <c r="F36" s="421">
        <f>Comps!$E$10</f>
        <v>518.20000000000005</v>
      </c>
      <c r="G36" s="421">
        <f>Comps!$E$10</f>
        <v>518.20000000000005</v>
      </c>
    </row>
    <row r="37" spans="2:7" ht="15.6" outlineLevel="1" x14ac:dyDescent="0.3">
      <c r="B37" s="305" t="s">
        <v>163</v>
      </c>
      <c r="E37" s="420">
        <f>E35*E36</f>
        <v>956597.20000000007</v>
      </c>
      <c r="F37" s="420">
        <f t="shared" ref="F37:G37" si="3">F35*F36</f>
        <v>1524026.2000000002</v>
      </c>
      <c r="G37" s="420">
        <f t="shared" si="3"/>
        <v>1829764.2000000002</v>
      </c>
    </row>
    <row r="38" spans="2:7" outlineLevel="1" x14ac:dyDescent="0.25">
      <c r="B38" t="s">
        <v>541</v>
      </c>
      <c r="E38" s="220">
        <f>Comps!$I$10</f>
        <v>59107</v>
      </c>
      <c r="F38" s="220">
        <f>Comps!$I$10</f>
        <v>59107</v>
      </c>
      <c r="G38" s="220">
        <f>Comps!$I$10</f>
        <v>59107</v>
      </c>
    </row>
    <row r="39" spans="2:7" outlineLevel="1" x14ac:dyDescent="0.25">
      <c r="B39" s="418" t="s">
        <v>361</v>
      </c>
      <c r="E39" s="419">
        <f>SUM(E37:E38)</f>
        <v>1015704.2000000001</v>
      </c>
      <c r="F39" s="419">
        <f t="shared" ref="F39:G39" si="4">SUM(F37:F38)</f>
        <v>1583133.2000000002</v>
      </c>
      <c r="G39" s="419">
        <f t="shared" si="4"/>
        <v>1888871.2000000002</v>
      </c>
    </row>
    <row r="40" spans="2:7" outlineLevel="1" x14ac:dyDescent="0.25">
      <c r="E40" s="220"/>
      <c r="F40" s="220"/>
      <c r="G40" s="220"/>
    </row>
    <row r="41" spans="2:7" outlineLevel="1" x14ac:dyDescent="0.25">
      <c r="B41" t="s">
        <v>543</v>
      </c>
      <c r="E41" s="220">
        <f>E33</f>
        <v>3700</v>
      </c>
      <c r="F41" s="220">
        <f t="shared" ref="F41:G41" si="5">F33</f>
        <v>4193.2</v>
      </c>
      <c r="G41" s="220">
        <f t="shared" si="5"/>
        <v>5200</v>
      </c>
    </row>
    <row r="42" spans="2:7" ht="15.6" outlineLevel="1" x14ac:dyDescent="0.3">
      <c r="B42" s="69" t="s">
        <v>480</v>
      </c>
      <c r="E42" s="421">
        <f>E36</f>
        <v>518.20000000000005</v>
      </c>
      <c r="F42" s="421">
        <f t="shared" ref="F42:G42" si="6">F36</f>
        <v>518.20000000000005</v>
      </c>
      <c r="G42" s="421">
        <f t="shared" si="6"/>
        <v>518.20000000000005</v>
      </c>
    </row>
    <row r="43" spans="2:7" ht="15.6" outlineLevel="1" x14ac:dyDescent="0.3">
      <c r="B43" s="305" t="s">
        <v>163</v>
      </c>
      <c r="E43" s="420">
        <f>E41*E42</f>
        <v>1917340.0000000002</v>
      </c>
      <c r="F43" s="420">
        <f t="shared" ref="F43:G43" si="7">F41*F42</f>
        <v>2172916.2400000002</v>
      </c>
      <c r="G43" s="420">
        <f t="shared" si="7"/>
        <v>2694640.0000000005</v>
      </c>
    </row>
    <row r="44" spans="2:7" outlineLevel="1" x14ac:dyDescent="0.25">
      <c r="B44" t="s">
        <v>541</v>
      </c>
      <c r="E44" s="220">
        <f>E38</f>
        <v>59107</v>
      </c>
      <c r="F44" s="220">
        <f t="shared" ref="F44:G44" si="8">F38</f>
        <v>59107</v>
      </c>
      <c r="G44" s="220">
        <f t="shared" si="8"/>
        <v>59107</v>
      </c>
    </row>
    <row r="45" spans="2:7" outlineLevel="1" x14ac:dyDescent="0.25">
      <c r="B45" s="418" t="s">
        <v>361</v>
      </c>
      <c r="E45" s="419">
        <f>SUM(E43:E44)</f>
        <v>1976447.0000000002</v>
      </c>
      <c r="F45" s="419">
        <f t="shared" ref="F45:G45" si="9">SUM(F43:F44)</f>
        <v>2232023.2400000002</v>
      </c>
      <c r="G45" s="419">
        <f t="shared" si="9"/>
        <v>2753747.0000000005</v>
      </c>
    </row>
  </sheetData>
  <pageMargins left="0.7" right="0.7" top="0.75" bottom="0.75" header="0.3" footer="0.3"/>
  <pageSetup scale="52" orientation="portrait"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D9188-7986-4122-9CB2-A52CAABC6764}">
  <dimension ref="A1:AC59"/>
  <sheetViews>
    <sheetView showGridLines="0" zoomScale="70" zoomScaleNormal="70" workbookViewId="0">
      <selection activeCell="S51" sqref="S51:T56"/>
    </sheetView>
  </sheetViews>
  <sheetFormatPr defaultRowHeight="13.8" x14ac:dyDescent="0.25"/>
  <cols>
    <col min="1" max="1" width="3.375" customWidth="1"/>
    <col min="13" max="14" width="10.75" bestFit="1" customWidth="1"/>
    <col min="17" max="17" width="32.875" bestFit="1" customWidth="1"/>
    <col min="19" max="21" width="10.25" bestFit="1" customWidth="1"/>
    <col min="22" max="28" width="11.375" bestFit="1" customWidth="1"/>
    <col min="29" max="29" width="11.75" bestFit="1" customWidth="1"/>
  </cols>
  <sheetData>
    <row r="1" spans="1:29" x14ac:dyDescent="0.25">
      <c r="A1" s="2" t="s">
        <v>76</v>
      </c>
      <c r="B1" s="2"/>
      <c r="C1" s="2"/>
      <c r="D1" s="399"/>
      <c r="E1" s="399"/>
      <c r="F1" s="399"/>
      <c r="G1" s="399"/>
      <c r="H1" s="399"/>
      <c r="I1" s="399"/>
      <c r="J1" s="399"/>
      <c r="K1" s="399"/>
      <c r="L1" s="399"/>
    </row>
    <row r="2" spans="1:29" ht="18" x14ac:dyDescent="0.25">
      <c r="A2" s="70" t="s">
        <v>601</v>
      </c>
      <c r="B2" s="70"/>
      <c r="C2" s="70"/>
      <c r="D2" s="399"/>
      <c r="E2" s="399"/>
      <c r="F2" s="399"/>
      <c r="G2" s="399"/>
      <c r="H2" s="399"/>
      <c r="I2" s="399"/>
      <c r="J2" s="399"/>
      <c r="K2" s="399"/>
      <c r="L2" s="399"/>
    </row>
    <row r="3" spans="1:29" x14ac:dyDescent="0.25">
      <c r="A3" s="66" t="s">
        <v>214</v>
      </c>
      <c r="B3" s="66"/>
      <c r="C3" s="4"/>
      <c r="D3" s="399"/>
      <c r="E3" s="399"/>
      <c r="F3" s="399"/>
      <c r="G3" s="399"/>
      <c r="H3" s="399"/>
      <c r="I3" s="399"/>
      <c r="J3" s="399"/>
      <c r="K3" s="399"/>
      <c r="L3" s="399"/>
    </row>
    <row r="5" spans="1:29" x14ac:dyDescent="0.25">
      <c r="B5" s="1"/>
    </row>
    <row r="6" spans="1:29" ht="15.6" x14ac:dyDescent="0.3">
      <c r="B6" s="1" t="s">
        <v>602</v>
      </c>
      <c r="Q6" s="166" t="s">
        <v>598</v>
      </c>
      <c r="R6" s="183"/>
      <c r="S6" s="183"/>
      <c r="T6" s="183"/>
      <c r="U6" s="183"/>
      <c r="V6" s="183"/>
      <c r="W6" s="183"/>
      <c r="X6" s="183"/>
      <c r="Y6" s="183"/>
      <c r="Z6" s="183"/>
      <c r="AA6" s="183"/>
      <c r="AB6" s="183"/>
      <c r="AC6" s="183"/>
    </row>
    <row r="7" spans="1:29" ht="15.6" x14ac:dyDescent="0.3">
      <c r="B7" s="554"/>
      <c r="C7" s="13"/>
      <c r="D7" s="13"/>
      <c r="E7" s="13"/>
      <c r="F7" s="13"/>
      <c r="G7" s="13"/>
      <c r="H7" s="13"/>
      <c r="I7" s="13"/>
      <c r="J7" s="13"/>
      <c r="K7" s="555"/>
      <c r="Q7" s="69"/>
      <c r="R7" s="69"/>
      <c r="S7" s="79">
        <v>2021</v>
      </c>
      <c r="T7" s="79">
        <f>S7+1</f>
        <v>2022</v>
      </c>
      <c r="U7" s="79">
        <f t="shared" ref="U7:AC7" si="0">T7+1</f>
        <v>2023</v>
      </c>
      <c r="V7" s="79">
        <f t="shared" si="0"/>
        <v>2024</v>
      </c>
      <c r="W7" s="79">
        <f t="shared" si="0"/>
        <v>2025</v>
      </c>
      <c r="X7" s="79">
        <f t="shared" si="0"/>
        <v>2026</v>
      </c>
      <c r="Y7" s="79">
        <f t="shared" si="0"/>
        <v>2027</v>
      </c>
      <c r="Z7" s="79">
        <f t="shared" si="0"/>
        <v>2028</v>
      </c>
      <c r="AA7" s="79">
        <f t="shared" si="0"/>
        <v>2029</v>
      </c>
      <c r="AB7" s="79">
        <f t="shared" si="0"/>
        <v>2030</v>
      </c>
      <c r="AC7" s="79">
        <f t="shared" si="0"/>
        <v>2031</v>
      </c>
    </row>
    <row r="8" spans="1:29" ht="15.6" x14ac:dyDescent="0.3">
      <c r="B8" s="308"/>
      <c r="K8" s="309"/>
      <c r="Q8" s="69" t="s">
        <v>594</v>
      </c>
      <c r="R8" s="69"/>
      <c r="S8" s="560">
        <v>501746.89221783733</v>
      </c>
      <c r="T8" s="560">
        <v>627105.7885271376</v>
      </c>
      <c r="U8" s="560">
        <v>757039.18970139662</v>
      </c>
      <c r="V8" s="560">
        <v>886470.93194407481</v>
      </c>
      <c r="W8" s="560">
        <v>1010963.5118962658</v>
      </c>
      <c r="X8" s="560">
        <v>1127102.7717632158</v>
      </c>
      <c r="Y8" s="560">
        <v>1232634.7958348214</v>
      </c>
      <c r="Z8" s="560">
        <v>1326401.9983294045</v>
      </c>
      <c r="AA8" s="560">
        <v>1408155.103729395</v>
      </c>
      <c r="AB8" s="560">
        <v>1478315.5105760412</v>
      </c>
      <c r="AC8" s="560">
        <v>1537742.7122168522</v>
      </c>
    </row>
    <row r="9" spans="1:29" ht="15.6" x14ac:dyDescent="0.3">
      <c r="B9" s="308"/>
      <c r="K9" s="309"/>
      <c r="Q9" s="69" t="s">
        <v>595</v>
      </c>
      <c r="R9" s="69"/>
      <c r="S9" s="560">
        <v>530667.61527229671</v>
      </c>
      <c r="T9" s="560">
        <v>697620.16770111886</v>
      </c>
      <c r="U9" s="560">
        <v>880881.96269561234</v>
      </c>
      <c r="V9" s="560">
        <v>1073034.6541610602</v>
      </c>
      <c r="W9" s="560">
        <v>1266392.1354114546</v>
      </c>
      <c r="X9" s="560">
        <v>1453999.6289424305</v>
      </c>
      <c r="Y9" s="560">
        <v>1630318.6763404976</v>
      </c>
      <c r="Z9" s="560">
        <v>1791530.8754619965</v>
      </c>
      <c r="AA9" s="560">
        <v>1935510.0991608407</v>
      </c>
      <c r="AB9" s="560">
        <v>2061574.8111342755</v>
      </c>
      <c r="AC9" s="560">
        <v>2170139.1910049575</v>
      </c>
    </row>
    <row r="10" spans="1:29" ht="15.6" x14ac:dyDescent="0.3">
      <c r="B10" s="308"/>
      <c r="K10" s="309"/>
      <c r="Q10" s="69" t="s">
        <v>596</v>
      </c>
      <c r="R10" s="69"/>
      <c r="S10" s="560">
        <v>472826.16916337796</v>
      </c>
      <c r="T10" s="560">
        <v>560692.9821700349</v>
      </c>
      <c r="U10" s="560">
        <v>646446.59111951489</v>
      </c>
      <c r="V10" s="560">
        <v>727471.12372385256</v>
      </c>
      <c r="W10" s="560">
        <v>801911.23216879996</v>
      </c>
      <c r="X10" s="560">
        <v>868679.99388210382</v>
      </c>
      <c r="Y10" s="560">
        <v>927361.87185068533</v>
      </c>
      <c r="Z10" s="560">
        <v>978062.61471281771</v>
      </c>
      <c r="AA10" s="560">
        <v>1021248.6647696287</v>
      </c>
      <c r="AB10" s="560">
        <v>1057603.3113400955</v>
      </c>
      <c r="AC10" s="560">
        <v>1087912.3867459062</v>
      </c>
    </row>
    <row r="11" spans="1:29" x14ac:dyDescent="0.25">
      <c r="B11" s="308"/>
      <c r="K11" s="309"/>
    </row>
    <row r="12" spans="1:29" ht="15.6" x14ac:dyDescent="0.3">
      <c r="B12" s="308"/>
      <c r="K12" s="309"/>
      <c r="Q12" s="166" t="s">
        <v>127</v>
      </c>
      <c r="R12" s="183"/>
      <c r="S12" s="183"/>
      <c r="T12" s="183"/>
      <c r="U12" s="183"/>
      <c r="V12" s="183"/>
      <c r="W12" s="183"/>
      <c r="X12" s="183"/>
      <c r="Y12" s="183"/>
      <c r="Z12" s="183"/>
      <c r="AA12" s="183"/>
      <c r="AB12" s="183"/>
      <c r="AC12" s="183"/>
    </row>
    <row r="13" spans="1:29" ht="15.6" x14ac:dyDescent="0.3">
      <c r="B13" s="308"/>
      <c r="K13" s="309"/>
      <c r="Q13" s="69"/>
      <c r="R13" s="69"/>
      <c r="S13" s="79">
        <v>2021</v>
      </c>
      <c r="T13" s="79">
        <f>S13+1</f>
        <v>2022</v>
      </c>
      <c r="U13" s="79">
        <f t="shared" ref="U13:AC13" si="1">T13+1</f>
        <v>2023</v>
      </c>
      <c r="V13" s="79">
        <f t="shared" si="1"/>
        <v>2024</v>
      </c>
      <c r="W13" s="79">
        <f t="shared" si="1"/>
        <v>2025</v>
      </c>
      <c r="X13" s="79">
        <f t="shared" si="1"/>
        <v>2026</v>
      </c>
      <c r="Y13" s="79">
        <f t="shared" si="1"/>
        <v>2027</v>
      </c>
      <c r="Z13" s="79">
        <f t="shared" si="1"/>
        <v>2028</v>
      </c>
      <c r="AA13" s="79">
        <f t="shared" si="1"/>
        <v>2029</v>
      </c>
      <c r="AB13" s="79">
        <f t="shared" si="1"/>
        <v>2030</v>
      </c>
      <c r="AC13" s="79">
        <f t="shared" si="1"/>
        <v>2031</v>
      </c>
    </row>
    <row r="14" spans="1:29" ht="15.6" x14ac:dyDescent="0.3">
      <c r="B14" s="308"/>
      <c r="K14" s="309"/>
      <c r="Q14" s="69" t="s">
        <v>608</v>
      </c>
      <c r="R14" s="69"/>
      <c r="S14" s="560">
        <v>52050.653549403178</v>
      </c>
      <c r="T14" s="560">
        <v>66876.696503684972</v>
      </c>
      <c r="U14" s="560">
        <v>83338.572240235488</v>
      </c>
      <c r="V14" s="560">
        <v>101090.50096847929</v>
      </c>
      <c r="W14" s="560">
        <v>119784.17885472803</v>
      </c>
      <c r="X14" s="560">
        <v>139105.05923457351</v>
      </c>
      <c r="Y14" s="560">
        <v>154715.98602949275</v>
      </c>
      <c r="Z14" s="560">
        <v>173554.43966811278</v>
      </c>
      <c r="AA14" s="560">
        <v>193442.11218799016</v>
      </c>
      <c r="AB14" s="560">
        <v>213269.36750927678</v>
      </c>
      <c r="AC14" s="560">
        <v>219701.27222934866</v>
      </c>
    </row>
    <row r="15" spans="1:29" ht="15.6" x14ac:dyDescent="0.3">
      <c r="B15" s="308"/>
      <c r="K15" s="309"/>
      <c r="Q15" s="69" t="s">
        <v>609</v>
      </c>
      <c r="R15" s="69"/>
      <c r="S15" s="560">
        <v>54287.230948650562</v>
      </c>
      <c r="T15" s="560">
        <v>72625.686273074956</v>
      </c>
      <c r="U15" s="560">
        <v>93932.862245276003</v>
      </c>
      <c r="V15" s="560">
        <v>117801.85989912681</v>
      </c>
      <c r="W15" s="560">
        <v>143729.20451084804</v>
      </c>
      <c r="X15" s="560">
        <v>171189.371546198</v>
      </c>
      <c r="Y15" s="560">
        <v>195617.82025598298</v>
      </c>
      <c r="Z15" s="560">
        <v>223739.29061177847</v>
      </c>
      <c r="AA15" s="560">
        <v>253196.14935074752</v>
      </c>
      <c r="AB15" s="560">
        <v>282740.09092015639</v>
      </c>
      <c r="AC15" s="560">
        <v>298641.31290229328</v>
      </c>
    </row>
    <row r="16" spans="1:29" ht="15.6" x14ac:dyDescent="0.3">
      <c r="B16" s="308"/>
      <c r="K16" s="309"/>
      <c r="Q16" s="69" t="s">
        <v>610</v>
      </c>
      <c r="R16" s="69"/>
      <c r="S16" s="560">
        <v>49814.076150155794</v>
      </c>
      <c r="T16" s="560">
        <v>61444.900915308972</v>
      </c>
      <c r="U16" s="560">
        <v>73810.928804834708</v>
      </c>
      <c r="V16" s="560">
        <v>86688.249883494107</v>
      </c>
      <c r="W16" s="560">
        <v>99885.016275553135</v>
      </c>
      <c r="X16" s="560">
        <v>113249.83116839967</v>
      </c>
      <c r="Y16" s="560">
        <v>122594.68371827368</v>
      </c>
      <c r="Z16" s="560">
        <v>134980.53005170301</v>
      </c>
      <c r="AA16" s="560">
        <v>148323.10841487415</v>
      </c>
      <c r="AB16" s="560">
        <v>161579.05208283942</v>
      </c>
      <c r="AC16" s="560">
        <v>161752.20222011532</v>
      </c>
    </row>
    <row r="17" spans="2:29" x14ac:dyDescent="0.25">
      <c r="B17" s="556"/>
      <c r="C17" s="76"/>
      <c r="D17" s="76"/>
      <c r="E17" s="76"/>
      <c r="F17" s="76"/>
      <c r="G17" s="76"/>
      <c r="H17" s="76"/>
      <c r="I17" s="76"/>
      <c r="J17" s="76"/>
      <c r="K17" s="557"/>
    </row>
    <row r="18" spans="2:29" ht="15.6" x14ac:dyDescent="0.3">
      <c r="Q18" s="166" t="s">
        <v>599</v>
      </c>
      <c r="R18" s="183"/>
      <c r="S18" s="183"/>
      <c r="T18" s="183"/>
      <c r="U18" s="183"/>
      <c r="V18" s="183"/>
      <c r="W18" s="183"/>
      <c r="X18" s="183"/>
      <c r="Y18" s="183"/>
      <c r="Z18" s="183"/>
      <c r="AA18" s="183"/>
      <c r="AB18" s="183"/>
      <c r="AC18" s="183"/>
    </row>
    <row r="19" spans="2:29" ht="15.6" x14ac:dyDescent="0.3">
      <c r="Q19" s="69"/>
      <c r="R19" s="69"/>
      <c r="S19" s="79">
        <v>2021</v>
      </c>
      <c r="T19" s="79">
        <f>S19+1</f>
        <v>2022</v>
      </c>
      <c r="U19" s="79">
        <f t="shared" ref="U19:AC19" si="2">T19+1</f>
        <v>2023</v>
      </c>
      <c r="V19" s="79">
        <f t="shared" si="2"/>
        <v>2024</v>
      </c>
      <c r="W19" s="79">
        <f t="shared" si="2"/>
        <v>2025</v>
      </c>
      <c r="X19" s="79">
        <f t="shared" si="2"/>
        <v>2026</v>
      </c>
      <c r="Y19" s="79">
        <f t="shared" si="2"/>
        <v>2027</v>
      </c>
      <c r="Z19" s="79">
        <f t="shared" si="2"/>
        <v>2028</v>
      </c>
      <c r="AA19" s="79">
        <f t="shared" si="2"/>
        <v>2029</v>
      </c>
      <c r="AB19" s="79">
        <f t="shared" si="2"/>
        <v>2030</v>
      </c>
      <c r="AC19" s="79">
        <f t="shared" si="2"/>
        <v>2031</v>
      </c>
    </row>
    <row r="20" spans="2:29" ht="15.6" x14ac:dyDescent="0.3">
      <c r="B20" s="1" t="s">
        <v>611</v>
      </c>
      <c r="Q20" s="69" t="s">
        <v>612</v>
      </c>
      <c r="R20" s="69"/>
      <c r="S20" s="560">
        <v>20613.91861976662</v>
      </c>
      <c r="T20" s="560">
        <v>40835.291584577695</v>
      </c>
      <c r="U20" s="560">
        <v>48539.052532119618</v>
      </c>
      <c r="V20" s="560">
        <v>56623.673220765326</v>
      </c>
      <c r="W20" s="560">
        <v>65479.927654103252</v>
      </c>
      <c r="X20" s="560">
        <v>74757.792302876289</v>
      </c>
      <c r="Y20" s="560">
        <v>80788.986434201812</v>
      </c>
      <c r="Z20" s="560">
        <v>90596.367911423586</v>
      </c>
      <c r="AA20" s="560">
        <v>102613.82876121055</v>
      </c>
      <c r="AB20" s="560">
        <v>115156.95899070214</v>
      </c>
      <c r="AC20" s="560">
        <v>115341.71151043949</v>
      </c>
    </row>
    <row r="21" spans="2:29" ht="15.6" x14ac:dyDescent="0.3">
      <c r="B21" s="554"/>
      <c r="C21" s="13"/>
      <c r="D21" s="13"/>
      <c r="E21" s="13"/>
      <c r="F21" s="13"/>
      <c r="G21" s="13"/>
      <c r="H21" s="13"/>
      <c r="I21" s="13"/>
      <c r="J21" s="13"/>
      <c r="K21" s="555"/>
      <c r="O21" s="560"/>
      <c r="Q21" s="69" t="s">
        <v>613</v>
      </c>
      <c r="R21" s="69"/>
      <c r="S21" s="560">
        <v>25687.019392036422</v>
      </c>
      <c r="T21" s="560">
        <v>48554.382292505521</v>
      </c>
      <c r="U21" s="560">
        <v>59221.07669028276</v>
      </c>
      <c r="V21" s="560">
        <v>70438.40924883321</v>
      </c>
      <c r="W21" s="560">
        <v>82591.848084507699</v>
      </c>
      <c r="X21" s="560">
        <v>95227.154698510858</v>
      </c>
      <c r="Y21" s="560">
        <v>104799.87967392233</v>
      </c>
      <c r="Z21" s="560">
        <v>118363.31216418745</v>
      </c>
      <c r="AA21" s="560">
        <v>134605.59797189722</v>
      </c>
      <c r="AB21" s="560">
        <v>151672.46769125841</v>
      </c>
      <c r="AC21" s="560">
        <v>156592.50481831882</v>
      </c>
    </row>
    <row r="22" spans="2:29" ht="15.6" x14ac:dyDescent="0.3">
      <c r="B22" s="308"/>
      <c r="K22" s="309"/>
      <c r="O22" s="560"/>
      <c r="Q22" s="69" t="s">
        <v>614</v>
      </c>
      <c r="R22" s="69"/>
      <c r="S22" s="553">
        <v>15540.817847496823</v>
      </c>
      <c r="T22" s="560">
        <v>33835.674320852508</v>
      </c>
      <c r="U22" s="560">
        <v>39521.808999315981</v>
      </c>
      <c r="V22" s="560">
        <v>45553.027096940736</v>
      </c>
      <c r="W22" s="560">
        <v>52251.335180977068</v>
      </c>
      <c r="X22" s="560">
        <v>59302.927075325955</v>
      </c>
      <c r="Y22" s="560">
        <v>62913.317811688074</v>
      </c>
      <c r="Z22" s="560">
        <v>70083.041071929358</v>
      </c>
      <c r="AA22" s="560">
        <v>79073.154159888101</v>
      </c>
      <c r="AB22" s="560">
        <v>88350.44794259638</v>
      </c>
      <c r="AC22" s="560">
        <v>85196.636661880242</v>
      </c>
    </row>
    <row r="23" spans="2:29" x14ac:dyDescent="0.25">
      <c r="B23" s="308"/>
      <c r="K23" s="309"/>
    </row>
    <row r="24" spans="2:29" ht="15.6" x14ac:dyDescent="0.3">
      <c r="B24" s="308"/>
      <c r="K24" s="309"/>
      <c r="Q24" s="166" t="s">
        <v>615</v>
      </c>
      <c r="R24" s="183"/>
      <c r="S24" s="183"/>
      <c r="T24" s="183"/>
      <c r="U24" s="183"/>
      <c r="V24" s="183"/>
      <c r="W24" s="183"/>
      <c r="X24" s="183"/>
      <c r="Y24" s="183"/>
      <c r="Z24" s="183"/>
      <c r="AA24" s="183"/>
      <c r="AB24" s="183"/>
      <c r="AC24" s="183"/>
    </row>
    <row r="25" spans="2:29" ht="15.6" x14ac:dyDescent="0.3">
      <c r="B25" s="308"/>
      <c r="K25" s="309"/>
      <c r="Q25" s="69"/>
      <c r="R25" s="69"/>
      <c r="S25" s="79">
        <v>2021</v>
      </c>
      <c r="T25" s="79">
        <f>S25+1</f>
        <v>2022</v>
      </c>
      <c r="U25" s="79">
        <f t="shared" ref="U25:AC25" si="3">T25+1</f>
        <v>2023</v>
      </c>
      <c r="V25" s="79">
        <f t="shared" si="3"/>
        <v>2024</v>
      </c>
      <c r="W25" s="79">
        <f t="shared" si="3"/>
        <v>2025</v>
      </c>
      <c r="X25" s="79">
        <f t="shared" si="3"/>
        <v>2026</v>
      </c>
      <c r="Y25" s="79">
        <f t="shared" si="3"/>
        <v>2027</v>
      </c>
      <c r="Z25" s="79">
        <f t="shared" si="3"/>
        <v>2028</v>
      </c>
      <c r="AA25" s="79">
        <f t="shared" si="3"/>
        <v>2029</v>
      </c>
      <c r="AB25" s="79">
        <f t="shared" si="3"/>
        <v>2030</v>
      </c>
      <c r="AC25" s="79">
        <f t="shared" si="3"/>
        <v>2031</v>
      </c>
    </row>
    <row r="26" spans="2:29" ht="15.6" x14ac:dyDescent="0.3">
      <c r="B26" s="308"/>
      <c r="K26" s="309"/>
      <c r="Q26" s="69" t="s">
        <v>616</v>
      </c>
      <c r="R26" s="69"/>
      <c r="S26" s="560">
        <v>15971.634341949975</v>
      </c>
      <c r="T26" s="560">
        <v>19829.125474541652</v>
      </c>
      <c r="U26" s="560">
        <v>24144.008065277267</v>
      </c>
      <c r="V26" s="560">
        <v>28514.286746040711</v>
      </c>
      <c r="W26" s="560">
        <v>32788.30168889997</v>
      </c>
      <c r="X26" s="560">
        <v>36930.058621146483</v>
      </c>
      <c r="Y26" s="560">
        <v>40844.263538067127</v>
      </c>
      <c r="Z26" s="560">
        <v>44465.748016040947</v>
      </c>
      <c r="AA26" s="560">
        <v>47859.329993839317</v>
      </c>
      <c r="AB26" s="560">
        <v>51086.897686528631</v>
      </c>
      <c r="AC26" s="560">
        <v>54179.892068825371</v>
      </c>
    </row>
    <row r="27" spans="2:29" ht="15.6" x14ac:dyDescent="0.3">
      <c r="B27" s="308"/>
      <c r="K27" s="309"/>
      <c r="Q27" s="69" t="s">
        <v>617</v>
      </c>
      <c r="R27" s="69"/>
      <c r="S27" s="560">
        <v>16827.932645062501</v>
      </c>
      <c r="T27" s="560">
        <v>22001.091264495088</v>
      </c>
      <c r="U27" s="560">
        <v>28006.541761710338</v>
      </c>
      <c r="V27" s="560">
        <v>34371.134374431655</v>
      </c>
      <c r="W27" s="560">
        <v>40843.409375305011</v>
      </c>
      <c r="X27" s="560">
        <v>47280.621352308997</v>
      </c>
      <c r="Y27" s="560">
        <v>53488.305157389295</v>
      </c>
      <c r="Z27" s="560">
        <v>59325.148103552303</v>
      </c>
      <c r="AA27" s="560">
        <v>64805.469368774371</v>
      </c>
      <c r="AB27" s="560">
        <v>69970.161958921235</v>
      </c>
      <c r="AC27" s="560">
        <v>74846.79072098594</v>
      </c>
    </row>
    <row r="28" spans="2:29" ht="15.6" x14ac:dyDescent="0.3">
      <c r="B28" s="308"/>
      <c r="K28" s="309"/>
      <c r="Q28" s="69" t="s">
        <v>618</v>
      </c>
      <c r="R28" s="69"/>
      <c r="S28" s="553">
        <v>15115.336038837446</v>
      </c>
      <c r="T28" s="560">
        <v>17778.600972088792</v>
      </c>
      <c r="U28" s="560">
        <v>20685.72500574118</v>
      </c>
      <c r="V28" s="560">
        <v>23510.779229258173</v>
      </c>
      <c r="W28" s="560">
        <v>26181.536039150455</v>
      </c>
      <c r="X28" s="560">
        <v>28730.970491260123</v>
      </c>
      <c r="Y28" s="560">
        <v>31117.54037058317</v>
      </c>
      <c r="Z28" s="560">
        <v>33309.001752622607</v>
      </c>
      <c r="AA28" s="560">
        <v>35385.442963889713</v>
      </c>
      <c r="AB28" s="560">
        <v>37406.382535793578</v>
      </c>
      <c r="AC28" s="560">
        <v>39393.531049941266</v>
      </c>
    </row>
    <row r="29" spans="2:29" x14ac:dyDescent="0.25">
      <c r="B29" s="308"/>
      <c r="K29" s="309"/>
    </row>
    <row r="30" spans="2:29" x14ac:dyDescent="0.25">
      <c r="B30" s="308"/>
      <c r="K30" s="309"/>
    </row>
    <row r="31" spans="2:29" x14ac:dyDescent="0.25">
      <c r="B31" s="556"/>
      <c r="C31" s="76"/>
      <c r="D31" s="76"/>
      <c r="E31" s="76"/>
      <c r="F31" s="76"/>
      <c r="G31" s="76"/>
      <c r="H31" s="76"/>
      <c r="I31" s="76"/>
      <c r="J31" s="76"/>
      <c r="K31" s="557"/>
    </row>
    <row r="34" spans="2:29" x14ac:dyDescent="0.25">
      <c r="B34" s="1" t="s">
        <v>623</v>
      </c>
    </row>
    <row r="35" spans="2:29" x14ac:dyDescent="0.25">
      <c r="B35" s="554"/>
      <c r="C35" s="13"/>
      <c r="D35" s="13"/>
      <c r="E35" s="13"/>
      <c r="F35" s="13"/>
      <c r="G35" s="13"/>
      <c r="H35" s="13"/>
      <c r="I35" s="13"/>
      <c r="J35" s="13"/>
      <c r="K35" s="555"/>
    </row>
    <row r="36" spans="2:29" x14ac:dyDescent="0.25">
      <c r="B36" s="308"/>
      <c r="K36" s="309"/>
    </row>
    <row r="37" spans="2:29" x14ac:dyDescent="0.25">
      <c r="B37" s="308"/>
      <c r="K37" s="309"/>
    </row>
    <row r="38" spans="2:29" x14ac:dyDescent="0.25">
      <c r="B38" s="308"/>
      <c r="K38" s="309"/>
    </row>
    <row r="39" spans="2:29" x14ac:dyDescent="0.25">
      <c r="B39" s="308"/>
      <c r="K39" s="309"/>
    </row>
    <row r="40" spans="2:29" x14ac:dyDescent="0.25">
      <c r="B40" s="308"/>
      <c r="K40" s="309"/>
    </row>
    <row r="41" spans="2:29" x14ac:dyDescent="0.25">
      <c r="B41" s="308"/>
      <c r="K41" s="309"/>
    </row>
    <row r="42" spans="2:29" x14ac:dyDescent="0.25">
      <c r="B42" s="308"/>
      <c r="K42" s="309"/>
    </row>
    <row r="43" spans="2:29" x14ac:dyDescent="0.25">
      <c r="B43" s="308"/>
      <c r="K43" s="309"/>
    </row>
    <row r="44" spans="2:29" ht="15.6" x14ac:dyDescent="0.3">
      <c r="B44" s="308"/>
      <c r="K44" s="309"/>
      <c r="U44" s="184"/>
      <c r="AB44" s="184"/>
      <c r="AC44" s="184"/>
    </row>
    <row r="45" spans="2:29" x14ac:dyDescent="0.25">
      <c r="B45" s="556"/>
      <c r="C45" s="76"/>
      <c r="D45" s="76"/>
      <c r="E45" s="76"/>
      <c r="F45" s="76"/>
      <c r="G45" s="76"/>
      <c r="H45" s="76"/>
      <c r="I45" s="76"/>
      <c r="J45" s="76"/>
      <c r="K45" s="557"/>
      <c r="U45" s="60"/>
      <c r="AB45" s="60"/>
      <c r="AC45" s="60"/>
    </row>
    <row r="46" spans="2:29" ht="15.6" x14ac:dyDescent="0.3">
      <c r="U46" s="560"/>
      <c r="AB46" s="551"/>
      <c r="AC46" s="551"/>
    </row>
    <row r="47" spans="2:29" ht="15.6" x14ac:dyDescent="0.3">
      <c r="U47" s="560"/>
      <c r="AB47" s="551"/>
      <c r="AC47" s="551"/>
    </row>
    <row r="48" spans="2:29" ht="15.6" x14ac:dyDescent="0.3">
      <c r="B48" s="1" t="s">
        <v>619</v>
      </c>
      <c r="U48" s="560"/>
      <c r="AB48" s="551"/>
      <c r="AC48" s="551"/>
    </row>
    <row r="49" spans="2:20" ht="15.6" x14ac:dyDescent="0.3">
      <c r="B49" s="554"/>
      <c r="C49" s="13"/>
      <c r="D49" s="13"/>
      <c r="E49" s="13"/>
      <c r="F49" s="13"/>
      <c r="G49" s="13"/>
      <c r="H49" s="13"/>
      <c r="I49" s="13"/>
      <c r="J49" s="13"/>
      <c r="K49" s="555"/>
      <c r="Q49" s="166" t="s">
        <v>597</v>
      </c>
      <c r="R49" s="183"/>
      <c r="S49" s="183"/>
      <c r="T49" s="183"/>
    </row>
    <row r="50" spans="2:20" ht="15.6" x14ac:dyDescent="0.3">
      <c r="B50" s="308"/>
      <c r="K50" s="309"/>
      <c r="Q50" s="69"/>
      <c r="R50" s="69"/>
      <c r="S50" s="78">
        <v>2020</v>
      </c>
      <c r="T50" s="79">
        <v>2031</v>
      </c>
    </row>
    <row r="51" spans="2:20" ht="15.6" x14ac:dyDescent="0.3">
      <c r="B51" s="308"/>
      <c r="K51" s="309"/>
      <c r="Q51" s="69" t="s">
        <v>103</v>
      </c>
      <c r="R51" s="69"/>
      <c r="S51" s="560">
        <f>'Financial Statements'!G26</f>
        <v>197346</v>
      </c>
      <c r="T51" s="560">
        <f>'Financial Statements'!R26</f>
        <v>400706.96067867195</v>
      </c>
    </row>
    <row r="52" spans="2:20" ht="15.6" x14ac:dyDescent="0.3">
      <c r="B52" s="308"/>
      <c r="K52" s="309"/>
      <c r="Q52" s="69" t="s">
        <v>104</v>
      </c>
      <c r="R52" s="69"/>
      <c r="S52" s="560">
        <f>'Financial Statements'!G27</f>
        <v>16227</v>
      </c>
      <c r="T52" s="560">
        <f>'Financial Statements'!R27</f>
        <v>19224.141572255488</v>
      </c>
    </row>
    <row r="53" spans="2:20" ht="15.6" x14ac:dyDescent="0.3">
      <c r="B53" s="308"/>
      <c r="K53" s="309"/>
      <c r="Q53" s="69" t="s">
        <v>105</v>
      </c>
      <c r="R53" s="69"/>
      <c r="S53" s="560">
        <f>'Financial Statements'!G28</f>
        <v>80461</v>
      </c>
      <c r="T53" s="560">
        <f>'Financial Statements'!R28</f>
        <v>260769.77748377621</v>
      </c>
    </row>
    <row r="54" spans="2:20" ht="15.6" x14ac:dyDescent="0.3">
      <c r="B54" s="308"/>
      <c r="K54" s="309"/>
      <c r="Q54" s="69" t="s">
        <v>254</v>
      </c>
      <c r="S54" s="560">
        <f>'Financial Statements'!G29</f>
        <v>25207</v>
      </c>
      <c r="T54" s="560">
        <f>'Financial Statements'!R29</f>
        <v>92127.165989364206</v>
      </c>
    </row>
    <row r="55" spans="2:20" ht="15.6" x14ac:dyDescent="0.3">
      <c r="B55" s="308"/>
      <c r="K55" s="309"/>
      <c r="Q55" s="69" t="s">
        <v>107</v>
      </c>
      <c r="S55" s="560">
        <f>'Financial Statements'!G30</f>
        <v>45370</v>
      </c>
      <c r="T55" s="560">
        <f>'Financial Statements'!R30</f>
        <v>155625.86268747927</v>
      </c>
    </row>
    <row r="56" spans="2:20" ht="15.6" x14ac:dyDescent="0.3">
      <c r="B56" s="308"/>
      <c r="K56" s="309"/>
      <c r="Q56" s="69" t="s">
        <v>108</v>
      </c>
      <c r="S56" s="560">
        <f>'Financial Statements'!G31</f>
        <v>21453</v>
      </c>
      <c r="T56" s="560">
        <f>'Financial Statements'!R31</f>
        <v>159458.47833435921</v>
      </c>
    </row>
    <row r="57" spans="2:20" x14ac:dyDescent="0.25">
      <c r="B57" s="308"/>
      <c r="K57" s="309"/>
    </row>
    <row r="58" spans="2:20" x14ac:dyDescent="0.25">
      <c r="B58" s="308"/>
      <c r="K58" s="309"/>
    </row>
    <row r="59" spans="2:20" x14ac:dyDescent="0.25">
      <c r="B59" s="556"/>
      <c r="C59" s="76"/>
      <c r="D59" s="76"/>
      <c r="E59" s="76"/>
      <c r="F59" s="76"/>
      <c r="G59" s="76"/>
      <c r="H59" s="76"/>
      <c r="I59" s="76"/>
      <c r="J59" s="76"/>
      <c r="K59" s="557"/>
    </row>
  </sheetData>
  <pageMargins left="0.7" right="0.7" top="0.75" bottom="0.75" header="0.3" footer="0.3"/>
  <pageSetup scale="41"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37E9E-4C17-4753-8066-4971419AF703}">
  <dimension ref="A1:X49"/>
  <sheetViews>
    <sheetView showGridLines="0" topLeftCell="A16" zoomScale="70" zoomScaleNormal="70" workbookViewId="0">
      <selection activeCell="F41" sqref="F41"/>
    </sheetView>
  </sheetViews>
  <sheetFormatPr defaultColWidth="12.75" defaultRowHeight="15.6" x14ac:dyDescent="0.3"/>
  <cols>
    <col min="1" max="1" width="3.375" style="69" customWidth="1"/>
    <col min="2" max="5" width="10.75" style="69" customWidth="1"/>
    <col min="6" max="6" width="17.625" style="69" bestFit="1" customWidth="1"/>
    <col min="7" max="7" width="11.75" style="69" customWidth="1"/>
    <col min="8" max="8" width="5.75" style="69" customWidth="1"/>
    <col min="9" max="15" width="10.75" style="69" customWidth="1"/>
    <col min="16" max="16" width="5.75" style="69" customWidth="1"/>
    <col min="17" max="24" width="10.75" style="69" customWidth="1"/>
    <col min="25" max="16384" width="12.75" style="69"/>
  </cols>
  <sheetData>
    <row r="1" spans="1:24" x14ac:dyDescent="0.3">
      <c r="A1" s="67" t="s">
        <v>76</v>
      </c>
      <c r="B1" s="68"/>
      <c r="C1" s="68"/>
      <c r="D1" s="68"/>
      <c r="E1" s="68"/>
      <c r="F1" s="68"/>
      <c r="G1" s="68"/>
      <c r="H1" s="68"/>
      <c r="I1" s="68"/>
      <c r="J1" s="68"/>
      <c r="K1" s="68"/>
      <c r="L1" s="68"/>
      <c r="M1" s="68"/>
      <c r="N1" s="68"/>
      <c r="O1" s="68"/>
      <c r="P1" s="68"/>
      <c r="Q1" s="68"/>
      <c r="R1" s="68"/>
      <c r="S1" s="68"/>
      <c r="T1" s="68"/>
      <c r="U1" s="68"/>
      <c r="V1" s="68"/>
      <c r="W1" s="68"/>
    </row>
    <row r="2" spans="1:24" s="117" customFormat="1" ht="20.100000000000001" customHeight="1" x14ac:dyDescent="0.3">
      <c r="A2" s="70" t="s">
        <v>460</v>
      </c>
      <c r="B2" s="116"/>
      <c r="C2" s="116"/>
      <c r="D2" s="116"/>
      <c r="E2" s="116"/>
      <c r="F2" s="116"/>
      <c r="G2" s="116"/>
      <c r="H2" s="116"/>
      <c r="I2" s="116"/>
      <c r="J2" s="116"/>
      <c r="K2" s="116"/>
      <c r="L2" s="116"/>
      <c r="M2" s="116"/>
      <c r="N2" s="116"/>
      <c r="O2" s="116"/>
      <c r="P2" s="116"/>
      <c r="Q2" s="116"/>
      <c r="R2" s="116"/>
      <c r="S2" s="116"/>
      <c r="T2" s="116"/>
      <c r="U2" s="116"/>
      <c r="V2" s="116"/>
      <c r="W2" s="116"/>
      <c r="X2" s="69"/>
    </row>
    <row r="3" spans="1:24" ht="16.5" customHeight="1" x14ac:dyDescent="0.3">
      <c r="A3" s="71" t="s">
        <v>214</v>
      </c>
      <c r="B3" s="72"/>
      <c r="C3" s="72"/>
      <c r="D3" s="72"/>
      <c r="E3" s="72"/>
      <c r="F3" s="72"/>
      <c r="G3" s="72"/>
      <c r="H3" s="72"/>
      <c r="I3" s="72"/>
      <c r="J3" s="72"/>
      <c r="K3" s="72"/>
      <c r="L3" s="72"/>
      <c r="M3" s="72"/>
      <c r="N3" s="72"/>
      <c r="O3" s="72"/>
      <c r="P3" s="72"/>
      <c r="Q3" s="72"/>
      <c r="R3" s="72"/>
      <c r="S3" s="72"/>
      <c r="T3" s="72"/>
      <c r="U3" s="72"/>
      <c r="V3" s="72"/>
      <c r="W3" s="72"/>
    </row>
    <row r="4" spans="1:24" x14ac:dyDescent="0.3">
      <c r="A4" s="73"/>
      <c r="B4" s="73"/>
      <c r="C4" s="73"/>
      <c r="F4" s="73"/>
      <c r="G4" s="73"/>
      <c r="H4" s="73"/>
      <c r="I4" s="73"/>
      <c r="J4" s="73"/>
      <c r="K4" s="73"/>
      <c r="L4" s="73"/>
      <c r="M4" s="73"/>
      <c r="N4" s="73"/>
      <c r="O4" s="73"/>
      <c r="P4" s="73"/>
      <c r="Q4" s="73"/>
    </row>
    <row r="5" spans="1:24" x14ac:dyDescent="0.3">
      <c r="B5" s="74" t="s">
        <v>261</v>
      </c>
      <c r="C5" s="74"/>
      <c r="D5" s="74"/>
      <c r="E5" s="74"/>
      <c r="F5" s="74"/>
      <c r="G5" s="74"/>
      <c r="I5" s="74" t="s">
        <v>579</v>
      </c>
      <c r="J5" s="74"/>
      <c r="K5" s="74"/>
      <c r="L5" s="74"/>
      <c r="M5" s="74"/>
      <c r="N5" s="74"/>
      <c r="O5" s="74"/>
      <c r="Q5" s="74" t="s">
        <v>300</v>
      </c>
      <c r="R5" s="74"/>
      <c r="S5" s="74"/>
      <c r="T5" s="74"/>
      <c r="U5" s="74"/>
      <c r="V5" s="74"/>
      <c r="W5" s="74"/>
    </row>
    <row r="6" spans="1:24" ht="5.25" customHeight="1" x14ac:dyDescent="0.3">
      <c r="B6" s="98"/>
      <c r="C6" s="103"/>
      <c r="D6" s="104"/>
      <c r="E6" s="104"/>
      <c r="F6" s="99"/>
      <c r="G6" s="99"/>
    </row>
    <row r="7" spans="1:24" x14ac:dyDescent="0.3">
      <c r="B7" s="99" t="s">
        <v>302</v>
      </c>
      <c r="C7" s="98"/>
      <c r="D7" s="98"/>
      <c r="E7" s="98"/>
      <c r="F7" s="98"/>
      <c r="G7" s="100" t="s">
        <v>685</v>
      </c>
      <c r="I7" s="105" t="s">
        <v>381</v>
      </c>
      <c r="J7" s="105"/>
      <c r="K7" s="105"/>
      <c r="L7" s="105"/>
      <c r="M7" s="105"/>
      <c r="N7" s="105"/>
      <c r="O7" s="105"/>
      <c r="P7" s="99"/>
      <c r="Q7" s="105" t="s">
        <v>301</v>
      </c>
      <c r="R7" s="105"/>
      <c r="S7" s="106"/>
      <c r="T7" s="105"/>
      <c r="U7" s="105"/>
      <c r="V7" s="105"/>
      <c r="W7" s="105"/>
    </row>
    <row r="8" spans="1:24" x14ac:dyDescent="0.3">
      <c r="B8" s="98"/>
      <c r="C8" s="98"/>
      <c r="D8" s="98"/>
      <c r="E8" s="98"/>
      <c r="F8" s="98"/>
      <c r="G8" s="98"/>
      <c r="P8" s="99"/>
      <c r="Q8" s="107" t="s">
        <v>683</v>
      </c>
      <c r="R8" s="69" t="s">
        <v>686</v>
      </c>
      <c r="W8" s="107">
        <v>1</v>
      </c>
    </row>
    <row r="9" spans="1:24" x14ac:dyDescent="0.3">
      <c r="B9" s="98"/>
      <c r="C9" s="98"/>
      <c r="D9" s="98"/>
      <c r="E9" s="98"/>
      <c r="F9" s="75" t="s">
        <v>259</v>
      </c>
      <c r="G9" s="474" t="s">
        <v>260</v>
      </c>
      <c r="I9" s="69" t="s">
        <v>380</v>
      </c>
      <c r="N9" s="235"/>
      <c r="O9" s="237">
        <v>0.2</v>
      </c>
      <c r="P9" s="99"/>
      <c r="Q9" s="107" t="s">
        <v>684</v>
      </c>
      <c r="R9" s="69" t="s">
        <v>688</v>
      </c>
      <c r="W9" s="107">
        <v>2</v>
      </c>
    </row>
    <row r="10" spans="1:24" x14ac:dyDescent="0.3">
      <c r="B10" s="69" t="s">
        <v>258</v>
      </c>
      <c r="F10" s="566" t="s">
        <v>678</v>
      </c>
      <c r="G10" s="468" t="s">
        <v>679</v>
      </c>
      <c r="I10" s="69" t="s">
        <v>441</v>
      </c>
      <c r="N10" s="235"/>
      <c r="O10" s="237">
        <v>0.25</v>
      </c>
      <c r="P10" s="99"/>
      <c r="Q10" s="107" t="s">
        <v>685</v>
      </c>
      <c r="R10" s="69" t="s">
        <v>687</v>
      </c>
      <c r="U10" s="107"/>
      <c r="W10" s="107">
        <v>3</v>
      </c>
    </row>
    <row r="11" spans="1:24" x14ac:dyDescent="0.3">
      <c r="B11" s="69" t="s">
        <v>137</v>
      </c>
      <c r="F11" s="567">
        <f>DATE(2021,3,20)</f>
        <v>44275</v>
      </c>
      <c r="G11" s="468" t="s">
        <v>680</v>
      </c>
      <c r="I11" s="69" t="s">
        <v>442</v>
      </c>
      <c r="O11" s="237">
        <v>0.25</v>
      </c>
      <c r="Q11" s="107" t="s">
        <v>108</v>
      </c>
      <c r="R11" s="69" t="s">
        <v>689</v>
      </c>
      <c r="W11" s="107">
        <v>4</v>
      </c>
    </row>
    <row r="12" spans="1:24" x14ac:dyDescent="0.3">
      <c r="F12" s="568"/>
      <c r="G12" s="468"/>
      <c r="P12" s="99"/>
      <c r="Q12" s="108" t="str">
        <f>+VLOOKUP($G$7,$Q$8:$W$11,1,FALSE)</f>
        <v>Bear</v>
      </c>
      <c r="R12" s="109" t="str">
        <f>+VLOOKUP($G$7,$Q$8:$W$11,2,FALSE)</f>
        <v>Base (-) 25%</v>
      </c>
      <c r="S12" s="109"/>
      <c r="T12" s="109"/>
      <c r="U12" s="109"/>
      <c r="V12" s="109"/>
      <c r="W12" s="110">
        <f>+VLOOKUP($G$7,$Q$8:$W$11,7,FALSE)</f>
        <v>3</v>
      </c>
    </row>
    <row r="13" spans="1:24" x14ac:dyDescent="0.3">
      <c r="B13" s="69" t="s">
        <v>548</v>
      </c>
      <c r="C13" s="99"/>
      <c r="D13" s="111"/>
      <c r="E13" s="111"/>
      <c r="F13" s="567">
        <f>DATE(2020,12,31)</f>
        <v>44196</v>
      </c>
      <c r="G13" s="469" t="s">
        <v>681</v>
      </c>
      <c r="H13" s="107"/>
      <c r="I13" s="105" t="s">
        <v>382</v>
      </c>
      <c r="J13" s="105"/>
      <c r="K13" s="105"/>
      <c r="L13" s="105"/>
      <c r="M13" s="105"/>
      <c r="N13" s="105"/>
      <c r="O13" s="105"/>
      <c r="P13" s="99"/>
    </row>
    <row r="14" spans="1:24" x14ac:dyDescent="0.3">
      <c r="B14" s="69" t="s">
        <v>549</v>
      </c>
      <c r="C14" s="99"/>
      <c r="D14" s="111"/>
      <c r="E14" s="111"/>
      <c r="F14" s="567">
        <f>DATE(2021,12,31)</f>
        <v>44561</v>
      </c>
      <c r="G14" s="469" t="s">
        <v>682</v>
      </c>
      <c r="I14" s="99" t="s">
        <v>4</v>
      </c>
      <c r="J14" s="99"/>
      <c r="K14" s="99"/>
      <c r="L14" s="99"/>
      <c r="M14" s="99"/>
      <c r="N14" s="99"/>
      <c r="O14" s="464">
        <f>'Raw Data'!O16</f>
        <v>0.61406673065772188</v>
      </c>
      <c r="P14" s="99"/>
      <c r="Q14" s="105" t="s">
        <v>329</v>
      </c>
      <c r="R14" s="105"/>
      <c r="S14" s="106"/>
      <c r="T14" s="105"/>
      <c r="U14" s="105"/>
      <c r="V14" s="105"/>
      <c r="W14" s="105"/>
    </row>
    <row r="15" spans="1:24" x14ac:dyDescent="0.3">
      <c r="F15" s="569"/>
      <c r="G15" s="284"/>
      <c r="H15" s="99"/>
      <c r="P15" s="99"/>
      <c r="Q15" s="107" t="s">
        <v>326</v>
      </c>
      <c r="W15" s="107">
        <v>1</v>
      </c>
    </row>
    <row r="16" spans="1:24" x14ac:dyDescent="0.3">
      <c r="B16" s="69" t="s">
        <v>560</v>
      </c>
      <c r="F16" s="570">
        <v>1000</v>
      </c>
      <c r="G16" s="471"/>
      <c r="I16" s="99" t="s">
        <v>5</v>
      </c>
      <c r="J16" s="99"/>
      <c r="K16" s="99"/>
      <c r="L16" s="99"/>
      <c r="M16" s="99"/>
      <c r="N16" s="99"/>
      <c r="O16" s="464">
        <f>'Raw Data'!O17</f>
        <v>0.14252403549504061</v>
      </c>
      <c r="P16" s="99"/>
      <c r="Q16" s="107" t="s">
        <v>327</v>
      </c>
      <c r="W16" s="107">
        <v>2</v>
      </c>
    </row>
    <row r="17" spans="2:23" x14ac:dyDescent="0.3">
      <c r="H17" s="99"/>
      <c r="I17" s="69" t="s">
        <v>6</v>
      </c>
      <c r="J17" s="99"/>
      <c r="K17" s="99"/>
      <c r="L17" s="99"/>
      <c r="M17" s="99"/>
      <c r="N17" s="99"/>
      <c r="O17" s="464">
        <f>'Raw Data'!O18</f>
        <v>0.10859610833824865</v>
      </c>
      <c r="P17" s="99"/>
      <c r="Q17" s="107" t="s">
        <v>328</v>
      </c>
      <c r="W17" s="107">
        <v>3</v>
      </c>
    </row>
    <row r="18" spans="2:23" x14ac:dyDescent="0.3">
      <c r="H18" s="99"/>
      <c r="I18" s="99" t="s">
        <v>7</v>
      </c>
      <c r="O18" s="464">
        <f>'Raw Data'!O19</f>
        <v>7.1702356058928607E-2</v>
      </c>
      <c r="P18" s="99"/>
      <c r="Q18" s="108" t="str">
        <f>VLOOKUP($G$25,$Q$15:$W$17,1,FALSE)</f>
        <v>Terminal Value: Average</v>
      </c>
      <c r="R18" s="109"/>
      <c r="S18" s="109"/>
      <c r="T18" s="109"/>
      <c r="U18" s="109"/>
      <c r="V18" s="109"/>
      <c r="W18" s="110">
        <f>VLOOKUP($G$25,$Q$15:$W$17,7,FALSE)</f>
        <v>3</v>
      </c>
    </row>
    <row r="19" spans="2:23" x14ac:dyDescent="0.3">
      <c r="B19" s="74" t="s">
        <v>303</v>
      </c>
      <c r="C19" s="74"/>
      <c r="D19" s="74"/>
      <c r="E19" s="74"/>
      <c r="F19" s="74"/>
      <c r="G19" s="74"/>
      <c r="I19" s="99" t="s">
        <v>8</v>
      </c>
      <c r="J19" s="99"/>
      <c r="K19" s="99"/>
      <c r="L19" s="99"/>
      <c r="M19" s="99"/>
      <c r="N19" s="99"/>
      <c r="O19" s="464">
        <f>'Raw Data'!O20</f>
        <v>1.8595569222613954E-2</v>
      </c>
      <c r="P19" s="99"/>
    </row>
    <row r="20" spans="2:23" x14ac:dyDescent="0.3">
      <c r="H20" s="99"/>
      <c r="I20" s="99" t="s">
        <v>580</v>
      </c>
      <c r="J20" s="99"/>
      <c r="K20" s="99"/>
      <c r="L20" s="99"/>
      <c r="M20" s="99"/>
      <c r="N20" s="99"/>
      <c r="O20" s="464">
        <f>'Raw Data'!O21</f>
        <v>8.4489344188076482E-4</v>
      </c>
      <c r="P20" s="99"/>
      <c r="Q20" s="105" t="s">
        <v>551</v>
      </c>
      <c r="R20" s="105"/>
      <c r="S20" s="106"/>
      <c r="T20" s="105"/>
      <c r="U20" s="105"/>
      <c r="V20" s="105"/>
      <c r="W20" s="105"/>
    </row>
    <row r="21" spans="2:23" x14ac:dyDescent="0.3">
      <c r="B21" s="69" t="s">
        <v>265</v>
      </c>
      <c r="F21" s="115">
        <v>0.32200000000000001</v>
      </c>
      <c r="G21" s="468"/>
      <c r="H21" s="99"/>
      <c r="P21" s="99"/>
      <c r="V21" s="75" t="s">
        <v>260</v>
      </c>
      <c r="W21" s="75" t="s">
        <v>259</v>
      </c>
    </row>
    <row r="22" spans="2:23" x14ac:dyDescent="0.3">
      <c r="B22" s="99" t="s">
        <v>313</v>
      </c>
      <c r="C22" s="99"/>
      <c r="D22" s="99"/>
      <c r="E22" s="99"/>
      <c r="F22" s="464">
        <f>AVERAGE('Financial Statements'!D324:G324)</f>
        <v>2.9971907651739387E-2</v>
      </c>
      <c r="H22" s="99"/>
      <c r="I22" s="99" t="s">
        <v>83</v>
      </c>
      <c r="J22" s="99"/>
      <c r="K22" s="99"/>
      <c r="L22" s="99"/>
      <c r="M22" s="99"/>
      <c r="N22" s="99"/>
      <c r="O22" s="464">
        <f>'Raw Data'!O23</f>
        <v>6.8477490381441616E-2</v>
      </c>
      <c r="P22" s="99"/>
      <c r="Q22" s="45" t="s">
        <v>158</v>
      </c>
      <c r="V22" s="469" t="s">
        <v>699</v>
      </c>
      <c r="W22" s="274">
        <f>IF(DCF!L47="",'Control Panel'!F28,DCF!L47)</f>
        <v>0.08</v>
      </c>
    </row>
    <row r="23" spans="2:23" ht="15.75" customHeight="1" x14ac:dyDescent="0.3">
      <c r="H23" s="99"/>
      <c r="Q23" s="91" t="s">
        <v>325</v>
      </c>
      <c r="W23" s="272">
        <f>IF(DCF!L48="",'Control Panel'!F26,DCF!L48)</f>
        <v>25</v>
      </c>
    </row>
    <row r="24" spans="2:23" x14ac:dyDescent="0.3">
      <c r="B24" s="112" t="s">
        <v>333</v>
      </c>
      <c r="H24" s="99"/>
      <c r="Q24" s="275" t="s">
        <v>380</v>
      </c>
      <c r="W24" s="588">
        <f>IF(DCF!L49="",'Control Panel'!O9,DCF!L49)</f>
        <v>0.2</v>
      </c>
    </row>
    <row r="25" spans="2:23" x14ac:dyDescent="0.3">
      <c r="B25" s="99" t="s">
        <v>318</v>
      </c>
      <c r="F25" s="154"/>
      <c r="G25" s="155" t="s">
        <v>328</v>
      </c>
      <c r="H25" s="99"/>
      <c r="I25" s="74" t="s">
        <v>383</v>
      </c>
      <c r="J25" s="74"/>
      <c r="K25" s="74"/>
      <c r="L25" s="74"/>
      <c r="M25" s="74"/>
      <c r="N25" s="74"/>
      <c r="O25" s="74"/>
      <c r="Q25" s="303" t="s">
        <v>444</v>
      </c>
      <c r="W25" s="589">
        <f>IF(DCF!L50="",'Control Panel'!O14,DCF!L50)</f>
        <v>0.61406673065772188</v>
      </c>
    </row>
    <row r="26" spans="2:23" x14ac:dyDescent="0.3">
      <c r="B26" s="69" t="s">
        <v>325</v>
      </c>
      <c r="F26" s="153">
        <v>25</v>
      </c>
      <c r="H26" s="99"/>
    </row>
    <row r="27" spans="2:23" x14ac:dyDescent="0.3">
      <c r="B27" s="69" t="s">
        <v>547</v>
      </c>
      <c r="F27" s="115">
        <v>0.04</v>
      </c>
      <c r="G27" s="470"/>
      <c r="H27" s="99"/>
      <c r="I27" s="105" t="s">
        <v>567</v>
      </c>
      <c r="J27" s="105"/>
      <c r="K27" s="105"/>
      <c r="L27" s="105"/>
      <c r="M27" s="105"/>
      <c r="N27" s="105"/>
      <c r="O27" s="105"/>
    </row>
    <row r="28" spans="2:23" x14ac:dyDescent="0.3">
      <c r="B28" s="69" t="s">
        <v>158</v>
      </c>
      <c r="F28" s="464">
        <f>WACC!R33</f>
        <v>0.08</v>
      </c>
      <c r="H28" s="99"/>
      <c r="M28" s="189" t="s">
        <v>563</v>
      </c>
      <c r="N28" s="189" t="s">
        <v>563</v>
      </c>
      <c r="O28" s="189"/>
    </row>
    <row r="29" spans="2:23" x14ac:dyDescent="0.3">
      <c r="M29" s="189" t="s">
        <v>564</v>
      </c>
      <c r="N29" s="189" t="s">
        <v>565</v>
      </c>
      <c r="O29" s="189" t="s">
        <v>566</v>
      </c>
    </row>
    <row r="30" spans="2:23" x14ac:dyDescent="0.3">
      <c r="B30" s="98" t="s">
        <v>332</v>
      </c>
      <c r="C30" s="99"/>
      <c r="D30" s="99"/>
      <c r="E30" s="99"/>
      <c r="F30" s="114" t="s">
        <v>180</v>
      </c>
      <c r="G30" s="114" t="s">
        <v>256</v>
      </c>
      <c r="I30" s="69" t="s">
        <v>562</v>
      </c>
      <c r="M30" s="465">
        <f>'Raw Data'!O27</f>
        <v>25.164336353867952</v>
      </c>
      <c r="N30" s="465">
        <f>'Raw Data'!O29</f>
        <v>84.678360064628265</v>
      </c>
      <c r="O30" s="465">
        <f>'Raw Data'!O26</f>
        <v>45.437858812150033</v>
      </c>
    </row>
    <row r="31" spans="2:23" x14ac:dyDescent="0.3">
      <c r="B31" s="99" t="s">
        <v>157</v>
      </c>
      <c r="C31" s="99"/>
      <c r="D31" s="99"/>
      <c r="E31" s="99"/>
      <c r="F31" s="115">
        <v>2.4E-2</v>
      </c>
      <c r="G31" s="115">
        <v>2.4E-2</v>
      </c>
    </row>
    <row r="32" spans="2:23" x14ac:dyDescent="0.3">
      <c r="B32" s="99" t="s">
        <v>266</v>
      </c>
      <c r="C32" s="99"/>
      <c r="D32" s="99"/>
      <c r="E32" s="99"/>
      <c r="F32" s="115">
        <v>4.5600000000000002E-2</v>
      </c>
      <c r="G32" s="115">
        <v>4.5600000000000002E-2</v>
      </c>
      <c r="I32" s="69" t="s">
        <v>285</v>
      </c>
      <c r="O32" s="466">
        <f>'Raw Data'!O30</f>
        <v>0.10695213445462684</v>
      </c>
      <c r="P32" s="238"/>
    </row>
    <row r="33" spans="2:15" x14ac:dyDescent="0.3">
      <c r="B33" s="99" t="s">
        <v>268</v>
      </c>
      <c r="C33" s="99"/>
      <c r="D33" s="99"/>
      <c r="E33" s="99"/>
      <c r="F33" s="115">
        <v>0</v>
      </c>
      <c r="G33" s="115">
        <v>0</v>
      </c>
      <c r="I33" s="69" t="s">
        <v>286</v>
      </c>
      <c r="O33" s="466">
        <f>'Raw Data'!O31</f>
        <v>2.9225070665024288E-2</v>
      </c>
    </row>
    <row r="34" spans="2:15" x14ac:dyDescent="0.3">
      <c r="B34" s="99" t="s">
        <v>155</v>
      </c>
      <c r="C34" s="99"/>
      <c r="D34" s="99"/>
      <c r="E34" s="99"/>
      <c r="F34" s="115">
        <v>0</v>
      </c>
      <c r="G34" s="115">
        <v>0</v>
      </c>
      <c r="I34" s="99" t="s">
        <v>550</v>
      </c>
      <c r="J34" s="99"/>
      <c r="K34" s="99"/>
      <c r="L34" s="99"/>
      <c r="M34" s="99"/>
      <c r="N34" s="99"/>
      <c r="O34" s="115">
        <v>0.04</v>
      </c>
    </row>
    <row r="35" spans="2:15" x14ac:dyDescent="0.3">
      <c r="B35" s="99" t="s">
        <v>269</v>
      </c>
      <c r="C35" s="99"/>
      <c r="D35" s="99"/>
      <c r="E35" s="99"/>
      <c r="F35" s="115">
        <v>0.01</v>
      </c>
      <c r="G35" s="115">
        <v>0.02</v>
      </c>
    </row>
    <row r="36" spans="2:15" x14ac:dyDescent="0.3">
      <c r="B36" s="99" t="s">
        <v>308</v>
      </c>
      <c r="C36" s="99"/>
      <c r="D36" s="99"/>
      <c r="E36" s="99"/>
      <c r="F36" s="115">
        <v>0.05</v>
      </c>
      <c r="G36" s="115">
        <v>0.1</v>
      </c>
    </row>
    <row r="37" spans="2:15" x14ac:dyDescent="0.3">
      <c r="I37" s="105" t="s">
        <v>568</v>
      </c>
      <c r="J37" s="105"/>
      <c r="K37" s="105"/>
      <c r="L37" s="105"/>
      <c r="M37" s="105"/>
      <c r="N37" s="105"/>
      <c r="O37" s="105"/>
    </row>
    <row r="38" spans="2:15" x14ac:dyDescent="0.3">
      <c r="B38" s="112" t="s">
        <v>334</v>
      </c>
      <c r="I38" s="69" t="s">
        <v>569</v>
      </c>
      <c r="O38" s="466">
        <f>'Raw Data'!O33</f>
        <v>5.8143175565243843E-2</v>
      </c>
    </row>
    <row r="39" spans="2:15" x14ac:dyDescent="0.3">
      <c r="B39" s="69" t="s">
        <v>295</v>
      </c>
      <c r="F39" s="115">
        <v>-0.15</v>
      </c>
      <c r="I39" s="69" t="s">
        <v>570</v>
      </c>
      <c r="O39" s="245">
        <v>10</v>
      </c>
    </row>
    <row r="40" spans="2:15" x14ac:dyDescent="0.3">
      <c r="B40" s="69" t="s">
        <v>294</v>
      </c>
      <c r="F40" s="115">
        <v>0</v>
      </c>
    </row>
    <row r="41" spans="2:15" x14ac:dyDescent="0.3">
      <c r="B41" s="69" t="s">
        <v>171</v>
      </c>
      <c r="F41" s="115">
        <v>0.15</v>
      </c>
    </row>
    <row r="42" spans="2:15" x14ac:dyDescent="0.3">
      <c r="I42" s="105" t="s">
        <v>571</v>
      </c>
      <c r="J42" s="105"/>
      <c r="K42" s="105"/>
      <c r="L42" s="105"/>
      <c r="M42" s="105"/>
      <c r="N42" s="105"/>
      <c r="O42" s="105"/>
    </row>
    <row r="43" spans="2:15" x14ac:dyDescent="0.3">
      <c r="N43" s="189" t="s">
        <v>572</v>
      </c>
      <c r="O43" s="189" t="s">
        <v>573</v>
      </c>
    </row>
    <row r="44" spans="2:15" x14ac:dyDescent="0.3">
      <c r="B44" s="74" t="s">
        <v>578</v>
      </c>
      <c r="C44" s="74"/>
      <c r="D44" s="74"/>
      <c r="E44" s="74"/>
      <c r="F44" s="74"/>
      <c r="G44" s="74"/>
      <c r="I44" s="69" t="s">
        <v>574</v>
      </c>
      <c r="N44" s="466">
        <f>'Raw Data'!O37</f>
        <v>3.5030414631465473E-2</v>
      </c>
      <c r="O44" s="466">
        <f>'Raw Data'!O36</f>
        <v>4.4128346354779947E-2</v>
      </c>
    </row>
    <row r="45" spans="2:15" x14ac:dyDescent="0.3">
      <c r="I45" s="69" t="s">
        <v>575</v>
      </c>
      <c r="N45" s="466">
        <f>'Raw Data'!G158</f>
        <v>2.5000000000000001E-2</v>
      </c>
      <c r="O45" s="466">
        <f>'Raw Data'!G148</f>
        <v>2.1000000000000001E-2</v>
      </c>
    </row>
    <row r="46" spans="2:15" x14ac:dyDescent="0.3">
      <c r="B46" s="69" t="s">
        <v>399</v>
      </c>
      <c r="G46" s="115">
        <v>0.1</v>
      </c>
      <c r="I46" s="69" t="s">
        <v>576</v>
      </c>
      <c r="N46" s="467">
        <f>'Raw Data'!G159</f>
        <v>11.3</v>
      </c>
      <c r="O46" s="467">
        <f>'Raw Data'!G149</f>
        <v>6.2</v>
      </c>
    </row>
    <row r="47" spans="2:15" x14ac:dyDescent="0.3">
      <c r="B47" s="69" t="s">
        <v>400</v>
      </c>
      <c r="G47" s="473">
        <f>1-G46</f>
        <v>0.9</v>
      </c>
      <c r="I47" s="69" t="s">
        <v>577</v>
      </c>
      <c r="N47" s="472">
        <v>15</v>
      </c>
      <c r="O47" s="472">
        <v>10</v>
      </c>
    </row>
    <row r="48" spans="2:15" x14ac:dyDescent="0.3">
      <c r="B48" s="7"/>
      <c r="D48" s="107"/>
      <c r="E48" s="236"/>
    </row>
    <row r="49" spans="2:7" x14ac:dyDescent="0.3">
      <c r="B49" s="69" t="s">
        <v>529</v>
      </c>
      <c r="G49" s="245">
        <v>15</v>
      </c>
    </row>
  </sheetData>
  <dataValidations count="3">
    <dataValidation type="list" allowBlank="1" showInputMessage="1" showErrorMessage="1" sqref="G25" xr:uid="{CFD782FB-576D-4903-8D72-90D1ADBB8A07}">
      <formula1>$Q$15:$Q$17</formula1>
    </dataValidation>
    <dataValidation type="list" allowBlank="1" showInputMessage="1" showErrorMessage="1" sqref="N47:O47" xr:uid="{690B2316-669A-47EB-AFFD-A918A13940F8}">
      <formula1>"1,2,3,4,5,6,7,8,9,10,11,12,13,14,15,16,17,18,19,20,21,22,23,24,25"</formula1>
    </dataValidation>
    <dataValidation type="list" allowBlank="1" showInputMessage="1" showErrorMessage="1" sqref="G7" xr:uid="{E5AA7668-4653-4FB6-A5CA-85BB9C02CC8B}">
      <formula1>Q8:Q11</formula1>
    </dataValidation>
  </dataValidations>
  <pageMargins left="0.7" right="0.7" top="0.75" bottom="0.75" header="0.3" footer="0.3"/>
  <pageSetup scale="41" orientation="portrait" r:id="rId1"/>
  <customProperties>
    <customPr name="Gui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37E0-C592-4163-8A2B-39D858AAB25A}">
  <dimension ref="A1:U345"/>
  <sheetViews>
    <sheetView showGridLines="0" zoomScale="70" zoomScaleNormal="70" workbookViewId="0">
      <pane xSplit="2" ySplit="5" topLeftCell="C20" activePane="bottomRight" state="frozen"/>
      <selection pane="topRight" activeCell="C1" sqref="C1"/>
      <selection pane="bottomLeft" activeCell="A6" sqref="A6"/>
      <selection pane="bottomRight" activeCell="M87" sqref="M87"/>
    </sheetView>
  </sheetViews>
  <sheetFormatPr defaultColWidth="9" defaultRowHeight="13.8" outlineLevelRow="1" x14ac:dyDescent="0.25"/>
  <cols>
    <col min="1" max="1" width="3.375" customWidth="1"/>
    <col min="2" max="2" width="65.75" customWidth="1"/>
    <col min="3" max="3" width="14.125" customWidth="1"/>
    <col min="4" max="4" width="16.75" bestFit="1" customWidth="1"/>
    <col min="5" max="5" width="12.375" bestFit="1" customWidth="1"/>
    <col min="6" max="7" width="12.875" bestFit="1" customWidth="1"/>
    <col min="8" max="8" width="15.125" customWidth="1"/>
    <col min="9" max="9" width="12.875" bestFit="1" customWidth="1"/>
    <col min="10" max="10" width="12.375" bestFit="1" customWidth="1"/>
    <col min="11" max="11" width="12.875" bestFit="1" customWidth="1"/>
    <col min="12" max="12" width="14.25" bestFit="1" customWidth="1"/>
    <col min="13" max="13" width="13.875" bestFit="1" customWidth="1"/>
    <col min="14" max="15" width="14.625" bestFit="1" customWidth="1"/>
    <col min="16" max="16" width="14.25" bestFit="1" customWidth="1"/>
    <col min="17" max="17" width="14.625" customWidth="1"/>
    <col min="18" max="18" width="15.625" customWidth="1"/>
    <col min="19" max="19" width="13.375" customWidth="1"/>
    <col min="20" max="20" width="12.125" customWidth="1"/>
    <col min="21" max="21" width="27.75" customWidth="1"/>
  </cols>
  <sheetData>
    <row r="1" spans="1:20" x14ac:dyDescent="0.25">
      <c r="A1" s="67" t="s">
        <v>76</v>
      </c>
      <c r="B1" s="2"/>
      <c r="C1" s="17"/>
      <c r="D1" s="17"/>
      <c r="E1" s="17"/>
      <c r="F1" s="17"/>
      <c r="G1" s="17"/>
      <c r="H1" s="17"/>
      <c r="I1" s="17"/>
      <c r="J1" s="43"/>
      <c r="K1" s="44"/>
      <c r="L1" s="17"/>
      <c r="M1" s="43"/>
      <c r="N1" s="44"/>
      <c r="O1" s="17"/>
      <c r="P1" s="17"/>
      <c r="Q1" s="17"/>
      <c r="R1" s="17"/>
    </row>
    <row r="2" spans="1:20" ht="18" x14ac:dyDescent="0.35">
      <c r="A2" s="70" t="s">
        <v>459</v>
      </c>
      <c r="B2" s="3"/>
      <c r="C2" s="17"/>
      <c r="D2" s="17"/>
      <c r="E2" s="17"/>
      <c r="F2" s="17"/>
      <c r="G2" s="17"/>
      <c r="H2" s="17"/>
      <c r="I2" s="17"/>
      <c r="J2" s="17"/>
      <c r="K2" s="17"/>
      <c r="L2" s="17"/>
      <c r="M2" s="17"/>
      <c r="N2" s="17"/>
      <c r="O2" s="17"/>
      <c r="P2" s="17"/>
      <c r="Q2" s="17"/>
      <c r="R2" s="17"/>
    </row>
    <row r="3" spans="1:20" x14ac:dyDescent="0.25">
      <c r="A3" s="71" t="s">
        <v>214</v>
      </c>
      <c r="B3" s="4"/>
      <c r="C3" s="17"/>
      <c r="D3" s="17"/>
      <c r="E3" s="17"/>
      <c r="F3" s="17"/>
      <c r="G3" s="17"/>
      <c r="H3" s="17"/>
      <c r="I3" s="17"/>
      <c r="J3" s="17"/>
      <c r="K3" s="17"/>
      <c r="L3" s="17"/>
      <c r="M3" s="17"/>
      <c r="N3" s="17"/>
      <c r="O3" s="17"/>
      <c r="P3" s="17"/>
      <c r="Q3" s="17"/>
      <c r="R3" s="17"/>
    </row>
    <row r="4" spans="1:20" x14ac:dyDescent="0.25">
      <c r="B4" s="1"/>
      <c r="C4" s="28"/>
      <c r="D4" s="28"/>
      <c r="E4" s="27"/>
      <c r="F4" s="27"/>
      <c r="G4" s="27"/>
    </row>
    <row r="5" spans="1:20" x14ac:dyDescent="0.25">
      <c r="B5" s="77"/>
      <c r="C5" s="78">
        <f>YEAR(C9)</f>
        <v>2016</v>
      </c>
      <c r="D5" s="78">
        <f t="shared" ref="D5:R5" si="0">YEAR(D9)</f>
        <v>2017</v>
      </c>
      <c r="E5" s="78">
        <f t="shared" si="0"/>
        <v>2018</v>
      </c>
      <c r="F5" s="78">
        <f t="shared" si="0"/>
        <v>2019</v>
      </c>
      <c r="G5" s="78">
        <f t="shared" si="0"/>
        <v>2020</v>
      </c>
      <c r="H5" s="79">
        <f t="shared" si="0"/>
        <v>2021</v>
      </c>
      <c r="I5" s="79">
        <f t="shared" si="0"/>
        <v>2022</v>
      </c>
      <c r="J5" s="79">
        <f t="shared" si="0"/>
        <v>2023</v>
      </c>
      <c r="K5" s="79">
        <f t="shared" si="0"/>
        <v>2024</v>
      </c>
      <c r="L5" s="79">
        <f t="shared" si="0"/>
        <v>2025</v>
      </c>
      <c r="M5" s="79">
        <f t="shared" si="0"/>
        <v>2026</v>
      </c>
      <c r="N5" s="79">
        <f t="shared" si="0"/>
        <v>2027</v>
      </c>
      <c r="O5" s="79">
        <f t="shared" si="0"/>
        <v>2028</v>
      </c>
      <c r="P5" s="79">
        <f t="shared" si="0"/>
        <v>2029</v>
      </c>
      <c r="Q5" s="79">
        <f t="shared" si="0"/>
        <v>2030</v>
      </c>
      <c r="R5" s="79">
        <f t="shared" si="0"/>
        <v>2031</v>
      </c>
    </row>
    <row r="6" spans="1:20" ht="5.4" customHeight="1" x14ac:dyDescent="0.25">
      <c r="B6" s="58"/>
      <c r="C6" s="59"/>
      <c r="D6" s="59"/>
      <c r="E6" s="59"/>
      <c r="F6" s="59"/>
      <c r="G6" s="59"/>
      <c r="H6" s="60"/>
      <c r="I6" s="60"/>
      <c r="J6" s="60"/>
      <c r="K6" s="60"/>
      <c r="L6" s="60"/>
      <c r="M6" s="60"/>
      <c r="N6" s="60"/>
      <c r="O6" s="60"/>
      <c r="P6" s="60"/>
      <c r="Q6" s="60"/>
      <c r="R6" s="60"/>
    </row>
    <row r="7" spans="1:20" outlineLevel="1" x14ac:dyDescent="0.25">
      <c r="B7" s="218" t="s">
        <v>89</v>
      </c>
      <c r="C7" s="218"/>
      <c r="D7" s="218"/>
      <c r="E7" s="218"/>
      <c r="F7" s="218"/>
      <c r="G7" s="218"/>
      <c r="H7" s="218"/>
      <c r="I7" s="218"/>
      <c r="J7" s="218"/>
      <c r="K7" s="218"/>
      <c r="L7" s="218"/>
      <c r="M7" s="218"/>
      <c r="N7" s="218"/>
      <c r="O7" s="218"/>
      <c r="P7" s="218"/>
      <c r="Q7" s="218"/>
      <c r="R7" s="218"/>
    </row>
    <row r="8" spans="1:20" outlineLevel="1" x14ac:dyDescent="0.25">
      <c r="B8" t="s">
        <v>90</v>
      </c>
      <c r="C8" s="22">
        <f>DATE(YEAR(C9)-1,MONTH(C9),DAY(C9)+1)</f>
        <v>42370</v>
      </c>
      <c r="D8" s="22">
        <f t="shared" ref="D8:R8" si="1">DATE(YEAR(D9)-1,MONTH(D9),DAY(D9)+1)</f>
        <v>42736</v>
      </c>
      <c r="E8" s="22">
        <f t="shared" si="1"/>
        <v>43101</v>
      </c>
      <c r="F8" s="22">
        <f t="shared" si="1"/>
        <v>43466</v>
      </c>
      <c r="G8" s="22">
        <f t="shared" si="1"/>
        <v>43831</v>
      </c>
      <c r="H8" s="22">
        <f t="shared" si="1"/>
        <v>44197</v>
      </c>
      <c r="I8" s="22">
        <f t="shared" si="1"/>
        <v>44562</v>
      </c>
      <c r="J8" s="22">
        <f t="shared" si="1"/>
        <v>44927</v>
      </c>
      <c r="K8" s="22">
        <f t="shared" si="1"/>
        <v>45292</v>
      </c>
      <c r="L8" s="22">
        <f t="shared" si="1"/>
        <v>45658</v>
      </c>
      <c r="M8" s="22">
        <f t="shared" si="1"/>
        <v>46023</v>
      </c>
      <c r="N8" s="22">
        <f t="shared" si="1"/>
        <v>46388</v>
      </c>
      <c r="O8" s="22">
        <f t="shared" si="1"/>
        <v>46753</v>
      </c>
      <c r="P8" s="22">
        <f t="shared" si="1"/>
        <v>47119</v>
      </c>
      <c r="Q8" s="22">
        <f t="shared" si="1"/>
        <v>47484</v>
      </c>
      <c r="R8" s="22">
        <f t="shared" si="1"/>
        <v>47849</v>
      </c>
      <c r="T8" s="22"/>
    </row>
    <row r="9" spans="1:20" outlineLevel="1" x14ac:dyDescent="0.25">
      <c r="B9" t="s">
        <v>92</v>
      </c>
      <c r="C9" s="22">
        <f t="shared" ref="C9:E9" si="2">DATE(YEAR(D9)-1,MONTH(D9),DAY(D9))</f>
        <v>42735</v>
      </c>
      <c r="D9" s="22">
        <f t="shared" si="2"/>
        <v>43100</v>
      </c>
      <c r="E9" s="22">
        <f t="shared" si="2"/>
        <v>43465</v>
      </c>
      <c r="F9" s="22">
        <f>DATE(YEAR(G9)-1,MONTH(G9),DAY(G9))</f>
        <v>43830</v>
      </c>
      <c r="G9" s="431">
        <f>_YEdate_Before</f>
        <v>44196</v>
      </c>
      <c r="H9" s="22">
        <f>_YEdate_After</f>
        <v>44561</v>
      </c>
      <c r="I9" s="22">
        <f>DATE(YEAR(H9)+1,MONTH(H9),DAY(H9))</f>
        <v>44926</v>
      </c>
      <c r="J9" s="22">
        <f t="shared" ref="J9:R9" si="3">DATE(YEAR(I9)+1,MONTH(I9),DAY(I9))</f>
        <v>45291</v>
      </c>
      <c r="K9" s="22">
        <f t="shared" si="3"/>
        <v>45657</v>
      </c>
      <c r="L9" s="22">
        <f t="shared" si="3"/>
        <v>46022</v>
      </c>
      <c r="M9" s="22">
        <f t="shared" si="3"/>
        <v>46387</v>
      </c>
      <c r="N9" s="22">
        <f t="shared" si="3"/>
        <v>46752</v>
      </c>
      <c r="O9" s="22">
        <f t="shared" si="3"/>
        <v>47118</v>
      </c>
      <c r="P9" s="22">
        <f t="shared" si="3"/>
        <v>47483</v>
      </c>
      <c r="Q9" s="22">
        <f t="shared" si="3"/>
        <v>47848</v>
      </c>
      <c r="R9" s="22">
        <f t="shared" si="3"/>
        <v>48213</v>
      </c>
    </row>
    <row r="10" spans="1:20" outlineLevel="1" x14ac:dyDescent="0.25">
      <c r="B10" t="s">
        <v>91</v>
      </c>
      <c r="C10">
        <f>C9-C8+1</f>
        <v>366</v>
      </c>
      <c r="D10">
        <f t="shared" ref="D10:R10" si="4">D9-D8+1</f>
        <v>365</v>
      </c>
      <c r="E10">
        <f t="shared" si="4"/>
        <v>365</v>
      </c>
      <c r="F10">
        <f t="shared" si="4"/>
        <v>365</v>
      </c>
      <c r="G10">
        <f t="shared" si="4"/>
        <v>366</v>
      </c>
      <c r="H10">
        <f t="shared" si="4"/>
        <v>365</v>
      </c>
      <c r="I10">
        <f t="shared" si="4"/>
        <v>365</v>
      </c>
      <c r="J10">
        <f t="shared" si="4"/>
        <v>365</v>
      </c>
      <c r="K10">
        <f t="shared" si="4"/>
        <v>366</v>
      </c>
      <c r="L10">
        <f t="shared" si="4"/>
        <v>365</v>
      </c>
      <c r="M10">
        <f t="shared" si="4"/>
        <v>365</v>
      </c>
      <c r="N10">
        <f t="shared" si="4"/>
        <v>365</v>
      </c>
      <c r="O10">
        <f t="shared" si="4"/>
        <v>366</v>
      </c>
      <c r="P10">
        <f t="shared" si="4"/>
        <v>365</v>
      </c>
      <c r="Q10">
        <f t="shared" si="4"/>
        <v>365</v>
      </c>
      <c r="R10">
        <f t="shared" si="4"/>
        <v>365</v>
      </c>
    </row>
    <row r="11" spans="1:20" x14ac:dyDescent="0.25">
      <c r="B11" s="218" t="s">
        <v>211</v>
      </c>
      <c r="C11" s="218"/>
      <c r="D11" s="218"/>
      <c r="E11" s="218"/>
      <c r="F11" s="218"/>
      <c r="G11" s="218"/>
      <c r="H11" s="218"/>
      <c r="I11" s="218"/>
      <c r="J11" s="218"/>
      <c r="K11" s="218"/>
      <c r="L11" s="218"/>
      <c r="M11" s="218"/>
      <c r="N11" s="218"/>
      <c r="O11" s="218"/>
      <c r="P11" s="218"/>
      <c r="Q11" s="218"/>
      <c r="R11" s="218"/>
    </row>
    <row r="12" spans="1:20" outlineLevel="1" x14ac:dyDescent="0.25">
      <c r="B12" s="1" t="s">
        <v>109</v>
      </c>
    </row>
    <row r="13" spans="1:20" outlineLevel="1" x14ac:dyDescent="0.25">
      <c r="B13" t="s">
        <v>103</v>
      </c>
      <c r="C13" s="475"/>
      <c r="D13" s="424">
        <f>'Raw Data'!K8</f>
        <v>0.18509039603635524</v>
      </c>
      <c r="E13" s="424">
        <f>'Raw Data'!L8</f>
        <v>0.13504808313490968</v>
      </c>
      <c r="F13" s="424">
        <f>'Raw Data'!M8</f>
        <v>0.14847097660728359</v>
      </c>
      <c r="G13" s="424">
        <f>'Raw Data'!N8</f>
        <v>0.39716949740525465</v>
      </c>
      <c r="H13" s="345">
        <f>Scenarios!H14</f>
        <v>0.16233355372196309</v>
      </c>
      <c r="I13" s="345">
        <f>Scenarios!I14</f>
        <v>0.12986684297757048</v>
      </c>
      <c r="J13" s="345">
        <f>Scenarios!J14</f>
        <v>0.1038934743820564</v>
      </c>
      <c r="K13" s="345">
        <f>Scenarios!K14</f>
        <v>8.3114779505645123E-2</v>
      </c>
      <c r="L13" s="345">
        <f>Scenarios!L14</f>
        <v>6.6491823604516109E-2</v>
      </c>
      <c r="M13" s="345">
        <f>Scenarios!M14</f>
        <v>5.3193458883612876E-2</v>
      </c>
      <c r="N13" s="345">
        <f>Scenarios!N14</f>
        <v>4.2554767106890309E-2</v>
      </c>
      <c r="O13" s="345">
        <f>Scenarios!O14</f>
        <v>3.404381368551225E-2</v>
      </c>
      <c r="P13" s="345">
        <f>Scenarios!P14</f>
        <v>2.7235050948409799E-2</v>
      </c>
      <c r="Q13" s="345">
        <f>Scenarios!Q14</f>
        <v>2.1788040758727843E-2</v>
      </c>
      <c r="R13" s="345">
        <f>Scenarios!R14</f>
        <v>1.7430432606982276E-2</v>
      </c>
    </row>
    <row r="14" spans="1:20" outlineLevel="1" x14ac:dyDescent="0.25">
      <c r="B14" t="s">
        <v>104</v>
      </c>
      <c r="C14" s="475"/>
      <c r="D14" s="424" t="str">
        <f>'Raw Data'!K9</f>
        <v>na</v>
      </c>
      <c r="E14" s="424">
        <f>'Raw Data'!L9</f>
        <v>1.9706795446705763</v>
      </c>
      <c r="F14" s="424">
        <f>'Raw Data'!M9</f>
        <v>-1.8578727357175806E-3</v>
      </c>
      <c r="G14" s="424">
        <f>'Raw Data'!N9</f>
        <v>-5.6130758492321964E-2</v>
      </c>
      <c r="H14" s="345">
        <f>Scenarios!H15</f>
        <v>3.7500000000000006E-2</v>
      </c>
      <c r="I14" s="345">
        <f>Scenarios!I15</f>
        <v>3.0000000000000006E-2</v>
      </c>
      <c r="J14" s="345">
        <f>Scenarios!J15</f>
        <v>2.4000000000000007E-2</v>
      </c>
      <c r="K14" s="345">
        <f>Scenarios!K15</f>
        <v>1.9200000000000005E-2</v>
      </c>
      <c r="L14" s="345">
        <f>Scenarios!L15</f>
        <v>1.5360000000000006E-2</v>
      </c>
      <c r="M14" s="345">
        <f>Scenarios!M15</f>
        <v>1.2288000000000004E-2</v>
      </c>
      <c r="N14" s="345">
        <f>Scenarios!N15</f>
        <v>9.8304000000000048E-3</v>
      </c>
      <c r="O14" s="345">
        <f>Scenarios!O15</f>
        <v>7.8643200000000045E-3</v>
      </c>
      <c r="P14" s="345">
        <f>Scenarios!P15</f>
        <v>6.2914560000000026E-3</v>
      </c>
      <c r="Q14" s="345">
        <f>Scenarios!Q15</f>
        <v>5.0331648000000026E-3</v>
      </c>
      <c r="R14" s="345">
        <f>Scenarios!R15</f>
        <v>4.0265318400000026E-3</v>
      </c>
    </row>
    <row r="15" spans="1:20" outlineLevel="1" x14ac:dyDescent="0.25">
      <c r="B15" t="s">
        <v>105</v>
      </c>
      <c r="C15" s="475"/>
      <c r="D15" s="424">
        <f>'Raw Data'!K10</f>
        <v>0.38655242900013054</v>
      </c>
      <c r="E15" s="424">
        <f>'Raw Data'!L10</f>
        <v>0.34076722812960702</v>
      </c>
      <c r="F15" s="424">
        <f>'Raw Data'!M10</f>
        <v>0.25773774710492448</v>
      </c>
      <c r="G15" s="424">
        <f>'Raw Data'!N10</f>
        <v>0.49661470927420859</v>
      </c>
      <c r="H15" s="345">
        <f>Scenarios!H16</f>
        <v>0.27781352128291326</v>
      </c>
      <c r="I15" s="345">
        <f>Scenarios!I16</f>
        <v>0.22225081702633059</v>
      </c>
      <c r="J15" s="345">
        <f>Scenarios!J16</f>
        <v>0.17780065362106448</v>
      </c>
      <c r="K15" s="345">
        <f>Scenarios!K16</f>
        <v>0.1422405228968516</v>
      </c>
      <c r="L15" s="345">
        <f>Scenarios!L16</f>
        <v>0.11379241831748128</v>
      </c>
      <c r="M15" s="345">
        <f>Scenarios!M16</f>
        <v>9.103393465398503E-2</v>
      </c>
      <c r="N15" s="345">
        <f>Scenarios!N16</f>
        <v>7.2827147723188032E-2</v>
      </c>
      <c r="O15" s="345">
        <f>Scenarios!O16</f>
        <v>5.8261718178550428E-2</v>
      </c>
      <c r="P15" s="345">
        <f>Scenarios!P16</f>
        <v>4.6609374542840344E-2</v>
      </c>
      <c r="Q15" s="345">
        <f>Scenarios!Q16</f>
        <v>3.7287499634272275E-2</v>
      </c>
      <c r="R15" s="345">
        <f>Scenarios!R16</f>
        <v>2.9829999707417822E-2</v>
      </c>
    </row>
    <row r="16" spans="1:20" outlineLevel="1" x14ac:dyDescent="0.25">
      <c r="B16" t="s">
        <v>106</v>
      </c>
      <c r="C16" s="475"/>
      <c r="D16" s="424">
        <f>'Raw Data'!K11</f>
        <v>0.52033156083828591</v>
      </c>
      <c r="E16" s="424">
        <f>'Raw Data'!L11</f>
        <v>0.45746322394815353</v>
      </c>
      <c r="F16" s="424">
        <f>'Raw Data'!M11</f>
        <v>0.35587238848108416</v>
      </c>
      <c r="G16" s="424">
        <f>'Raw Data'!N11</f>
        <v>0.31218115564810001</v>
      </c>
      <c r="H16" s="345">
        <f>Scenarios!H17</f>
        <v>0.30859656167167943</v>
      </c>
      <c r="I16" s="345">
        <f>Scenarios!I17</f>
        <v>0.24687724933734356</v>
      </c>
      <c r="J16" s="345">
        <f>Scenarios!J17</f>
        <v>0.19750179946987484</v>
      </c>
      <c r="K16" s="345">
        <f>Scenarios!K17</f>
        <v>0.15800143957589988</v>
      </c>
      <c r="L16" s="345">
        <f>Scenarios!L17</f>
        <v>0.12640115166071991</v>
      </c>
      <c r="M16" s="345">
        <f>Scenarios!M17</f>
        <v>0.10112092132857595</v>
      </c>
      <c r="N16" s="345">
        <f>Scenarios!N17</f>
        <v>8.0896737062860755E-2</v>
      </c>
      <c r="O16" s="345">
        <f>Scenarios!O17</f>
        <v>6.4717389650288615E-2</v>
      </c>
      <c r="P16" s="345">
        <f>Scenarios!P17</f>
        <v>5.1773911720230895E-2</v>
      </c>
      <c r="Q16" s="345">
        <f>Scenarios!Q17</f>
        <v>4.1419129376184721E-2</v>
      </c>
      <c r="R16" s="345">
        <f>Scenarios!R17</f>
        <v>3.3135303500947774E-2</v>
      </c>
    </row>
    <row r="17" spans="2:21" outlineLevel="1" x14ac:dyDescent="0.25">
      <c r="B17" t="s">
        <v>107</v>
      </c>
      <c r="C17" s="475"/>
      <c r="D17" s="424">
        <f>'Raw Data'!K12</f>
        <v>0.42884033063262139</v>
      </c>
      <c r="E17" s="424">
        <f>'Raw Data'!L12</f>
        <v>0.46944269431238905</v>
      </c>
      <c r="F17" s="424">
        <f>'Raw Data'!M12</f>
        <v>0.36526992788930035</v>
      </c>
      <c r="G17" s="424">
        <f>'Raw Data'!N12</f>
        <v>0.29532347399074976</v>
      </c>
      <c r="H17" s="345">
        <f>Scenarios!H18</f>
        <v>0.29228933002969887</v>
      </c>
      <c r="I17" s="345">
        <f>Scenarios!I18</f>
        <v>0.23383146402375909</v>
      </c>
      <c r="J17" s="345">
        <f>Scenarios!J18</f>
        <v>0.18706517121900729</v>
      </c>
      <c r="K17" s="345">
        <f>Scenarios!K18</f>
        <v>0.14965213697520585</v>
      </c>
      <c r="L17" s="345">
        <f>Scenarios!L18</f>
        <v>0.11972170958016468</v>
      </c>
      <c r="M17" s="345">
        <f>Scenarios!M18</f>
        <v>9.5777367664131752E-2</v>
      </c>
      <c r="N17" s="345">
        <f>Scenarios!N18</f>
        <v>7.6621894131305407E-2</v>
      </c>
      <c r="O17" s="345">
        <f>Scenarios!O18</f>
        <v>6.1297515305044334E-2</v>
      </c>
      <c r="P17" s="345">
        <f>Scenarios!P18</f>
        <v>4.9038012244035471E-2</v>
      </c>
      <c r="Q17" s="345">
        <f>Scenarios!Q18</f>
        <v>3.9230409795228377E-2</v>
      </c>
      <c r="R17" s="345">
        <f>Scenarios!R18</f>
        <v>3.1384327836182703E-2</v>
      </c>
    </row>
    <row r="18" spans="2:21" outlineLevel="1" x14ac:dyDescent="0.25">
      <c r="B18" t="s">
        <v>108</v>
      </c>
      <c r="C18" s="475"/>
      <c r="D18" s="424">
        <f>'Raw Data'!K13</f>
        <v>0.57728813559322023</v>
      </c>
      <c r="E18" s="424">
        <f>'Raw Data'!L13</f>
        <v>1.1723619170427679</v>
      </c>
      <c r="F18" s="424">
        <f>'Raw Data'!M13</f>
        <v>0.39345073209339132</v>
      </c>
      <c r="G18" s="424">
        <f>'Raw Data'!N13</f>
        <v>0.5231096911608093</v>
      </c>
      <c r="H18" s="345">
        <f>Scenarios!H19</f>
        <v>0.49991446422941044</v>
      </c>
      <c r="I18" s="345">
        <f>Scenarios!I19</f>
        <v>0.39993157138352831</v>
      </c>
      <c r="J18" s="345">
        <f>Scenarios!J19</f>
        <v>0.3199452571068227</v>
      </c>
      <c r="K18" s="345">
        <f>Scenarios!K19</f>
        <v>0.25595620568545818</v>
      </c>
      <c r="L18" s="345">
        <f>Scenarios!L19</f>
        <v>0.20476496454836651</v>
      </c>
      <c r="M18" s="345">
        <f>Scenarios!M19</f>
        <v>0.16381197163869324</v>
      </c>
      <c r="N18" s="345">
        <f>Scenarios!N19</f>
        <v>0.1310495773109546</v>
      </c>
      <c r="O18" s="345">
        <f>Scenarios!O19</f>
        <v>0.10483966184876367</v>
      </c>
      <c r="P18" s="345">
        <f>Scenarios!P19</f>
        <v>8.3871729479010948E-2</v>
      </c>
      <c r="Q18" s="345">
        <f>Scenarios!Q19</f>
        <v>6.7097383583208756E-2</v>
      </c>
      <c r="R18" s="345">
        <f>Scenarios!R19</f>
        <v>5.367790686656701E-2</v>
      </c>
    </row>
    <row r="19" spans="2:21" outlineLevel="1" x14ac:dyDescent="0.25">
      <c r="B19" s="11" t="s">
        <v>2</v>
      </c>
      <c r="C19" s="9"/>
      <c r="D19" s="19">
        <f>D32/C32-1</f>
        <v>0.30796326119408479</v>
      </c>
      <c r="E19" s="19">
        <f t="shared" ref="E19:R19" si="5">E32/D32-1</f>
        <v>0.3093396152159491</v>
      </c>
      <c r="F19" s="19">
        <f t="shared" si="5"/>
        <v>0.20454125820676983</v>
      </c>
      <c r="G19" s="19">
        <f t="shared" si="5"/>
        <v>0.37623430604373276</v>
      </c>
      <c r="H19" s="19">
        <f t="shared" si="5"/>
        <v>0.22473519717813106</v>
      </c>
      <c r="I19" s="19">
        <f t="shared" si="5"/>
        <v>0.1858332273827592</v>
      </c>
      <c r="J19" s="19">
        <f t="shared" si="5"/>
        <v>0.15294218347015898</v>
      </c>
      <c r="K19" s="19">
        <f t="shared" si="5"/>
        <v>0.12533832449177207</v>
      </c>
      <c r="L19" s="19">
        <f t="shared" si="5"/>
        <v>0.10232723474149164</v>
      </c>
      <c r="M19" s="19">
        <f t="shared" si="5"/>
        <v>8.3262035790077515E-2</v>
      </c>
      <c r="N19" s="19">
        <f t="shared" si="5"/>
        <v>6.7552929020886054E-2</v>
      </c>
      <c r="O19" s="19">
        <f t="shared" si="5"/>
        <v>5.4672015748233882E-2</v>
      </c>
      <c r="P19" s="19">
        <f t="shared" si="5"/>
        <v>4.4154688470013248E-2</v>
      </c>
      <c r="Q19" s="19">
        <f t="shared" si="5"/>
        <v>3.5598231679125458E-2</v>
      </c>
      <c r="R19" s="19">
        <f t="shared" si="5"/>
        <v>2.8658264474801909E-2</v>
      </c>
    </row>
    <row r="20" spans="2:21" outlineLevel="1" x14ac:dyDescent="0.25">
      <c r="B20" s="1"/>
      <c r="C20" s="28"/>
      <c r="D20" s="430"/>
      <c r="E20" s="430"/>
      <c r="F20" s="430"/>
      <c r="G20" s="430"/>
      <c r="H20" s="550"/>
      <c r="I20" s="430"/>
      <c r="J20" s="430"/>
      <c r="K20" s="430"/>
      <c r="L20" s="430"/>
      <c r="M20" s="430"/>
      <c r="N20" s="430"/>
      <c r="O20" s="430"/>
      <c r="P20" s="430"/>
      <c r="Q20" s="430"/>
      <c r="R20" s="430"/>
    </row>
    <row r="21" spans="2:21" outlineLevel="1" x14ac:dyDescent="0.25">
      <c r="B21" s="1"/>
      <c r="C21" s="28"/>
      <c r="D21" s="28"/>
      <c r="E21" s="27"/>
      <c r="F21" s="27"/>
      <c r="G21" s="27"/>
    </row>
    <row r="22" spans="2:21" x14ac:dyDescent="0.25">
      <c r="B22" s="218" t="s">
        <v>78</v>
      </c>
      <c r="C22" s="218"/>
      <c r="D22" s="218"/>
      <c r="E22" s="218"/>
      <c r="F22" s="218"/>
      <c r="G22" s="218"/>
      <c r="H22" s="218"/>
      <c r="I22" s="218"/>
      <c r="J22" s="218"/>
      <c r="K22" s="218"/>
      <c r="L22" s="218"/>
      <c r="M22" s="218"/>
      <c r="N22" s="218"/>
      <c r="O22" s="218"/>
      <c r="P22" s="218"/>
      <c r="Q22" s="218"/>
      <c r="R22" s="218"/>
      <c r="S22" s="7"/>
      <c r="T22" s="7"/>
      <c r="U22" s="7"/>
    </row>
    <row r="23" spans="2:21" outlineLevel="1" x14ac:dyDescent="0.25">
      <c r="B23" s="76"/>
      <c r="C23" s="78">
        <f>C5</f>
        <v>2016</v>
      </c>
      <c r="D23" s="78">
        <f t="shared" ref="D23:R23" si="6">D5</f>
        <v>2017</v>
      </c>
      <c r="E23" s="78">
        <f t="shared" si="6"/>
        <v>2018</v>
      </c>
      <c r="F23" s="78">
        <f t="shared" si="6"/>
        <v>2019</v>
      </c>
      <c r="G23" s="78">
        <f t="shared" si="6"/>
        <v>2020</v>
      </c>
      <c r="H23" s="79">
        <f t="shared" si="6"/>
        <v>2021</v>
      </c>
      <c r="I23" s="79">
        <f t="shared" si="6"/>
        <v>2022</v>
      </c>
      <c r="J23" s="79">
        <f t="shared" si="6"/>
        <v>2023</v>
      </c>
      <c r="K23" s="79">
        <f t="shared" si="6"/>
        <v>2024</v>
      </c>
      <c r="L23" s="79">
        <f t="shared" si="6"/>
        <v>2025</v>
      </c>
      <c r="M23" s="79">
        <f t="shared" si="6"/>
        <v>2026</v>
      </c>
      <c r="N23" s="79">
        <f t="shared" si="6"/>
        <v>2027</v>
      </c>
      <c r="O23" s="79">
        <f t="shared" si="6"/>
        <v>2028</v>
      </c>
      <c r="P23" s="79">
        <f t="shared" si="6"/>
        <v>2029</v>
      </c>
      <c r="Q23" s="79">
        <f t="shared" si="6"/>
        <v>2030</v>
      </c>
      <c r="R23" s="79">
        <f t="shared" si="6"/>
        <v>2031</v>
      </c>
    </row>
    <row r="24" spans="2:21" ht="5.4" customHeight="1" outlineLevel="1" x14ac:dyDescent="0.25">
      <c r="C24" s="59"/>
      <c r="D24" s="59"/>
      <c r="E24" s="59"/>
      <c r="F24" s="59"/>
      <c r="G24" s="59"/>
      <c r="H24" s="60"/>
      <c r="I24" s="60"/>
      <c r="J24" s="60"/>
      <c r="K24" s="60"/>
      <c r="L24" s="60"/>
      <c r="M24" s="60"/>
      <c r="N24" s="60"/>
      <c r="O24" s="60"/>
      <c r="P24" s="60"/>
      <c r="Q24" s="60"/>
      <c r="R24" s="60"/>
    </row>
    <row r="25" spans="2:21" outlineLevel="1" x14ac:dyDescent="0.25">
      <c r="B25" s="1" t="s">
        <v>102</v>
      </c>
      <c r="R25" s="457"/>
    </row>
    <row r="26" spans="2:21" outlineLevel="1" x14ac:dyDescent="0.25">
      <c r="B26" t="s">
        <v>103</v>
      </c>
      <c r="C26" s="425">
        <f>'Raw Data'!C8</f>
        <v>91431</v>
      </c>
      <c r="D26" s="425">
        <f>'Raw Data'!D8</f>
        <v>108354</v>
      </c>
      <c r="E26" s="425">
        <f>'Raw Data'!E8</f>
        <v>122987</v>
      </c>
      <c r="F26" s="425">
        <f>'Raw Data'!F8</f>
        <v>141247</v>
      </c>
      <c r="G26" s="425">
        <f>'Raw Data'!G8</f>
        <v>197346</v>
      </c>
      <c r="H26" s="383">
        <f>G26*(1+H13)</f>
        <v>229381.8774928145</v>
      </c>
      <c r="I26" s="383">
        <f t="shared" ref="I26:R26" si="7">H26*(1+I13)</f>
        <v>259170.97775907413</v>
      </c>
      <c r="J26" s="383">
        <f t="shared" si="7"/>
        <v>286097.15109745896</v>
      </c>
      <c r="K26" s="383">
        <f t="shared" si="7"/>
        <v>309876.0527281175</v>
      </c>
      <c r="L26" s="383">
        <f t="shared" si="7"/>
        <v>330480.27656537923</v>
      </c>
      <c r="M26" s="383">
        <f t="shared" si="7"/>
        <v>348059.66556870478</v>
      </c>
      <c r="N26" s="383">
        <f t="shared" si="7"/>
        <v>362871.26357628312</v>
      </c>
      <c r="O26" s="383">
        <f t="shared" si="7"/>
        <v>375224.78526530054</v>
      </c>
      <c r="P26" s="383">
        <f t="shared" si="7"/>
        <v>385444.05140910717</v>
      </c>
      <c r="Q26" s="383">
        <f t="shared" si="7"/>
        <v>393842.12211141799</v>
      </c>
      <c r="R26" s="383">
        <f t="shared" si="7"/>
        <v>400706.96067867195</v>
      </c>
      <c r="S26" s="32" t="s">
        <v>120</v>
      </c>
    </row>
    <row r="27" spans="2:21" outlineLevel="1" x14ac:dyDescent="0.25">
      <c r="B27" t="s">
        <v>104</v>
      </c>
      <c r="C27" s="425">
        <f>'Raw Data'!C9</f>
        <v>0</v>
      </c>
      <c r="D27" s="425">
        <f>'Raw Data'!D9</f>
        <v>5798</v>
      </c>
      <c r="E27" s="425">
        <f>'Raw Data'!E9</f>
        <v>17224</v>
      </c>
      <c r="F27" s="425">
        <f>'Raw Data'!F9</f>
        <v>17192</v>
      </c>
      <c r="G27" s="425">
        <f>'Raw Data'!G9</f>
        <v>16227</v>
      </c>
      <c r="H27" s="383">
        <f t="shared" ref="H27:R27" si="8">G27*(1+H14)</f>
        <v>16835.512500000001</v>
      </c>
      <c r="I27" s="383">
        <f t="shared" si="8"/>
        <v>17340.577875000003</v>
      </c>
      <c r="J27" s="383">
        <f t="shared" si="8"/>
        <v>17756.751744000005</v>
      </c>
      <c r="K27" s="383">
        <f t="shared" si="8"/>
        <v>18097.681377484805</v>
      </c>
      <c r="L27" s="383">
        <f t="shared" si="8"/>
        <v>18375.661763442971</v>
      </c>
      <c r="M27" s="383">
        <f t="shared" si="8"/>
        <v>18601.461895192158</v>
      </c>
      <c r="N27" s="383">
        <f t="shared" si="8"/>
        <v>18784.321706206654</v>
      </c>
      <c r="O27" s="383">
        <f t="shared" si="8"/>
        <v>18932.047623087208</v>
      </c>
      <c r="P27" s="383">
        <f t="shared" si="8"/>
        <v>19051.157767697765</v>
      </c>
      <c r="Q27" s="383">
        <f t="shared" si="8"/>
        <v>19147.045384373385</v>
      </c>
      <c r="R27" s="383">
        <f t="shared" si="8"/>
        <v>19224.141572255488</v>
      </c>
      <c r="S27" s="32" t="s">
        <v>120</v>
      </c>
    </row>
    <row r="28" spans="2:21" outlineLevel="1" x14ac:dyDescent="0.25">
      <c r="B28" t="s">
        <v>105</v>
      </c>
      <c r="C28" s="425">
        <f>'Raw Data'!C10</f>
        <v>22993</v>
      </c>
      <c r="D28" s="425">
        <f>'Raw Data'!D10</f>
        <v>31881</v>
      </c>
      <c r="E28" s="425">
        <f>'Raw Data'!E10</f>
        <v>42745</v>
      </c>
      <c r="F28" s="425">
        <f>'Raw Data'!F10</f>
        <v>53762</v>
      </c>
      <c r="G28" s="425">
        <f>'Raw Data'!G10</f>
        <v>80461</v>
      </c>
      <c r="H28" s="383">
        <f t="shared" ref="H28:R28" si="9">G28*(1+H15)</f>
        <v>102814.15373594449</v>
      </c>
      <c r="I28" s="383">
        <f t="shared" si="9"/>
        <v>125664.68340562892</v>
      </c>
      <c r="J28" s="383">
        <f t="shared" si="9"/>
        <v>148007.9462522339</v>
      </c>
      <c r="K28" s="383">
        <f t="shared" si="9"/>
        <v>169060.67392004075</v>
      </c>
      <c r="L28" s="383">
        <f t="shared" si="9"/>
        <v>188298.49684778531</v>
      </c>
      <c r="M28" s="383">
        <f t="shared" si="9"/>
        <v>205440.04990527019</v>
      </c>
      <c r="N28" s="383">
        <f t="shared" si="9"/>
        <v>220401.66276798045</v>
      </c>
      <c r="O28" s="383">
        <f t="shared" si="9"/>
        <v>233242.64233025245</v>
      </c>
      <c r="P28" s="383">
        <f t="shared" si="9"/>
        <v>244113.93600598496</v>
      </c>
      <c r="Q28" s="383">
        <f t="shared" si="9"/>
        <v>253216.33430552887</v>
      </c>
      <c r="R28" s="383">
        <f t="shared" si="9"/>
        <v>260769.77748377621</v>
      </c>
      <c r="S28" s="31" t="s">
        <v>121</v>
      </c>
    </row>
    <row r="29" spans="2:21" outlineLevel="1" x14ac:dyDescent="0.25">
      <c r="B29" t="s">
        <v>254</v>
      </c>
      <c r="C29" s="425">
        <f>'Raw Data'!C11</f>
        <v>6394</v>
      </c>
      <c r="D29" s="425">
        <f>'Raw Data'!D11</f>
        <v>9721</v>
      </c>
      <c r="E29" s="425">
        <f>'Raw Data'!E11</f>
        <v>14168</v>
      </c>
      <c r="F29" s="425">
        <f>'Raw Data'!F11</f>
        <v>19210</v>
      </c>
      <c r="G29" s="425">
        <f>'Raw Data'!G11</f>
        <v>25207</v>
      </c>
      <c r="H29" s="383">
        <f t="shared" ref="H29:R29" si="10">G29*(1+H16)</f>
        <v>32985.793530058021</v>
      </c>
      <c r="I29" s="383">
        <f t="shared" si="10"/>
        <v>41129.235503968295</v>
      </c>
      <c r="J29" s="383">
        <f t="shared" si="10"/>
        <v>49252.333526822302</v>
      </c>
      <c r="K29" s="383">
        <f t="shared" si="10"/>
        <v>57034.273126532586</v>
      </c>
      <c r="L29" s="383">
        <f t="shared" si="10"/>
        <v>64243.470933858356</v>
      </c>
      <c r="M29" s="383">
        <f t="shared" si="10"/>
        <v>70739.829904035709</v>
      </c>
      <c r="N29" s="383">
        <f t="shared" si="10"/>
        <v>76462.451323653979</v>
      </c>
      <c r="O29" s="383">
        <f t="shared" si="10"/>
        <v>81410.901579583122</v>
      </c>
      <c r="P29" s="383">
        <f t="shared" si="10"/>
        <v>85625.862411028866</v>
      </c>
      <c r="Q29" s="383">
        <f t="shared" si="10"/>
        <v>89172.411084178661</v>
      </c>
      <c r="R29" s="383">
        <f t="shared" si="10"/>
        <v>92127.165989364206</v>
      </c>
      <c r="S29" s="33" t="s">
        <v>122</v>
      </c>
    </row>
    <row r="30" spans="2:21" outlineLevel="1" x14ac:dyDescent="0.25">
      <c r="B30" t="s">
        <v>107</v>
      </c>
      <c r="C30" s="425">
        <f>'Raw Data'!C12</f>
        <v>12219</v>
      </c>
      <c r="D30" s="425">
        <f>'Raw Data'!D12</f>
        <v>17459</v>
      </c>
      <c r="E30" s="425">
        <f>'Raw Data'!E12</f>
        <v>25655</v>
      </c>
      <c r="F30" s="425">
        <f>'Raw Data'!F12</f>
        <v>35026</v>
      </c>
      <c r="G30" s="425">
        <f>'Raw Data'!G12</f>
        <v>45370</v>
      </c>
      <c r="H30" s="383">
        <f t="shared" ref="H30:R30" si="11">G30*(1+H17)</f>
        <v>58631.16690344744</v>
      </c>
      <c r="I30" s="383">
        <f t="shared" si="11"/>
        <v>72340.978497901931</v>
      </c>
      <c r="J30" s="383">
        <f t="shared" si="11"/>
        <v>85873.456026762477</v>
      </c>
      <c r="K30" s="383">
        <f t="shared" si="11"/>
        <v>98724.602230613862</v>
      </c>
      <c r="L30" s="383">
        <f t="shared" si="11"/>
        <v>110544.08038728469</v>
      </c>
      <c r="M30" s="383">
        <f t="shared" si="11"/>
        <v>121131.70141763099</v>
      </c>
      <c r="N30" s="383">
        <f t="shared" si="11"/>
        <v>130413.04181959762</v>
      </c>
      <c r="O30" s="383">
        <f t="shared" si="11"/>
        <v>138407.03724651178</v>
      </c>
      <c r="P30" s="383">
        <f t="shared" si="11"/>
        <v>145194.2432336669</v>
      </c>
      <c r="Q30" s="383">
        <f t="shared" si="11"/>
        <v>150890.2728956317</v>
      </c>
      <c r="R30" s="383">
        <f t="shared" si="11"/>
        <v>155625.86268747927</v>
      </c>
      <c r="S30" s="34" t="s">
        <v>116</v>
      </c>
    </row>
    <row r="31" spans="2:21" outlineLevel="1" x14ac:dyDescent="0.25">
      <c r="B31" t="s">
        <v>108</v>
      </c>
      <c r="C31" s="425">
        <f>'Raw Data'!C13</f>
        <v>2950</v>
      </c>
      <c r="D31" s="425">
        <f>'Raw Data'!D13</f>
        <v>4653</v>
      </c>
      <c r="E31" s="425">
        <f>'Raw Data'!E13</f>
        <v>10108</v>
      </c>
      <c r="F31" s="425">
        <f>'Raw Data'!F13</f>
        <v>14085</v>
      </c>
      <c r="G31" s="425">
        <f>'Raw Data'!G13</f>
        <v>21453</v>
      </c>
      <c r="H31" s="383">
        <f t="shared" ref="H31:R31" si="12">G31*(1+H18)</f>
        <v>32177.665001113543</v>
      </c>
      <c r="I31" s="383">
        <f t="shared" si="12"/>
        <v>45046.529128461647</v>
      </c>
      <c r="J31" s="383">
        <f t="shared" si="12"/>
        <v>59458.952472237281</v>
      </c>
      <c r="K31" s="383">
        <f t="shared" si="12"/>
        <v>74677.840341063129</v>
      </c>
      <c r="L31" s="383">
        <f t="shared" si="12"/>
        <v>89969.245671049488</v>
      </c>
      <c r="M31" s="383">
        <f t="shared" si="12"/>
        <v>104707.28519127007</v>
      </c>
      <c r="N31" s="383">
        <f t="shared" si="12"/>
        <v>118429.13065696359</v>
      </c>
      <c r="O31" s="383">
        <f t="shared" si="12"/>
        <v>130845.2006680827</v>
      </c>
      <c r="P31" s="383">
        <f t="shared" si="12"/>
        <v>141819.41394214306</v>
      </c>
      <c r="Q31" s="383">
        <f t="shared" si="12"/>
        <v>151335.12555896488</v>
      </c>
      <c r="R31" s="383">
        <f t="shared" si="12"/>
        <v>159458.47833435921</v>
      </c>
      <c r="S31" s="35" t="s">
        <v>115</v>
      </c>
    </row>
    <row r="32" spans="2:21" outlineLevel="1" x14ac:dyDescent="0.25">
      <c r="B32" s="11" t="s">
        <v>2</v>
      </c>
      <c r="C32" s="387">
        <f>SUM(C26:C31)</f>
        <v>135987</v>
      </c>
      <c r="D32" s="387">
        <f t="shared" ref="D32:G32" si="13">SUM(D26:D31)</f>
        <v>177866</v>
      </c>
      <c r="E32" s="387">
        <f t="shared" si="13"/>
        <v>232887</v>
      </c>
      <c r="F32" s="387">
        <f t="shared" si="13"/>
        <v>280522</v>
      </c>
      <c r="G32" s="387">
        <f t="shared" si="13"/>
        <v>386064</v>
      </c>
      <c r="H32" s="387">
        <f t="shared" ref="H32" si="14">SUM(H26:H31)</f>
        <v>472826.16916337796</v>
      </c>
      <c r="I32" s="387">
        <f t="shared" ref="I32" si="15">SUM(I26:I31)</f>
        <v>560692.9821700349</v>
      </c>
      <c r="J32" s="387">
        <f t="shared" ref="J32" si="16">SUM(J26:J31)</f>
        <v>646446.59111951489</v>
      </c>
      <c r="K32" s="387">
        <f t="shared" ref="K32" si="17">SUM(K26:K31)</f>
        <v>727471.12372385256</v>
      </c>
      <c r="L32" s="387">
        <f t="shared" ref="L32" si="18">SUM(L26:L31)</f>
        <v>801911.23216879996</v>
      </c>
      <c r="M32" s="387">
        <f t="shared" ref="M32" si="19">SUM(M26:M31)</f>
        <v>868679.99388210382</v>
      </c>
      <c r="N32" s="387">
        <f t="shared" ref="N32" si="20">SUM(N26:N31)</f>
        <v>927361.87185068533</v>
      </c>
      <c r="O32" s="387">
        <f t="shared" ref="O32" si="21">SUM(O26:O31)</f>
        <v>978062.61471281771</v>
      </c>
      <c r="P32" s="387">
        <f t="shared" ref="P32" si="22">SUM(P26:P31)</f>
        <v>1021248.6647696287</v>
      </c>
      <c r="Q32" s="387">
        <f t="shared" ref="Q32" si="23">SUM(Q26:Q31)</f>
        <v>1057603.3113400955</v>
      </c>
      <c r="R32" s="387">
        <f t="shared" ref="R32" si="24">SUM(R26:R31)</f>
        <v>1087912.3867459062</v>
      </c>
    </row>
    <row r="33" spans="2:21" outlineLevel="1" x14ac:dyDescent="0.25">
      <c r="B33" s="1"/>
      <c r="G33" s="20"/>
      <c r="H33" s="20"/>
      <c r="I33" s="20"/>
      <c r="J33" s="20"/>
      <c r="K33" s="20"/>
      <c r="L33" s="20"/>
      <c r="M33" s="20"/>
      <c r="N33" s="20"/>
      <c r="O33" s="20"/>
      <c r="P33" s="20"/>
      <c r="Q33" s="20"/>
      <c r="R33" s="20"/>
      <c r="T33" s="65"/>
    </row>
    <row r="34" spans="2:21" outlineLevel="1" x14ac:dyDescent="0.25">
      <c r="B34" t="s">
        <v>3</v>
      </c>
      <c r="C34" s="23"/>
      <c r="D34" s="23"/>
      <c r="E34" s="23"/>
      <c r="F34" s="23"/>
      <c r="G34" s="23"/>
      <c r="H34" s="23"/>
      <c r="I34" s="23"/>
      <c r="J34" s="23"/>
      <c r="K34" s="23"/>
      <c r="L34" s="23"/>
      <c r="M34" s="23"/>
      <c r="N34" s="23"/>
      <c r="O34" s="23"/>
      <c r="P34" s="23"/>
      <c r="Q34" s="23"/>
      <c r="R34" s="23"/>
    </row>
    <row r="35" spans="2:21" outlineLevel="1" x14ac:dyDescent="0.25">
      <c r="B35" s="8" t="s">
        <v>4</v>
      </c>
      <c r="C35" s="425">
        <f>'Raw Data'!C21</f>
        <v>88265</v>
      </c>
      <c r="D35" s="425">
        <f>'Raw Data'!D21</f>
        <v>111934</v>
      </c>
      <c r="E35" s="425">
        <f>'Raw Data'!E21</f>
        <v>139156</v>
      </c>
      <c r="F35" s="425">
        <f>'Raw Data'!F21</f>
        <v>165536</v>
      </c>
      <c r="G35" s="425">
        <f>'Raw Data'!G21</f>
        <v>233307</v>
      </c>
      <c r="H35" s="383">
        <f>H$32*'Control Panel'!$O$14</f>
        <v>290346.81986757048</v>
      </c>
      <c r="I35" s="383">
        <f>I$32*'Control Panel'!$O$14</f>
        <v>344302.90646388166</v>
      </c>
      <c r="J35" s="383">
        <f>J$32*'Control Panel'!$O$14</f>
        <v>396961.3447535896</v>
      </c>
      <c r="K35" s="383">
        <f>K$32*'Control Panel'!$O$14</f>
        <v>446715.81459300523</v>
      </c>
      <c r="L35" s="383">
        <f>L$32*'Control Panel'!$O$14</f>
        <v>492427.00861560035</v>
      </c>
      <c r="M35" s="383">
        <f>M$32*'Control Panel'!$O$14</f>
        <v>533427.48383095337</v>
      </c>
      <c r="N35" s="383">
        <f>N$32*'Control Panel'!$O$14</f>
        <v>569462.07278397563</v>
      </c>
      <c r="O35" s="383">
        <f>O$32*'Control Panel'!$O$14</f>
        <v>600595.71219524299</v>
      </c>
      <c r="P35" s="383">
        <f>P$32*'Control Panel'!$O$14</f>
        <v>627114.82876364968</v>
      </c>
      <c r="Q35" s="383">
        <f>Q$32*'Control Panel'!$O$14</f>
        <v>649439.00772739318</v>
      </c>
      <c r="R35" s="383">
        <f>R$32*'Control Panel'!$O$14</f>
        <v>668050.80257109774</v>
      </c>
      <c r="U35" s="571">
        <f>T35-H35</f>
        <v>-290346.81986757048</v>
      </c>
    </row>
    <row r="36" spans="2:21" outlineLevel="1" x14ac:dyDescent="0.25">
      <c r="B36" s="8" t="s">
        <v>5</v>
      </c>
      <c r="C36" s="425">
        <f>'Raw Data'!C22-C37</f>
        <v>17619</v>
      </c>
      <c r="D36" s="425">
        <f>'Raw Data'!D22-D37</f>
        <v>23049</v>
      </c>
      <c r="E36" s="425">
        <f>'Raw Data'!E22-E37</f>
        <v>30627</v>
      </c>
      <c r="F36" s="425">
        <f>'Raw Data'!F22-F37</f>
        <v>36563</v>
      </c>
      <c r="G36" s="425">
        <f>'Raw Data'!G22-G37</f>
        <v>53498</v>
      </c>
      <c r="H36" s="383">
        <f>H$32*'Control Panel'!$O$16-H37</f>
        <v>62367.801145588033</v>
      </c>
      <c r="I36" s="383">
        <f>I$32*'Control Panel'!$O$16-I37</f>
        <v>73271.392682047881</v>
      </c>
      <c r="J36" s="383">
        <f>J$32*'Control Panel'!$O$16-J37</f>
        <v>83629.321457056125</v>
      </c>
      <c r="K36" s="383">
        <f>K$32*'Control Panel'!$O$16-K37</f>
        <v>93086.664197292717</v>
      </c>
      <c r="L36" s="383">
        <f>L$32*'Control Panel'!$O$16-L37</f>
        <v>101403.23832816897</v>
      </c>
      <c r="M36" s="383">
        <f>M$32*'Control Panel'!$O$16-M37</f>
        <v>108452.15911301982</v>
      </c>
      <c r="N36" s="383">
        <f>N$32*'Control Panel'!$O$16-N37</f>
        <v>114203.70482298586</v>
      </c>
      <c r="O36" s="383">
        <f>O$32*'Control Panel'!$O$16-O37</f>
        <v>118702.0942686698</v>
      </c>
      <c r="P36" s="383">
        <f>P$32*'Control Panel'!$O$16-P37</f>
        <v>122041.30588468167</v>
      </c>
      <c r="Q36" s="383">
        <f>Q$32*'Control Panel'!$O$16-Q37</f>
        <v>124343.78106080189</v>
      </c>
      <c r="R36" s="383">
        <f>R$32*'Control Panel'!$O$16-R37</f>
        <v>125743.74358469989</v>
      </c>
      <c r="U36" s="571">
        <f>T36-H36</f>
        <v>-62367.801145588033</v>
      </c>
    </row>
    <row r="37" spans="2:21" outlineLevel="1" x14ac:dyDescent="0.25">
      <c r="B37" s="8" t="s">
        <v>291</v>
      </c>
      <c r="C37" s="425">
        <f>'Raw Data'!C157</f>
        <v>0</v>
      </c>
      <c r="D37" s="425">
        <f>'Raw Data'!D157</f>
        <v>2200</v>
      </c>
      <c r="E37" s="425">
        <f>'Raw Data'!E157</f>
        <v>3400</v>
      </c>
      <c r="F37" s="425">
        <f>'Raw Data'!F157</f>
        <v>3669</v>
      </c>
      <c r="G37" s="425">
        <f>'Raw Data'!G157</f>
        <v>5019</v>
      </c>
      <c r="H37" s="383">
        <f>H285</f>
        <v>5021.2925712373235</v>
      </c>
      <c r="I37" s="383">
        <f t="shared" ref="I37:R37" si="25">I285</f>
        <v>6640.8338105743514</v>
      </c>
      <c r="J37" s="383">
        <f t="shared" si="25"/>
        <v>8504.8554413096354</v>
      </c>
      <c r="K37" s="383">
        <f t="shared" si="25"/>
        <v>10595.456061942725</v>
      </c>
      <c r="L37" s="383">
        <f t="shared" si="25"/>
        <v>12888.386589328826</v>
      </c>
      <c r="M37" s="383">
        <f t="shared" si="25"/>
        <v>15355.619168864803</v>
      </c>
      <c r="N37" s="383">
        <f t="shared" si="25"/>
        <v>17967.651517408525</v>
      </c>
      <c r="O37" s="383">
        <f t="shared" si="25"/>
        <v>20695.336547032075</v>
      </c>
      <c r="P37" s="383">
        <f t="shared" si="25"/>
        <v>23511.175062207702</v>
      </c>
      <c r="Q37" s="383">
        <f t="shared" si="25"/>
        <v>26390.110824306368</v>
      </c>
      <c r="R37" s="383">
        <f t="shared" si="25"/>
        <v>29309.920039367997</v>
      </c>
      <c r="U37" s="571"/>
    </row>
    <row r="38" spans="2:21" outlineLevel="1" x14ac:dyDescent="0.25">
      <c r="B38" s="8" t="s">
        <v>6</v>
      </c>
      <c r="C38" s="425">
        <f>'Raw Data'!C23</f>
        <v>7233</v>
      </c>
      <c r="D38" s="425">
        <f>'Raw Data'!D23</f>
        <v>22620</v>
      </c>
      <c r="E38" s="425">
        <f>'Raw Data'!E23</f>
        <v>28837</v>
      </c>
      <c r="F38" s="425">
        <f>'Raw Data'!F23</f>
        <v>35931</v>
      </c>
      <c r="G38" s="425">
        <f>'Raw Data'!G23</f>
        <v>42740</v>
      </c>
      <c r="H38" s="383">
        <f>H$32*'Control Panel'!$O17</f>
        <v>51347.081891625276</v>
      </c>
      <c r="I38" s="383">
        <f>I$32*'Control Panel'!$O17</f>
        <v>60889.075836232827</v>
      </c>
      <c r="J38" s="383">
        <f>J$32*'Control Panel'!$O17</f>
        <v>70201.584044106363</v>
      </c>
      <c r="K38" s="383">
        <f>K$32*'Control Panel'!$O17</f>
        <v>79000.532964862985</v>
      </c>
      <c r="L38" s="383">
        <f>L$32*'Control Panel'!$O17</f>
        <v>87084.439046261468</v>
      </c>
      <c r="M38" s="383">
        <f>M$32*'Control Panel'!$O17</f>
        <v>94335.266726890113</v>
      </c>
      <c r="N38" s="383">
        <f>N$32*'Control Panel'!$O17</f>
        <v>100707.89030425808</v>
      </c>
      <c r="O38" s="383">
        <f>O$32*'Control Panel'!$O17</f>
        <v>106213.79366894389</v>
      </c>
      <c r="P38" s="383">
        <f>P$32*'Control Panel'!$O17</f>
        <v>110903.63063961438</v>
      </c>
      <c r="Q38" s="383">
        <f>Q$32*'Control Panel'!$O17</f>
        <v>114851.60377717952</v>
      </c>
      <c r="R38" s="383">
        <f>R$32*'Control Panel'!$O17</f>
        <v>118143.0514135811</v>
      </c>
      <c r="U38" s="571">
        <f t="shared" ref="U38:U41" si="26">T38-H38</f>
        <v>-51347.081891625276</v>
      </c>
    </row>
    <row r="39" spans="2:21" outlineLevel="1" x14ac:dyDescent="0.25">
      <c r="B39" s="8" t="s">
        <v>7</v>
      </c>
      <c r="C39" s="425">
        <f>'Raw Data'!C24</f>
        <v>16085</v>
      </c>
      <c r="D39" s="425">
        <f>'Raw Data'!D24</f>
        <v>10069</v>
      </c>
      <c r="E39" s="425">
        <f>'Raw Data'!E24</f>
        <v>13814</v>
      </c>
      <c r="F39" s="425">
        <f>'Raw Data'!F24</f>
        <v>18878</v>
      </c>
      <c r="G39" s="425">
        <f>'Raw Data'!G24</f>
        <v>22008</v>
      </c>
      <c r="H39" s="383">
        <f>H$32*'Control Panel'!$O18</f>
        <v>33902.750335331737</v>
      </c>
      <c r="I39" s="383">
        <f>I$32*'Control Panel'!$O18</f>
        <v>40203.007847298351</v>
      </c>
      <c r="J39" s="383">
        <f>J$32*'Control Panel'!$O18</f>
        <v>46351.743649532094</v>
      </c>
      <c r="K39" s="383">
        <f>K$32*'Control Panel'!$O18</f>
        <v>52161.393535836585</v>
      </c>
      <c r="L39" s="383">
        <f>L$32*'Control Panel'!$O18</f>
        <v>57498.924696621456</v>
      </c>
      <c r="M39" s="383">
        <f>M$32*'Control Panel'!$O18</f>
        <v>62286.402222602534</v>
      </c>
      <c r="N39" s="383">
        <f>N$32*'Control Panel'!$O18</f>
        <v>66494.031130912364</v>
      </c>
      <c r="O39" s="383">
        <f>O$32*'Control Panel'!$O18</f>
        <v>70129.393848065156</v>
      </c>
      <c r="P39" s="383">
        <f>P$32*'Control Panel'!$O18</f>
        <v>73225.935386017329</v>
      </c>
      <c r="Q39" s="383">
        <f>Q$32*'Control Panel'!$O18</f>
        <v>75832.649198809449</v>
      </c>
      <c r="R39" s="383">
        <f>R$32*'Control Panel'!$O18</f>
        <v>78005.881315373816</v>
      </c>
      <c r="U39" s="571">
        <f t="shared" si="26"/>
        <v>-33902.750335331737</v>
      </c>
    </row>
    <row r="40" spans="2:21" outlineLevel="1" x14ac:dyDescent="0.25">
      <c r="B40" s="8" t="s">
        <v>8</v>
      </c>
      <c r="C40" s="425">
        <f>'Raw Data'!C25</f>
        <v>2432</v>
      </c>
      <c r="D40" s="425">
        <f>'Raw Data'!D25</f>
        <v>3674</v>
      </c>
      <c r="E40" s="425">
        <f>'Raw Data'!E25</f>
        <v>4336</v>
      </c>
      <c r="F40" s="425">
        <f>'Raw Data'!F25</f>
        <v>5203</v>
      </c>
      <c r="G40" s="425">
        <f>'Raw Data'!G25</f>
        <v>6668</v>
      </c>
      <c r="H40" s="383">
        <f>H$32*'Control Panel'!$O19</f>
        <v>8792.4717589409702</v>
      </c>
      <c r="I40" s="383">
        <f>I$32*'Control Panel'!$O19</f>
        <v>10426.405162576735</v>
      </c>
      <c r="J40" s="383">
        <f>J$32*'Control Panel'!$O19</f>
        <v>12021.042333885758</v>
      </c>
      <c r="K40" s="383">
        <f>K$32*'Control Panel'!$O19</f>
        <v>13527.739638659661</v>
      </c>
      <c r="L40" s="383">
        <f>L$32*'Control Panel'!$O19</f>
        <v>14911.995828186569</v>
      </c>
      <c r="M40" s="383">
        <f>M$32*'Control Panel'!$O19</f>
        <v>16153.598958534529</v>
      </c>
      <c r="N40" s="383">
        <f>N$32*'Control Panel'!$O19</f>
        <v>17244.82188241227</v>
      </c>
      <c r="O40" s="383">
        <f>O$32*'Control Panel'!$O19</f>
        <v>18187.631055943002</v>
      </c>
      <c r="P40" s="383">
        <f>P$32*'Control Panel'!$O19</f>
        <v>18990.700239225702</v>
      </c>
      <c r="Q40" s="383">
        <f>Q$32*'Control Panel'!$O19</f>
        <v>19666.735586090483</v>
      </c>
      <c r="R40" s="383">
        <f>R$32*'Control Panel'!$O19</f>
        <v>20230.350095872662</v>
      </c>
      <c r="U40" s="571">
        <f t="shared" si="26"/>
        <v>-8792.4717589409702</v>
      </c>
    </row>
    <row r="41" spans="2:21" outlineLevel="1" x14ac:dyDescent="0.25">
      <c r="B41" s="8" t="s">
        <v>9</v>
      </c>
      <c r="C41" s="425">
        <f>'Raw Data'!C26</f>
        <v>167</v>
      </c>
      <c r="D41" s="425">
        <f>'Raw Data'!D26</f>
        <v>214</v>
      </c>
      <c r="E41" s="425">
        <f>'Raw Data'!E26</f>
        <v>296</v>
      </c>
      <c r="F41" s="425">
        <f>'Raw Data'!F26</f>
        <v>201</v>
      </c>
      <c r="G41" s="425">
        <f>'Raw Data'!G26</f>
        <v>-75</v>
      </c>
      <c r="H41" s="383">
        <f>H$32*'Control Panel'!$O20</f>
        <v>399.48772947574315</v>
      </c>
      <c r="I41" s="383">
        <f>I$32*'Control Panel'!$O20</f>
        <v>473.72582354403107</v>
      </c>
      <c r="J41" s="383">
        <f>J$32*'Control Panel'!$O20</f>
        <v>546.17848536305439</v>
      </c>
      <c r="K41" s="383">
        <f>K$32*'Control Panel'!$O20</f>
        <v>614.63558159191348</v>
      </c>
      <c r="L41" s="383">
        <f>L$32*'Control Panel'!$O20</f>
        <v>677.52954102994249</v>
      </c>
      <c r="M41" s="383">
        <f>M$32*'Control Panel'!$O20</f>
        <v>733.94202992401245</v>
      </c>
      <c r="N41" s="383">
        <f>N$32*'Control Panel'!$O20</f>
        <v>783.52196377691428</v>
      </c>
      <c r="O41" s="383">
        <f>O$32*'Control Panel'!$O20</f>
        <v>826.35868891961297</v>
      </c>
      <c r="P41" s="383">
        <f>P$32*'Control Panel'!$O20</f>
        <v>862.84629939334695</v>
      </c>
      <c r="Q41" s="383">
        <f>Q$32*'Control Panel'!$O20</f>
        <v>893.5621018626274</v>
      </c>
      <c r="R41" s="383">
        <f>R$32*'Control Panel'!$O20</f>
        <v>919.17004090246644</v>
      </c>
      <c r="U41" s="571">
        <f t="shared" si="26"/>
        <v>-399.48772947574315</v>
      </c>
    </row>
    <row r="42" spans="2:21" outlineLevel="1" x14ac:dyDescent="0.25">
      <c r="B42" s="10" t="s">
        <v>10</v>
      </c>
      <c r="C42" s="385">
        <f>SUM(C35:C41)</f>
        <v>131801</v>
      </c>
      <c r="D42" s="385">
        <f t="shared" ref="D42:G42" si="27">SUM(D35:D41)</f>
        <v>173760</v>
      </c>
      <c r="E42" s="385">
        <f t="shared" si="27"/>
        <v>220466</v>
      </c>
      <c r="F42" s="385">
        <f t="shared" si="27"/>
        <v>265981</v>
      </c>
      <c r="G42" s="385">
        <f t="shared" si="27"/>
        <v>363165</v>
      </c>
      <c r="H42" s="385">
        <f t="shared" ref="H42" si="28">SUM(H35:H41)</f>
        <v>452177.70529976947</v>
      </c>
      <c r="I42" s="385">
        <f t="shared" ref="I42" si="29">SUM(I35:I41)</f>
        <v>536207.34762615582</v>
      </c>
      <c r="J42" s="385">
        <f t="shared" ref="J42" si="30">SUM(J35:J41)</f>
        <v>618216.07016484253</v>
      </c>
      <c r="K42" s="385">
        <f t="shared" ref="K42" si="31">SUM(K35:K41)</f>
        <v>695702.23657319183</v>
      </c>
      <c r="L42" s="385">
        <f t="shared" ref="L42" si="32">SUM(L35:L41)</f>
        <v>766891.52264519769</v>
      </c>
      <c r="M42" s="385">
        <f t="shared" ref="M42" si="33">SUM(M35:M41)</f>
        <v>830744.47205078916</v>
      </c>
      <c r="N42" s="385">
        <f t="shared" ref="N42" si="34">SUM(N35:N41)</f>
        <v>886863.69440572977</v>
      </c>
      <c r="O42" s="385">
        <f t="shared" ref="O42" si="35">SUM(O35:O41)</f>
        <v>935350.32027281658</v>
      </c>
      <c r="P42" s="385">
        <f t="shared" ref="P42" si="36">SUM(P35:P41)</f>
        <v>976650.42227478989</v>
      </c>
      <c r="Q42" s="385">
        <f t="shared" ref="Q42" si="37">SUM(Q35:Q41)</f>
        <v>1011417.4502764435</v>
      </c>
      <c r="R42" s="385">
        <f t="shared" ref="R42" si="38">SUM(R35:R41)</f>
        <v>1040402.9190608957</v>
      </c>
    </row>
    <row r="43" spans="2:21" outlineLevel="1" x14ac:dyDescent="0.25">
      <c r="B43" s="11" t="s">
        <v>11</v>
      </c>
      <c r="C43" s="386">
        <f>C32-C42</f>
        <v>4186</v>
      </c>
      <c r="D43" s="386">
        <f t="shared" ref="D43:R43" si="39">D32-D42</f>
        <v>4106</v>
      </c>
      <c r="E43" s="386">
        <f t="shared" si="39"/>
        <v>12421</v>
      </c>
      <c r="F43" s="386">
        <f t="shared" si="39"/>
        <v>14541</v>
      </c>
      <c r="G43" s="386">
        <f t="shared" si="39"/>
        <v>22899</v>
      </c>
      <c r="H43" s="386">
        <f t="shared" si="39"/>
        <v>20648.463863608486</v>
      </c>
      <c r="I43" s="386">
        <f t="shared" si="39"/>
        <v>24485.634543879074</v>
      </c>
      <c r="J43" s="386">
        <f t="shared" si="39"/>
        <v>28230.520954672364</v>
      </c>
      <c r="K43" s="386">
        <f t="shared" si="39"/>
        <v>31768.887150660739</v>
      </c>
      <c r="L43" s="386">
        <f t="shared" si="39"/>
        <v>35019.709523602272</v>
      </c>
      <c r="M43" s="386">
        <f t="shared" si="39"/>
        <v>37935.521831314662</v>
      </c>
      <c r="N43" s="386">
        <f t="shared" si="39"/>
        <v>40498.177444955567</v>
      </c>
      <c r="O43" s="386">
        <f t="shared" si="39"/>
        <v>42712.294440001133</v>
      </c>
      <c r="P43" s="386">
        <f t="shared" si="39"/>
        <v>44598.242494838778</v>
      </c>
      <c r="Q43" s="386">
        <f t="shared" si="39"/>
        <v>46185.861063651973</v>
      </c>
      <c r="R43" s="386">
        <f t="shared" si="39"/>
        <v>47509.467685010517</v>
      </c>
    </row>
    <row r="44" spans="2:21" outlineLevel="1" x14ac:dyDescent="0.25">
      <c r="B44" t="s">
        <v>12</v>
      </c>
      <c r="C44" s="425">
        <f>'Raw Data'!C29</f>
        <v>100</v>
      </c>
      <c r="D44" s="425">
        <f>'Raw Data'!D29</f>
        <v>202</v>
      </c>
      <c r="E44" s="425">
        <f>'Raw Data'!E29</f>
        <v>440</v>
      </c>
      <c r="F44" s="425">
        <f>'Raw Data'!F29</f>
        <v>832</v>
      </c>
      <c r="G44" s="425">
        <f>'Raw Data'!G29</f>
        <v>555</v>
      </c>
      <c r="H44" s="383">
        <f>'Control Panel'!$F$22*'Financial Statements'!H100</f>
        <v>1270.1195305577601</v>
      </c>
      <c r="I44" s="383">
        <f>'Control Panel'!$F$22*'Financial Statements'!I100</f>
        <v>1584.887156185835</v>
      </c>
      <c r="J44" s="383">
        <f>'Control Panel'!$F$22*'Financial Statements'!J100</f>
        <v>2361.4701554207418</v>
      </c>
      <c r="K44" s="383">
        <f>'Control Panel'!$F$22*'Financial Statements'!K100</f>
        <v>3214.4085021552219</v>
      </c>
      <c r="L44" s="383">
        <f>'Control Panel'!$F$22*'Financial Statements'!L100</f>
        <v>4132.5372546955432</v>
      </c>
      <c r="M44" s="383">
        <f>'Control Panel'!$F$22*'Financial Statements'!M100</f>
        <v>5192.4422917971669</v>
      </c>
      <c r="N44" s="383">
        <f>'Control Panel'!$F$22*'Financial Statements'!N100</f>
        <v>6321.0358809844702</v>
      </c>
      <c r="O44" s="383">
        <f>'Control Panel'!$F$22*'Financial Statements'!O100</f>
        <v>7524.4845523810945</v>
      </c>
      <c r="P44" s="383">
        <f>'Control Panel'!$F$22*'Financial Statements'!P100</f>
        <v>8851.6142603537683</v>
      </c>
      <c r="Q44" s="383">
        <f>'Control Panel'!$F$22*'Financial Statements'!Q100</f>
        <v>10337.034005929778</v>
      </c>
      <c r="R44" s="383">
        <f>'Control Panel'!$F$22*'Financial Statements'!R100</f>
        <v>11988.941687407714</v>
      </c>
    </row>
    <row r="45" spans="2:21" outlineLevel="1" x14ac:dyDescent="0.25">
      <c r="B45" t="s">
        <v>13</v>
      </c>
      <c r="C45" s="425">
        <f>'Raw Data'!C30</f>
        <v>-484</v>
      </c>
      <c r="D45" s="425">
        <f>'Raw Data'!D30</f>
        <v>-848</v>
      </c>
      <c r="E45" s="425">
        <f>'Raw Data'!E30</f>
        <v>-1417</v>
      </c>
      <c r="F45" s="425">
        <f>'Raw Data'!F30</f>
        <v>-1600</v>
      </c>
      <c r="G45" s="425">
        <f>'Raw Data'!G30</f>
        <v>-1647</v>
      </c>
      <c r="H45" s="383">
        <f>-H323-H235</f>
        <v>-1315.537437178861</v>
      </c>
      <c r="I45" s="383">
        <f t="shared" ref="I45:R45" si="40">-I323-I235</f>
        <v>-1606.9947725003206</v>
      </c>
      <c r="J45" s="383">
        <f t="shared" si="40"/>
        <v>-1911.0145585692399</v>
      </c>
      <c r="K45" s="383">
        <f t="shared" si="40"/>
        <v>-2208.7301523766469</v>
      </c>
      <c r="L45" s="383">
        <f t="shared" si="40"/>
        <v>-2514.5959429117943</v>
      </c>
      <c r="M45" s="383">
        <f t="shared" si="40"/>
        <v>-2809.2128434790302</v>
      </c>
      <c r="N45" s="383">
        <f t="shared" si="40"/>
        <v>-3062.739930707995</v>
      </c>
      <c r="O45" s="383">
        <f t="shared" si="40"/>
        <v>-3333.6458247389733</v>
      </c>
      <c r="P45" s="383">
        <f t="shared" si="40"/>
        <v>-3573.133450869811</v>
      </c>
      <c r="Q45" s="383">
        <f t="shared" si="40"/>
        <v>-3758.0027544013333</v>
      </c>
      <c r="R45" s="383">
        <f t="shared" si="40"/>
        <v>-3898.8900774389381</v>
      </c>
    </row>
    <row r="46" spans="2:21" outlineLevel="1" x14ac:dyDescent="0.25">
      <c r="B46" t="s">
        <v>14</v>
      </c>
      <c r="C46" s="425">
        <f>'Raw Data'!C31</f>
        <v>90</v>
      </c>
      <c r="D46" s="425">
        <f>'Raw Data'!D31</f>
        <v>346</v>
      </c>
      <c r="E46" s="425">
        <f>'Raw Data'!E31</f>
        <v>-183</v>
      </c>
      <c r="F46" s="425">
        <f>'Raw Data'!F31</f>
        <v>203</v>
      </c>
      <c r="G46" s="425">
        <f>'Raw Data'!G31</f>
        <v>2371</v>
      </c>
      <c r="H46" s="383">
        <f>H65-G65</f>
        <v>1690.9599999999991</v>
      </c>
      <c r="I46" s="383">
        <f t="shared" ref="I46:R46" si="41">I65-H65</f>
        <v>1758.5984000000026</v>
      </c>
      <c r="J46" s="383">
        <f t="shared" si="41"/>
        <v>1828.9423360000001</v>
      </c>
      <c r="K46" s="383">
        <f t="shared" si="41"/>
        <v>1902.1000294400001</v>
      </c>
      <c r="L46" s="383">
        <f t="shared" si="41"/>
        <v>1978.1840306176018</v>
      </c>
      <c r="M46" s="383">
        <f t="shared" si="41"/>
        <v>2057.3113918423041</v>
      </c>
      <c r="N46" s="383">
        <f t="shared" si="41"/>
        <v>2139.6038475159949</v>
      </c>
      <c r="O46" s="383">
        <f t="shared" si="41"/>
        <v>2225.1880014166381</v>
      </c>
      <c r="P46" s="383">
        <f t="shared" si="41"/>
        <v>2314.1955214733025</v>
      </c>
      <c r="Q46" s="383">
        <f t="shared" si="41"/>
        <v>2406.7633423322332</v>
      </c>
      <c r="R46" s="383">
        <f t="shared" si="41"/>
        <v>2503.0338760255254</v>
      </c>
    </row>
    <row r="47" spans="2:21" outlineLevel="1" x14ac:dyDescent="0.25">
      <c r="B47" s="12" t="s">
        <v>15</v>
      </c>
      <c r="C47" s="385">
        <f>SUM(C44:C46)</f>
        <v>-294</v>
      </c>
      <c r="D47" s="385">
        <f t="shared" ref="D47:R47" si="42">SUM(D44:D46)</f>
        <v>-300</v>
      </c>
      <c r="E47" s="385">
        <f t="shared" si="42"/>
        <v>-1160</v>
      </c>
      <c r="F47" s="385">
        <f t="shared" si="42"/>
        <v>-565</v>
      </c>
      <c r="G47" s="385">
        <f t="shared" si="42"/>
        <v>1279</v>
      </c>
      <c r="H47" s="385">
        <f t="shared" si="42"/>
        <v>1645.5420933788982</v>
      </c>
      <c r="I47" s="385">
        <f t="shared" si="42"/>
        <v>1736.490783685517</v>
      </c>
      <c r="J47" s="385">
        <f t="shared" si="42"/>
        <v>2279.397932851502</v>
      </c>
      <c r="K47" s="385">
        <f t="shared" si="42"/>
        <v>2907.7783792185751</v>
      </c>
      <c r="L47" s="385">
        <f t="shared" si="42"/>
        <v>3596.1253424013507</v>
      </c>
      <c r="M47" s="385">
        <f t="shared" si="42"/>
        <v>4440.5408401604409</v>
      </c>
      <c r="N47" s="385">
        <f t="shared" si="42"/>
        <v>5397.8997977924701</v>
      </c>
      <c r="O47" s="385">
        <f t="shared" si="42"/>
        <v>6416.0267290587599</v>
      </c>
      <c r="P47" s="385">
        <f t="shared" si="42"/>
        <v>7592.6763309572598</v>
      </c>
      <c r="Q47" s="385">
        <f t="shared" si="42"/>
        <v>8985.7945938606772</v>
      </c>
      <c r="R47" s="385">
        <f t="shared" si="42"/>
        <v>10593.085485994301</v>
      </c>
    </row>
    <row r="48" spans="2:21" outlineLevel="1" x14ac:dyDescent="0.25">
      <c r="B48" s="13" t="s">
        <v>16</v>
      </c>
      <c r="C48" s="425">
        <f>C43+C47</f>
        <v>3892</v>
      </c>
      <c r="D48" s="425">
        <f t="shared" ref="D48:R48" si="43">D43+D47</f>
        <v>3806</v>
      </c>
      <c r="E48" s="425">
        <f t="shared" si="43"/>
        <v>11261</v>
      </c>
      <c r="F48" s="425">
        <f t="shared" si="43"/>
        <v>13976</v>
      </c>
      <c r="G48" s="425">
        <f t="shared" si="43"/>
        <v>24178</v>
      </c>
      <c r="H48" s="383">
        <f t="shared" si="43"/>
        <v>22294.005956987385</v>
      </c>
      <c r="I48" s="383">
        <f t="shared" si="43"/>
        <v>26222.12532756459</v>
      </c>
      <c r="J48" s="383">
        <f t="shared" si="43"/>
        <v>30509.918887523865</v>
      </c>
      <c r="K48" s="383">
        <f t="shared" si="43"/>
        <v>34676.665529879312</v>
      </c>
      <c r="L48" s="383">
        <f t="shared" si="43"/>
        <v>38615.834866003621</v>
      </c>
      <c r="M48" s="383">
        <f t="shared" si="43"/>
        <v>42376.062671475105</v>
      </c>
      <c r="N48" s="383">
        <f t="shared" si="43"/>
        <v>45896.077242748041</v>
      </c>
      <c r="O48" s="383">
        <f t="shared" si="43"/>
        <v>49128.321169059891</v>
      </c>
      <c r="P48" s="383">
        <f t="shared" si="43"/>
        <v>52190.918825796034</v>
      </c>
      <c r="Q48" s="383">
        <f t="shared" si="43"/>
        <v>55171.655657512652</v>
      </c>
      <c r="R48" s="383">
        <f t="shared" si="43"/>
        <v>58102.553171004816</v>
      </c>
    </row>
    <row r="49" spans="2:20" outlineLevel="1" x14ac:dyDescent="0.25">
      <c r="B49" t="s">
        <v>17</v>
      </c>
      <c r="C49" s="425">
        <f>'Raw Data'!C34</f>
        <v>-1425</v>
      </c>
      <c r="D49" s="425">
        <f>'Raw Data'!D34</f>
        <v>-769</v>
      </c>
      <c r="E49" s="425">
        <f>'Raw Data'!E34</f>
        <v>-1197</v>
      </c>
      <c r="F49" s="425">
        <f>'Raw Data'!F34</f>
        <v>-2374</v>
      </c>
      <c r="G49" s="425">
        <f>'Raw Data'!G34</f>
        <v>-2863</v>
      </c>
      <c r="H49" s="383">
        <f t="shared" ref="H49:R49" si="44">-H48*_TaxRate</f>
        <v>-7178.669918149938</v>
      </c>
      <c r="I49" s="383">
        <f t="shared" si="44"/>
        <v>-8443.5243554757981</v>
      </c>
      <c r="J49" s="383">
        <f t="shared" si="44"/>
        <v>-9824.1938817826849</v>
      </c>
      <c r="K49" s="383">
        <f t="shared" si="44"/>
        <v>-11165.88630062114</v>
      </c>
      <c r="L49" s="383">
        <f t="shared" si="44"/>
        <v>-12434.298826853166</v>
      </c>
      <c r="M49" s="383">
        <f t="shared" si="44"/>
        <v>-13645.092180214984</v>
      </c>
      <c r="N49" s="383">
        <f t="shared" si="44"/>
        <v>-14778.53687216487</v>
      </c>
      <c r="O49" s="383">
        <f t="shared" si="44"/>
        <v>-15819.319416437285</v>
      </c>
      <c r="P49" s="383">
        <f t="shared" si="44"/>
        <v>-16805.475861906325</v>
      </c>
      <c r="Q49" s="383">
        <f t="shared" si="44"/>
        <v>-17765.273121719074</v>
      </c>
      <c r="R49" s="383">
        <f t="shared" si="44"/>
        <v>-18709.02212106355</v>
      </c>
    </row>
    <row r="50" spans="2:20" outlineLevel="1" x14ac:dyDescent="0.25">
      <c r="B50" t="s">
        <v>18</v>
      </c>
      <c r="C50" s="425">
        <f>'Raw Data'!C35</f>
        <v>-96</v>
      </c>
      <c r="D50" s="425">
        <f>'Raw Data'!D35</f>
        <v>-4</v>
      </c>
      <c r="E50" s="425">
        <f>'Raw Data'!E35</f>
        <v>9</v>
      </c>
      <c r="F50" s="425">
        <f>'Raw Data'!F35</f>
        <v>-14</v>
      </c>
      <c r="G50" s="425">
        <f>'Raw Data'!G35</f>
        <v>16</v>
      </c>
      <c r="H50" s="476"/>
      <c r="I50" s="476"/>
      <c r="J50" s="476"/>
      <c r="K50" s="476"/>
      <c r="L50" s="476"/>
      <c r="M50" s="476"/>
      <c r="N50" s="476"/>
      <c r="O50" s="476"/>
      <c r="P50" s="476"/>
      <c r="Q50" s="476"/>
      <c r="R50" s="476"/>
    </row>
    <row r="51" spans="2:20" ht="14.4" outlineLevel="1" thickBot="1" x14ac:dyDescent="0.3">
      <c r="B51" s="14" t="s">
        <v>19</v>
      </c>
      <c r="C51" s="389">
        <f>SUM(C48:C50)</f>
        <v>2371</v>
      </c>
      <c r="D51" s="389">
        <f t="shared" ref="D51:R51" si="45">SUM(D48:D50)</f>
        <v>3033</v>
      </c>
      <c r="E51" s="389">
        <f t="shared" si="45"/>
        <v>10073</v>
      </c>
      <c r="F51" s="389">
        <f t="shared" si="45"/>
        <v>11588</v>
      </c>
      <c r="G51" s="389">
        <f t="shared" si="45"/>
        <v>21331</v>
      </c>
      <c r="H51" s="389">
        <f t="shared" si="45"/>
        <v>15115.336038837446</v>
      </c>
      <c r="I51" s="389">
        <f t="shared" si="45"/>
        <v>17778.600972088792</v>
      </c>
      <c r="J51" s="389">
        <f t="shared" si="45"/>
        <v>20685.72500574118</v>
      </c>
      <c r="K51" s="389">
        <f t="shared" si="45"/>
        <v>23510.779229258173</v>
      </c>
      <c r="L51" s="389">
        <f t="shared" si="45"/>
        <v>26181.536039150455</v>
      </c>
      <c r="M51" s="389">
        <f t="shared" si="45"/>
        <v>28730.970491260123</v>
      </c>
      <c r="N51" s="389">
        <f t="shared" si="45"/>
        <v>31117.54037058317</v>
      </c>
      <c r="O51" s="389">
        <f t="shared" si="45"/>
        <v>33309.001752622607</v>
      </c>
      <c r="P51" s="389">
        <f t="shared" si="45"/>
        <v>35385.442963889713</v>
      </c>
      <c r="Q51" s="389">
        <f t="shared" si="45"/>
        <v>37406.382535793578</v>
      </c>
      <c r="R51" s="389">
        <f t="shared" si="45"/>
        <v>39393.531049941266</v>
      </c>
    </row>
    <row r="52" spans="2:20" ht="15" outlineLevel="1" thickTop="1" thickBot="1" x14ac:dyDescent="0.3">
      <c r="B52" s="15" t="s">
        <v>20</v>
      </c>
      <c r="C52" s="38">
        <f>C51/C55</f>
        <v>5.0021097046413505</v>
      </c>
      <c r="D52" s="38">
        <f t="shared" ref="D52:G52" si="46">D51/D55</f>
        <v>6.3187499999999996</v>
      </c>
      <c r="E52" s="38">
        <f t="shared" si="46"/>
        <v>20.683778234086244</v>
      </c>
      <c r="F52" s="38">
        <f t="shared" si="46"/>
        <v>23.457489878542511</v>
      </c>
      <c r="G52" s="38">
        <f t="shared" si="46"/>
        <v>42.661999999999999</v>
      </c>
      <c r="H52" s="38">
        <f t="shared" ref="H52:R52" si="47">H51/H55</f>
        <v>30.230672077674893</v>
      </c>
      <c r="I52" s="38">
        <f t="shared" si="47"/>
        <v>35.557201944177585</v>
      </c>
      <c r="J52" s="38">
        <f t="shared" si="47"/>
        <v>41.371450011482359</v>
      </c>
      <c r="K52" s="38">
        <f t="shared" si="47"/>
        <v>47.021558458516346</v>
      </c>
      <c r="L52" s="38">
        <f t="shared" si="47"/>
        <v>52.36307207830091</v>
      </c>
      <c r="M52" s="38">
        <f t="shared" si="47"/>
        <v>57.461940982520247</v>
      </c>
      <c r="N52" s="38">
        <f t="shared" si="47"/>
        <v>62.235080741166342</v>
      </c>
      <c r="O52" s="38">
        <f t="shared" si="47"/>
        <v>66.618003505245213</v>
      </c>
      <c r="P52" s="38">
        <f t="shared" si="47"/>
        <v>70.770885927779432</v>
      </c>
      <c r="Q52" s="38">
        <f t="shared" si="47"/>
        <v>74.812765071587151</v>
      </c>
      <c r="R52" s="38">
        <f t="shared" si="47"/>
        <v>78.787062099882533</v>
      </c>
    </row>
    <row r="53" spans="2:20" ht="15" outlineLevel="1" thickTop="1" thickBot="1" x14ac:dyDescent="0.3">
      <c r="B53" s="15" t="s">
        <v>21</v>
      </c>
      <c r="C53" s="38">
        <f>C51/C56</f>
        <v>4.8987603305785123</v>
      </c>
      <c r="D53" s="38">
        <f t="shared" ref="D53:G53" si="48">D51/D56</f>
        <v>6.1521298174442194</v>
      </c>
      <c r="E53" s="38">
        <f t="shared" si="48"/>
        <v>20.146000000000001</v>
      </c>
      <c r="F53" s="38">
        <f t="shared" si="48"/>
        <v>22.99206349206349</v>
      </c>
      <c r="G53" s="38">
        <f t="shared" si="48"/>
        <v>41.825490196078434</v>
      </c>
      <c r="H53" s="38">
        <f t="shared" ref="H53:R53" si="49">H51/H56</f>
        <v>29.63791380164205</v>
      </c>
      <c r="I53" s="38">
        <f t="shared" si="49"/>
        <v>34.860001906056453</v>
      </c>
      <c r="J53" s="38">
        <f t="shared" si="49"/>
        <v>40.560245109296432</v>
      </c>
      <c r="K53" s="38">
        <f t="shared" si="49"/>
        <v>46.099567116192496</v>
      </c>
      <c r="L53" s="38">
        <f t="shared" si="49"/>
        <v>51.336345174804812</v>
      </c>
      <c r="M53" s="38">
        <f t="shared" si="49"/>
        <v>56.335236257372792</v>
      </c>
      <c r="N53" s="38">
        <f t="shared" si="49"/>
        <v>61.014785040359158</v>
      </c>
      <c r="O53" s="38">
        <f t="shared" si="49"/>
        <v>65.31176814239727</v>
      </c>
      <c r="P53" s="38">
        <f t="shared" si="49"/>
        <v>69.383221497822973</v>
      </c>
      <c r="Q53" s="38">
        <f t="shared" si="49"/>
        <v>73.345848109399171</v>
      </c>
      <c r="R53" s="38">
        <f t="shared" si="49"/>
        <v>77.242217744982881</v>
      </c>
    </row>
    <row r="54" spans="2:20" ht="14.4" outlineLevel="1" thickTop="1" x14ac:dyDescent="0.25">
      <c r="B54" t="s">
        <v>22</v>
      </c>
      <c r="D54" s="23"/>
      <c r="E54" s="23"/>
      <c r="F54" s="23"/>
      <c r="G54" s="23"/>
      <c r="H54" s="23"/>
      <c r="I54" s="23"/>
      <c r="J54" s="23"/>
      <c r="K54" s="23"/>
      <c r="L54" s="23"/>
      <c r="M54" s="23"/>
      <c r="N54" s="23"/>
      <c r="O54" s="23"/>
      <c r="P54" s="23"/>
      <c r="Q54" s="23"/>
      <c r="R54" s="23"/>
    </row>
    <row r="55" spans="2:20" outlineLevel="1" x14ac:dyDescent="0.25">
      <c r="B55" s="8" t="s">
        <v>23</v>
      </c>
      <c r="C55" s="23">
        <f>'Raw Data'!C40</f>
        <v>474</v>
      </c>
      <c r="D55" s="426">
        <f>'Raw Data'!D40</f>
        <v>480</v>
      </c>
      <c r="E55" s="426">
        <f>'Raw Data'!E40</f>
        <v>487</v>
      </c>
      <c r="F55" s="426">
        <f>'Raw Data'!F40</f>
        <v>494</v>
      </c>
      <c r="G55" s="426">
        <f>'Raw Data'!G40</f>
        <v>500</v>
      </c>
      <c r="H55" s="23">
        <f>G55+H$296</f>
        <v>500</v>
      </c>
      <c r="I55" s="23">
        <f t="shared" ref="I55:R55" si="50">H55+I$296</f>
        <v>500</v>
      </c>
      <c r="J55" s="23">
        <f t="shared" si="50"/>
        <v>500</v>
      </c>
      <c r="K55" s="23">
        <f t="shared" si="50"/>
        <v>500</v>
      </c>
      <c r="L55" s="23">
        <f t="shared" si="50"/>
        <v>500</v>
      </c>
      <c r="M55" s="23">
        <f t="shared" si="50"/>
        <v>500</v>
      </c>
      <c r="N55" s="23">
        <f t="shared" si="50"/>
        <v>500</v>
      </c>
      <c r="O55" s="23">
        <f t="shared" si="50"/>
        <v>500</v>
      </c>
      <c r="P55" s="23">
        <f t="shared" si="50"/>
        <v>500</v>
      </c>
      <c r="Q55" s="23">
        <f t="shared" si="50"/>
        <v>500</v>
      </c>
      <c r="R55" s="23">
        <f t="shared" si="50"/>
        <v>500</v>
      </c>
    </row>
    <row r="56" spans="2:20" outlineLevel="1" x14ac:dyDescent="0.25">
      <c r="B56" s="8" t="s">
        <v>24</v>
      </c>
      <c r="C56" s="426">
        <f>'Raw Data'!C41</f>
        <v>484</v>
      </c>
      <c r="D56" s="426">
        <f>'Raw Data'!D41</f>
        <v>493</v>
      </c>
      <c r="E56" s="426">
        <f>'Raw Data'!E41</f>
        <v>500</v>
      </c>
      <c r="F56" s="426">
        <f>'Raw Data'!F41</f>
        <v>504</v>
      </c>
      <c r="G56" s="426">
        <f>'Raw Data'!G41</f>
        <v>510</v>
      </c>
      <c r="H56" s="23">
        <f t="shared" ref="H56:R56" si="51">G56+H$296</f>
        <v>510</v>
      </c>
      <c r="I56" s="23">
        <f t="shared" si="51"/>
        <v>510</v>
      </c>
      <c r="J56" s="23">
        <f t="shared" si="51"/>
        <v>510</v>
      </c>
      <c r="K56" s="23">
        <f t="shared" si="51"/>
        <v>510</v>
      </c>
      <c r="L56" s="23">
        <f t="shared" si="51"/>
        <v>510</v>
      </c>
      <c r="M56" s="23">
        <f t="shared" si="51"/>
        <v>510</v>
      </c>
      <c r="N56" s="23">
        <f t="shared" si="51"/>
        <v>510</v>
      </c>
      <c r="O56" s="23">
        <f t="shared" si="51"/>
        <v>510</v>
      </c>
      <c r="P56" s="23">
        <f t="shared" si="51"/>
        <v>510</v>
      </c>
      <c r="Q56" s="23">
        <f t="shared" si="51"/>
        <v>510</v>
      </c>
      <c r="R56" s="23">
        <f t="shared" si="51"/>
        <v>510</v>
      </c>
    </row>
    <row r="57" spans="2:20" outlineLevel="1" x14ac:dyDescent="0.25">
      <c r="B57" s="8"/>
      <c r="C57" s="426"/>
      <c r="D57" s="426"/>
      <c r="E57" s="426"/>
      <c r="F57" s="426"/>
      <c r="G57" s="426"/>
      <c r="H57" s="23"/>
      <c r="I57" s="23"/>
      <c r="J57" s="23"/>
      <c r="K57" s="23"/>
      <c r="L57" s="23"/>
      <c r="M57" s="23"/>
      <c r="N57" s="23"/>
      <c r="O57" s="23"/>
      <c r="P57" s="23"/>
      <c r="Q57" s="23"/>
      <c r="R57" s="23"/>
    </row>
    <row r="58" spans="2:20" outlineLevel="1" x14ac:dyDescent="0.25">
      <c r="C58" s="23"/>
      <c r="D58" s="42"/>
      <c r="E58" s="42"/>
      <c r="F58" s="42"/>
      <c r="G58" s="42"/>
      <c r="H58" s="23"/>
      <c r="I58" s="23"/>
      <c r="J58" s="23"/>
      <c r="K58" s="23"/>
      <c r="L58" s="23"/>
      <c r="M58" s="23"/>
      <c r="N58" s="23"/>
      <c r="O58" s="23"/>
      <c r="P58" s="23"/>
      <c r="Q58" s="23"/>
      <c r="R58" s="23"/>
    </row>
    <row r="59" spans="2:20" outlineLevel="1" x14ac:dyDescent="0.25">
      <c r="B59" s="218" t="s">
        <v>79</v>
      </c>
      <c r="C59" s="218"/>
      <c r="D59" s="218"/>
      <c r="E59" s="218"/>
      <c r="F59" s="218"/>
      <c r="G59" s="218"/>
      <c r="H59" s="218"/>
      <c r="I59" s="218"/>
      <c r="J59" s="218"/>
      <c r="K59" s="218"/>
      <c r="L59" s="218"/>
      <c r="M59" s="218"/>
      <c r="N59" s="218"/>
      <c r="O59" s="218"/>
      <c r="P59" s="218"/>
      <c r="Q59" s="218"/>
      <c r="R59" s="218"/>
    </row>
    <row r="60" spans="2:20" outlineLevel="1" x14ac:dyDescent="0.25">
      <c r="B60" s="76"/>
      <c r="C60" s="78">
        <f>C5</f>
        <v>2016</v>
      </c>
      <c r="D60" s="78">
        <f t="shared" ref="D60:R60" si="52">D5</f>
        <v>2017</v>
      </c>
      <c r="E60" s="78">
        <f t="shared" si="52"/>
        <v>2018</v>
      </c>
      <c r="F60" s="78">
        <f t="shared" si="52"/>
        <v>2019</v>
      </c>
      <c r="G60" s="78">
        <f t="shared" si="52"/>
        <v>2020</v>
      </c>
      <c r="H60" s="79">
        <f t="shared" si="52"/>
        <v>2021</v>
      </c>
      <c r="I60" s="79">
        <f t="shared" si="52"/>
        <v>2022</v>
      </c>
      <c r="J60" s="79">
        <f t="shared" si="52"/>
        <v>2023</v>
      </c>
      <c r="K60" s="79">
        <f t="shared" si="52"/>
        <v>2024</v>
      </c>
      <c r="L60" s="79">
        <f t="shared" si="52"/>
        <v>2025</v>
      </c>
      <c r="M60" s="79">
        <f t="shared" si="52"/>
        <v>2026</v>
      </c>
      <c r="N60" s="79">
        <f t="shared" si="52"/>
        <v>2027</v>
      </c>
      <c r="O60" s="79">
        <f t="shared" si="52"/>
        <v>2028</v>
      </c>
      <c r="P60" s="79">
        <f t="shared" si="52"/>
        <v>2029</v>
      </c>
      <c r="Q60" s="79">
        <f t="shared" si="52"/>
        <v>2030</v>
      </c>
      <c r="R60" s="79">
        <f t="shared" si="52"/>
        <v>2031</v>
      </c>
    </row>
    <row r="61" spans="2:20" ht="5.4" customHeight="1" outlineLevel="1" x14ac:dyDescent="0.25">
      <c r="C61" s="59"/>
      <c r="D61" s="59"/>
      <c r="E61" s="59"/>
      <c r="F61" s="59"/>
      <c r="G61" s="59"/>
      <c r="H61" s="60"/>
      <c r="I61" s="60"/>
      <c r="J61" s="60"/>
      <c r="K61" s="60"/>
      <c r="L61" s="60"/>
      <c r="M61" s="60"/>
      <c r="N61" s="60"/>
      <c r="O61" s="60"/>
      <c r="P61" s="60"/>
      <c r="Q61" s="60"/>
      <c r="R61" s="60"/>
    </row>
    <row r="62" spans="2:20" outlineLevel="1" x14ac:dyDescent="0.25">
      <c r="B62" t="s">
        <v>26</v>
      </c>
      <c r="C62" s="23"/>
      <c r="D62" s="23"/>
      <c r="E62" s="23"/>
      <c r="F62" s="23"/>
      <c r="G62" s="23"/>
      <c r="H62" s="23"/>
      <c r="I62" s="23"/>
      <c r="J62" s="23"/>
      <c r="K62" s="23"/>
      <c r="L62" s="23"/>
      <c r="M62" s="23"/>
      <c r="N62" s="23"/>
      <c r="O62" s="23"/>
      <c r="P62" s="23"/>
      <c r="Q62" s="23"/>
      <c r="R62" s="23"/>
      <c r="S62" s="300"/>
      <c r="T62" s="1"/>
    </row>
    <row r="63" spans="2:20" x14ac:dyDescent="0.25">
      <c r="B63" s="8" t="s">
        <v>27</v>
      </c>
      <c r="C63" s="425">
        <f>C142</f>
        <v>19334</v>
      </c>
      <c r="D63" s="425">
        <f t="shared" ref="D63:G63" si="53">D142</f>
        <v>20522</v>
      </c>
      <c r="E63" s="425">
        <f t="shared" si="53"/>
        <v>31750</v>
      </c>
      <c r="F63" s="425">
        <f t="shared" si="53"/>
        <v>36092</v>
      </c>
      <c r="G63" s="425">
        <f t="shared" si="53"/>
        <v>42122</v>
      </c>
      <c r="H63" s="383">
        <f>H135-H64</f>
        <v>52624.088465156732</v>
      </c>
      <c r="I63" s="383">
        <f t="shared" ref="I63:R63" si="54">I135-I64</f>
        <v>78534.451204107667</v>
      </c>
      <c r="J63" s="383">
        <f t="shared" si="54"/>
        <v>106992.37776137773</v>
      </c>
      <c r="K63" s="383">
        <f t="shared" si="54"/>
        <v>137625.35458783072</v>
      </c>
      <c r="L63" s="383">
        <f t="shared" si="54"/>
        <v>172988.63707946462</v>
      </c>
      <c r="M63" s="383">
        <f t="shared" si="54"/>
        <v>210643.68400877833</v>
      </c>
      <c r="N63" s="383">
        <f t="shared" si="54"/>
        <v>250796.23904064944</v>
      </c>
      <c r="O63" s="383">
        <f t="shared" si="54"/>
        <v>295075.35945545079</v>
      </c>
      <c r="P63" s="383">
        <f t="shared" si="54"/>
        <v>344635.75990896695</v>
      </c>
      <c r="Q63" s="383">
        <f t="shared" si="54"/>
        <v>399750.95980456215</v>
      </c>
      <c r="R63" s="383">
        <f t="shared" si="54"/>
        <v>451444.81787955447</v>
      </c>
    </row>
    <row r="64" spans="2:20" x14ac:dyDescent="0.25">
      <c r="B64" s="8" t="s">
        <v>439</v>
      </c>
      <c r="C64" s="425">
        <f>SUM(C143:C144)</f>
        <v>265</v>
      </c>
      <c r="D64" s="425">
        <f t="shared" ref="D64:R64" si="55">SUM(D143:D144)</f>
        <v>1334</v>
      </c>
      <c r="E64" s="425">
        <f t="shared" si="55"/>
        <v>423</v>
      </c>
      <c r="F64" s="425">
        <f t="shared" si="55"/>
        <v>318</v>
      </c>
      <c r="G64" s="425">
        <f t="shared" si="55"/>
        <v>255</v>
      </c>
      <c r="H64" s="383">
        <f t="shared" si="55"/>
        <v>255</v>
      </c>
      <c r="I64" s="383">
        <f t="shared" si="55"/>
        <v>255</v>
      </c>
      <c r="J64" s="383">
        <f t="shared" si="55"/>
        <v>255</v>
      </c>
      <c r="K64" s="383">
        <f t="shared" si="55"/>
        <v>255</v>
      </c>
      <c r="L64" s="383">
        <f t="shared" si="55"/>
        <v>255</v>
      </c>
      <c r="M64" s="383">
        <f t="shared" si="55"/>
        <v>255</v>
      </c>
      <c r="N64" s="383">
        <f t="shared" si="55"/>
        <v>255</v>
      </c>
      <c r="O64" s="383">
        <f t="shared" si="55"/>
        <v>255</v>
      </c>
      <c r="P64" s="383">
        <f t="shared" si="55"/>
        <v>255</v>
      </c>
      <c r="Q64" s="383">
        <f t="shared" si="55"/>
        <v>255</v>
      </c>
      <c r="R64" s="383">
        <f t="shared" si="55"/>
        <v>255</v>
      </c>
    </row>
    <row r="65" spans="2:18" x14ac:dyDescent="0.25">
      <c r="B65" s="8" t="s">
        <v>28</v>
      </c>
      <c r="C65" s="425">
        <f>'Raw Data'!C46</f>
        <v>6647</v>
      </c>
      <c r="D65" s="425">
        <f>'Raw Data'!D46</f>
        <v>10464</v>
      </c>
      <c r="E65" s="425">
        <f>'Raw Data'!E46</f>
        <v>9500</v>
      </c>
      <c r="F65" s="425">
        <f>'Raw Data'!F46</f>
        <v>18929</v>
      </c>
      <c r="G65" s="425">
        <f>'Raw Data'!G46</f>
        <v>42274</v>
      </c>
      <c r="H65" s="383">
        <f>G65*(1+'Control Panel'!$O$34)</f>
        <v>43964.959999999999</v>
      </c>
      <c r="I65" s="383">
        <f>H65*(1+'Control Panel'!$O$34)</f>
        <v>45723.558400000002</v>
      </c>
      <c r="J65" s="383">
        <f>I65*(1+'Control Panel'!$O$34)</f>
        <v>47552.500736000002</v>
      </c>
      <c r="K65" s="383">
        <f>J65*(1+'Control Panel'!$O$34)</f>
        <v>49454.600765440002</v>
      </c>
      <c r="L65" s="383">
        <f>K65*(1+'Control Panel'!$O$34)</f>
        <v>51432.784796057604</v>
      </c>
      <c r="M65" s="383">
        <f>L65*(1+'Control Panel'!$O$34)</f>
        <v>53490.096187899908</v>
      </c>
      <c r="N65" s="383">
        <f>M65*(1+'Control Panel'!$O$34)</f>
        <v>55629.700035415903</v>
      </c>
      <c r="O65" s="383">
        <f>N65*(1+'Control Panel'!$O$34)</f>
        <v>57854.888036832541</v>
      </c>
      <c r="P65" s="383">
        <f>O65*(1+'Control Panel'!$O$34)</f>
        <v>60169.083558305843</v>
      </c>
      <c r="Q65" s="383">
        <f>P65*(1+'Control Panel'!$O$34)</f>
        <v>62575.846900638076</v>
      </c>
      <c r="R65" s="383">
        <f>Q65*(1+'Control Panel'!$O$34)</f>
        <v>65078.880776663602</v>
      </c>
    </row>
    <row r="66" spans="2:18" outlineLevel="1" x14ac:dyDescent="0.25">
      <c r="B66" s="8" t="s">
        <v>29</v>
      </c>
      <c r="C66" s="425">
        <f>'Raw Data'!C47</f>
        <v>11461</v>
      </c>
      <c r="D66" s="425">
        <f>'Raw Data'!D47</f>
        <v>16047</v>
      </c>
      <c r="E66" s="425">
        <f>'Raw Data'!E47</f>
        <v>17174</v>
      </c>
      <c r="F66" s="425">
        <f>'Raw Data'!F47</f>
        <v>20497</v>
      </c>
      <c r="G66" s="425">
        <f>'Raw Data'!G47</f>
        <v>23795</v>
      </c>
      <c r="H66" s="383">
        <f>H35/H10*'Control Panel'!$O$30</f>
        <v>36144.487144381987</v>
      </c>
      <c r="I66" s="383">
        <f>I35/I10*'Control Panel'!$O$30</f>
        <v>42861.333842517131</v>
      </c>
      <c r="J66" s="383">
        <f>J35/J10*'Control Panel'!$O$30</f>
        <v>49416.639826835119</v>
      </c>
      <c r="K66" s="383">
        <f>K35/K10*'Control Panel'!$O$30</f>
        <v>55458.497575496069</v>
      </c>
      <c r="L66" s="383">
        <f>L35/L10*'Control Panel'!$O$30</f>
        <v>61300.901076068592</v>
      </c>
      <c r="M66" s="383">
        <f>M35/M10*'Control Panel'!$O$30</f>
        <v>66404.938895428233</v>
      </c>
      <c r="N66" s="383">
        <f>N35/N10*'Control Panel'!$O$30</f>
        <v>70890.787019267373</v>
      </c>
      <c r="O66" s="383">
        <f>O35/O10*'Control Panel'!$O$30</f>
        <v>74562.249109044118</v>
      </c>
      <c r="P66" s="383">
        <f>P35/P10*'Control Panel'!$O$30</f>
        <v>78067.822050324263</v>
      </c>
      <c r="Q66" s="383">
        <f>Q35/Q10*'Control Panel'!$O$30</f>
        <v>80846.898466356448</v>
      </c>
      <c r="R66" s="383">
        <f>R35/R10*'Control Panel'!$O$30</f>
        <v>83163.830264572753</v>
      </c>
    </row>
    <row r="67" spans="2:18" outlineLevel="1" x14ac:dyDescent="0.25">
      <c r="B67" s="8" t="s">
        <v>30</v>
      </c>
      <c r="C67" s="425">
        <f>'Raw Data'!C48-C143</f>
        <v>8074</v>
      </c>
      <c r="D67" s="425">
        <f>'Raw Data'!D48-D143</f>
        <v>11835</v>
      </c>
      <c r="E67" s="425">
        <f>'Raw Data'!E48-E143</f>
        <v>16259</v>
      </c>
      <c r="F67" s="425">
        <f>'Raw Data'!F48-F143</f>
        <v>20540</v>
      </c>
      <c r="G67" s="425">
        <f>'Raw Data'!G48-G143</f>
        <v>24309</v>
      </c>
      <c r="H67" s="383">
        <f>H32/H10*'Control Panel'!$M$30-H143</f>
        <v>32365.23769243318</v>
      </c>
      <c r="I67" s="383">
        <f>I32/I10*'Control Panel'!$M$30-I143</f>
        <v>38423.073409808341</v>
      </c>
      <c r="J67" s="383">
        <f>J32/J10*'Control Panel'!$M$30-J143</f>
        <v>44335.217681487185</v>
      </c>
      <c r="K67" s="383">
        <f>K32/K10*'Control Panel'!$M$30-K143</f>
        <v>49784.289740746761</v>
      </c>
      <c r="L67" s="383">
        <f>L32/L10*'Control Panel'!$M$30-L143</f>
        <v>55053.476636275009</v>
      </c>
      <c r="M67" s="383">
        <f>M32/M10*'Control Panel'!$M$30-M143</f>
        <v>59656.741232671819</v>
      </c>
      <c r="N67" s="383">
        <f>N32/N10*'Control Panel'!$M$30-N143</f>
        <v>63702.468671241739</v>
      </c>
      <c r="O67" s="383">
        <f>O32/O10*'Control Panel'!$M$30-O143</f>
        <v>67013.712054035248</v>
      </c>
      <c r="P67" s="383">
        <f>P32/P10*'Control Panel'!$M$30-P143</f>
        <v>70175.342195072531</v>
      </c>
      <c r="Q67" s="383">
        <f>Q32/Q10*'Control Panel'!$M$30-Q143</f>
        <v>72681.754672675859</v>
      </c>
      <c r="R67" s="383">
        <f>R32/R10*'Control Panel'!$M$30-R143</f>
        <v>74771.364996200704</v>
      </c>
    </row>
    <row r="68" spans="2:18" outlineLevel="1" x14ac:dyDescent="0.25">
      <c r="B68" s="10" t="s">
        <v>31</v>
      </c>
      <c r="C68" s="384">
        <f>SUM(C63:C67)</f>
        <v>45781</v>
      </c>
      <c r="D68" s="384">
        <f t="shared" ref="D68:G68" si="56">SUM(D63:D67)</f>
        <v>60202</v>
      </c>
      <c r="E68" s="384">
        <f t="shared" si="56"/>
        <v>75106</v>
      </c>
      <c r="F68" s="384">
        <f t="shared" si="56"/>
        <v>96376</v>
      </c>
      <c r="G68" s="384">
        <f t="shared" si="56"/>
        <v>132755</v>
      </c>
      <c r="H68" s="384">
        <f t="shared" ref="H68" si="57">SUM(H63:H67)</f>
        <v>165353.7733019719</v>
      </c>
      <c r="I68" s="384">
        <f t="shared" ref="I68" si="58">SUM(I63:I67)</f>
        <v>205797.41685643315</v>
      </c>
      <c r="J68" s="384">
        <f t="shared" ref="J68" si="59">SUM(J63:J67)</f>
        <v>248551.73600570005</v>
      </c>
      <c r="K68" s="384">
        <f t="shared" ref="K68" si="60">SUM(K63:K67)</f>
        <v>292577.74266951357</v>
      </c>
      <c r="L68" s="384">
        <f t="shared" ref="L68" si="61">SUM(L63:L67)</f>
        <v>341030.79958786583</v>
      </c>
      <c r="M68" s="384">
        <f t="shared" ref="M68" si="62">SUM(M63:M67)</f>
        <v>390450.46032477828</v>
      </c>
      <c r="N68" s="384">
        <f t="shared" ref="N68" si="63">SUM(N63:N67)</f>
        <v>441274.19476657442</v>
      </c>
      <c r="O68" s="384">
        <f t="shared" ref="O68" si="64">SUM(O63:O67)</f>
        <v>494761.20865536272</v>
      </c>
      <c r="P68" s="384">
        <f t="shared" ref="P68" si="65">SUM(P63:P67)</f>
        <v>553303.00771266967</v>
      </c>
      <c r="Q68" s="384">
        <f t="shared" ref="Q68" si="66">SUM(Q63:Q67)</f>
        <v>616110.45984423254</v>
      </c>
      <c r="R68" s="384">
        <f t="shared" ref="R68" si="67">SUM(R63:R67)</f>
        <v>674713.89391699154</v>
      </c>
    </row>
    <row r="69" spans="2:18" outlineLevel="1" x14ac:dyDescent="0.25">
      <c r="B69" t="s">
        <v>32</v>
      </c>
      <c r="C69" s="425">
        <f>'Raw Data'!C50</f>
        <v>29114</v>
      </c>
      <c r="D69" s="425">
        <f>'Raw Data'!D50</f>
        <v>48866</v>
      </c>
      <c r="E69" s="425">
        <f>'Raw Data'!E50</f>
        <v>61797</v>
      </c>
      <c r="F69" s="425">
        <f>'Raw Data'!F50</f>
        <v>72705</v>
      </c>
      <c r="G69" s="425">
        <f>'Raw Data'!G50</f>
        <v>113114</v>
      </c>
      <c r="H69" s="383">
        <f>H199</f>
        <v>143386.81253800954</v>
      </c>
      <c r="I69" s="383">
        <f t="shared" ref="I69:R69" si="68">I199</f>
        <v>176911.60530683145</v>
      </c>
      <c r="J69" s="383">
        <f t="shared" si="68"/>
        <v>212595.24250167081</v>
      </c>
      <c r="K69" s="383">
        <f t="shared" si="68"/>
        <v>249125.42406120355</v>
      </c>
      <c r="L69" s="383">
        <f t="shared" si="68"/>
        <v>285067.44058742619</v>
      </c>
      <c r="M69" s="383">
        <f t="shared" si="68"/>
        <v>318953.87748720392</v>
      </c>
      <c r="N69" s="383">
        <f t="shared" si="68"/>
        <v>353434.94771031506</v>
      </c>
      <c r="O69" s="383">
        <f t="shared" si="68"/>
        <v>384117.81969314627</v>
      </c>
      <c r="P69" s="383">
        <f t="shared" si="68"/>
        <v>408772.92922052357</v>
      </c>
      <c r="Q69" s="383">
        <f t="shared" si="68"/>
        <v>426329.81375768624</v>
      </c>
      <c r="R69" s="383">
        <f t="shared" si="68"/>
        <v>448847.27320617036</v>
      </c>
    </row>
    <row r="70" spans="2:18" outlineLevel="1" x14ac:dyDescent="0.25">
      <c r="B70" t="s">
        <v>192</v>
      </c>
      <c r="C70" s="425">
        <f>'Raw Data'!C51</f>
        <v>0</v>
      </c>
      <c r="D70" s="425">
        <f>'Raw Data'!D51</f>
        <v>0</v>
      </c>
      <c r="E70" s="425">
        <f>'Raw Data'!E51</f>
        <v>0</v>
      </c>
      <c r="F70" s="425">
        <f>'Raw Data'!F51</f>
        <v>25141</v>
      </c>
      <c r="G70" s="425">
        <f>'Raw Data'!G51</f>
        <v>37553</v>
      </c>
      <c r="H70" s="383">
        <f>H250</f>
        <v>49957.829183163245</v>
      </c>
      <c r="I70" s="383">
        <f t="shared" ref="I70:R70" si="69">I250</f>
        <v>64131.248748537182</v>
      </c>
      <c r="J70" s="383">
        <f t="shared" si="69"/>
        <v>79798.966649955008</v>
      </c>
      <c r="K70" s="383">
        <f t="shared" si="69"/>
        <v>96606.099850725834</v>
      </c>
      <c r="L70" s="383">
        <f t="shared" si="69"/>
        <v>114148.14871816759</v>
      </c>
      <c r="M70" s="383">
        <f t="shared" si="69"/>
        <v>132000.45363500598</v>
      </c>
      <c r="N70" s="383">
        <f t="shared" si="69"/>
        <v>149742.68434281406</v>
      </c>
      <c r="O70" s="383">
        <f t="shared" si="69"/>
        <v>166976.85383327759</v>
      </c>
      <c r="P70" s="383">
        <f t="shared" si="69"/>
        <v>183338.86428561239</v>
      </c>
      <c r="Q70" s="383">
        <f t="shared" si="69"/>
        <v>198504.50758030073</v>
      </c>
      <c r="R70" s="383">
        <f t="shared" si="69"/>
        <v>212191.22222085658</v>
      </c>
    </row>
    <row r="71" spans="2:18" outlineLevel="1" x14ac:dyDescent="0.25">
      <c r="B71" t="s">
        <v>33</v>
      </c>
      <c r="C71" s="425">
        <f>'Raw Data'!C52</f>
        <v>3784</v>
      </c>
      <c r="D71" s="425">
        <f>'Raw Data'!D52</f>
        <v>13350</v>
      </c>
      <c r="E71" s="425">
        <f>'Raw Data'!E52</f>
        <v>14548</v>
      </c>
      <c r="F71" s="425">
        <f>'Raw Data'!F52</f>
        <v>14754</v>
      </c>
      <c r="G71" s="425">
        <f>'Raw Data'!G52</f>
        <v>15017</v>
      </c>
      <c r="H71" s="383">
        <v>15017</v>
      </c>
      <c r="I71" s="383">
        <v>15017</v>
      </c>
      <c r="J71" s="383">
        <v>15017</v>
      </c>
      <c r="K71" s="383">
        <v>15017</v>
      </c>
      <c r="L71" s="383">
        <v>15017</v>
      </c>
      <c r="M71" s="383">
        <v>15017</v>
      </c>
      <c r="N71" s="383">
        <v>15017</v>
      </c>
      <c r="O71" s="383">
        <v>15017</v>
      </c>
      <c r="P71" s="383">
        <v>15017</v>
      </c>
      <c r="Q71" s="383">
        <v>15017</v>
      </c>
      <c r="R71" s="383">
        <v>15017</v>
      </c>
    </row>
    <row r="72" spans="2:18" outlineLevel="1" x14ac:dyDescent="0.25">
      <c r="B72" t="s">
        <v>34</v>
      </c>
      <c r="C72" s="425">
        <f>'Raw Data'!C53-C144</f>
        <v>4723</v>
      </c>
      <c r="D72" s="425">
        <f>'Raw Data'!D53-D144</f>
        <v>8892</v>
      </c>
      <c r="E72" s="425">
        <f>'Raw Data'!E53-E144</f>
        <v>11197</v>
      </c>
      <c r="F72" s="425">
        <f>'Raw Data'!F53-F144</f>
        <v>16272</v>
      </c>
      <c r="G72" s="425">
        <f>'Raw Data'!G53-G144</f>
        <v>22756</v>
      </c>
      <c r="H72" s="383">
        <f>G72</f>
        <v>22756</v>
      </c>
      <c r="I72" s="383">
        <f t="shared" ref="I72:R72" si="70">H72</f>
        <v>22756</v>
      </c>
      <c r="J72" s="383">
        <f t="shared" si="70"/>
        <v>22756</v>
      </c>
      <c r="K72" s="383">
        <f t="shared" si="70"/>
        <v>22756</v>
      </c>
      <c r="L72" s="383">
        <f t="shared" si="70"/>
        <v>22756</v>
      </c>
      <c r="M72" s="383">
        <f t="shared" si="70"/>
        <v>22756</v>
      </c>
      <c r="N72" s="383">
        <f t="shared" si="70"/>
        <v>22756</v>
      </c>
      <c r="O72" s="383">
        <f t="shared" si="70"/>
        <v>22756</v>
      </c>
      <c r="P72" s="383">
        <f t="shared" si="70"/>
        <v>22756</v>
      </c>
      <c r="Q72" s="383">
        <f t="shared" si="70"/>
        <v>22756</v>
      </c>
      <c r="R72" s="383">
        <f t="shared" si="70"/>
        <v>22756</v>
      </c>
    </row>
    <row r="73" spans="2:18" ht="14.4" outlineLevel="1" thickBot="1" x14ac:dyDescent="0.3">
      <c r="B73" s="14" t="s">
        <v>35</v>
      </c>
      <c r="C73" s="389">
        <f>SUM(C68:C72)</f>
        <v>83402</v>
      </c>
      <c r="D73" s="389">
        <f t="shared" ref="D73:R73" si="71">SUM(D68:D72)</f>
        <v>131310</v>
      </c>
      <c r="E73" s="389">
        <f t="shared" si="71"/>
        <v>162648</v>
      </c>
      <c r="F73" s="389">
        <f t="shared" si="71"/>
        <v>225248</v>
      </c>
      <c r="G73" s="389">
        <f t="shared" si="71"/>
        <v>321195</v>
      </c>
      <c r="H73" s="389">
        <f t="shared" si="71"/>
        <v>396471.41502314468</v>
      </c>
      <c r="I73" s="389">
        <f t="shared" si="71"/>
        <v>484613.27091180172</v>
      </c>
      <c r="J73" s="389">
        <f t="shared" si="71"/>
        <v>578718.94515732583</v>
      </c>
      <c r="K73" s="389">
        <f t="shared" si="71"/>
        <v>676082.26658144291</v>
      </c>
      <c r="L73" s="389">
        <f t="shared" si="71"/>
        <v>778019.38889345957</v>
      </c>
      <c r="M73" s="389">
        <f t="shared" si="71"/>
        <v>879177.79144698824</v>
      </c>
      <c r="N73" s="389">
        <f t="shared" si="71"/>
        <v>982224.82681970356</v>
      </c>
      <c r="O73" s="389">
        <f t="shared" si="71"/>
        <v>1083628.8821817865</v>
      </c>
      <c r="P73" s="389">
        <f t="shared" si="71"/>
        <v>1183187.8012188056</v>
      </c>
      <c r="Q73" s="389">
        <f t="shared" si="71"/>
        <v>1278717.7811822195</v>
      </c>
      <c r="R73" s="389">
        <f t="shared" si="71"/>
        <v>1373525.3893440184</v>
      </c>
    </row>
    <row r="74" spans="2:18" ht="14.4" outlineLevel="1" thickTop="1" x14ac:dyDescent="0.25">
      <c r="C74" s="23"/>
      <c r="D74" s="23"/>
      <c r="E74" s="23"/>
      <c r="F74" s="23"/>
      <c r="G74" s="23"/>
      <c r="H74" s="23"/>
      <c r="I74" s="23"/>
      <c r="J74" s="23"/>
      <c r="K74" s="23"/>
      <c r="L74" s="23"/>
      <c r="M74" s="23"/>
      <c r="N74" s="23"/>
      <c r="O74" s="23"/>
      <c r="P74" s="23"/>
      <c r="Q74" s="23"/>
      <c r="R74" s="23"/>
    </row>
    <row r="75" spans="2:18" outlineLevel="1" x14ac:dyDescent="0.25">
      <c r="B75" t="s">
        <v>553</v>
      </c>
      <c r="C75" s="23"/>
      <c r="D75" s="23"/>
      <c r="E75" s="23"/>
      <c r="F75" s="23"/>
      <c r="G75" s="23"/>
      <c r="H75" s="23"/>
      <c r="I75" s="23"/>
      <c r="J75" s="23"/>
      <c r="K75" s="23"/>
      <c r="L75" s="23"/>
      <c r="M75" s="23"/>
      <c r="N75" s="23"/>
      <c r="O75" s="23"/>
      <c r="P75" s="23"/>
      <c r="Q75" s="23"/>
      <c r="R75" s="23"/>
    </row>
    <row r="76" spans="2:18" outlineLevel="1" x14ac:dyDescent="0.25">
      <c r="B76" t="s">
        <v>37</v>
      </c>
      <c r="C76" s="23"/>
      <c r="D76" s="23"/>
      <c r="E76" s="23"/>
      <c r="F76" s="23"/>
      <c r="G76" s="23"/>
      <c r="H76" s="23"/>
      <c r="I76" s="23"/>
      <c r="J76" s="23"/>
      <c r="K76" s="23"/>
      <c r="L76" s="23"/>
      <c r="M76" s="23"/>
      <c r="N76" s="23"/>
      <c r="O76" s="23"/>
      <c r="P76" s="23"/>
      <c r="Q76" s="23"/>
      <c r="R76" s="23"/>
    </row>
    <row r="77" spans="2:18" outlineLevel="1" x14ac:dyDescent="0.25">
      <c r="B77" s="8" t="s">
        <v>38</v>
      </c>
      <c r="C77" s="425">
        <f>'Raw Data'!C57</f>
        <v>25309</v>
      </c>
      <c r="D77" s="425">
        <f>'Raw Data'!D57</f>
        <v>34616</v>
      </c>
      <c r="E77" s="425">
        <f>'Raw Data'!E57</f>
        <v>38192</v>
      </c>
      <c r="F77" s="425">
        <f>'Raw Data'!F57</f>
        <v>47183</v>
      </c>
      <c r="G77" s="425">
        <f>'Raw Data'!G57</f>
        <v>72539</v>
      </c>
      <c r="H77" s="383">
        <f>SUM(H35,H40,H41,H36)/H10*'Control Panel'!$N$30</f>
        <v>83960.700639645918</v>
      </c>
      <c r="I77" s="383">
        <f>SUM(I35,I40,I41,I36)/I10*'Control Panel'!$N$30</f>
        <v>99404.142666323736</v>
      </c>
      <c r="J77" s="383">
        <f>SUM(J35,J40,J41,J36)/J10*'Control Panel'!$N$30</f>
        <v>114410.41404555802</v>
      </c>
      <c r="K77" s="383">
        <f>SUM(K35,K40,K41,K36)/K10*'Control Panel'!$N$30</f>
        <v>128161.58962801435</v>
      </c>
      <c r="L77" s="383">
        <f>SUM(L35,L40,L41,L36)/L10*'Control Panel'!$N$30</f>
        <v>141382.64906965147</v>
      </c>
      <c r="M77" s="383">
        <f>SUM(M35,M40,M41,M36)/M10*'Control Panel'!$N$30</f>
        <v>152831.02684874425</v>
      </c>
      <c r="N77" s="383">
        <f>SUM(N35,N40,N41,N36)/N10*'Control Panel'!$N$30</f>
        <v>162789.8834839531</v>
      </c>
      <c r="O77" s="383">
        <f>SUM(O35,O40,O41,O36)/O10*'Control Panel'!$N$30</f>
        <v>170817.02764844024</v>
      </c>
      <c r="P77" s="383">
        <f>SUM(P35,P40,P41,P36)/P10*'Control Panel'!$N$30</f>
        <v>178406.79089516049</v>
      </c>
      <c r="Q77" s="383">
        <f>SUM(Q35,Q40,Q41,Q36)/Q10*'Control Panel'!$N$30</f>
        <v>184284.02709993269</v>
      </c>
      <c r="R77" s="383">
        <f>SUM(R35,R40,R41,R36)/R10*'Control Panel'!$N$30</f>
        <v>189063.3618576843</v>
      </c>
    </row>
    <row r="78" spans="2:18" outlineLevel="1" x14ac:dyDescent="0.25">
      <c r="B78" s="8" t="s">
        <v>39</v>
      </c>
      <c r="C78" s="425">
        <f>'Raw Data'!C58</f>
        <v>13739</v>
      </c>
      <c r="D78" s="425">
        <f>'Raw Data'!D58</f>
        <v>18170</v>
      </c>
      <c r="E78" s="425">
        <f>'Raw Data'!E58</f>
        <v>23663</v>
      </c>
      <c r="F78" s="425">
        <f>'Raw Data'!F58</f>
        <v>32439</v>
      </c>
      <c r="G78" s="425">
        <f>'Raw Data'!G58</f>
        <v>44138</v>
      </c>
      <c r="H78" s="383">
        <f>H32*'Control Panel'!$O$32</f>
        <v>50569.768018027731</v>
      </c>
      <c r="I78" s="383">
        <f>I32*'Control Panel'!$O$32</f>
        <v>59967.311216815266</v>
      </c>
      <c r="J78" s="383">
        <f>J32*'Control Panel'!$O$32</f>
        <v>69138.842731149532</v>
      </c>
      <c r="K78" s="383">
        <f>K32*'Control Panel'!$O$32</f>
        <v>77804.589436371956</v>
      </c>
      <c r="L78" s="383">
        <f>L32*'Control Panel'!$O$32</f>
        <v>85766.117923592974</v>
      </c>
      <c r="M78" s="383">
        <f>M32*'Control Panel'!$O$32</f>
        <v>92907.179503723193</v>
      </c>
      <c r="N78" s="383">
        <f>N32*'Control Panel'!$O$32</f>
        <v>99183.331606268926</v>
      </c>
      <c r="O78" s="383">
        <f>O32*'Control Panel'!$O$32</f>
        <v>104605.88427380916</v>
      </c>
      <c r="P78" s="383">
        <f>P32*'Control Panel'!$O$32</f>
        <v>109224.72450604946</v>
      </c>
      <c r="Q78" s="383">
        <f>Q32*'Control Panel'!$O$32</f>
        <v>113112.93155410446</v>
      </c>
      <c r="R78" s="383">
        <f>R32*'Control Panel'!$O$32</f>
        <v>116354.55186210216</v>
      </c>
    </row>
    <row r="79" spans="2:18" outlineLevel="1" x14ac:dyDescent="0.25">
      <c r="B79" s="8" t="s">
        <v>40</v>
      </c>
      <c r="C79" s="425">
        <f>'Raw Data'!C59</f>
        <v>4768</v>
      </c>
      <c r="D79" s="425">
        <f>'Raw Data'!D59</f>
        <v>5097</v>
      </c>
      <c r="E79" s="425">
        <f>'Raw Data'!E59</f>
        <v>6536</v>
      </c>
      <c r="F79" s="425">
        <f>'Raw Data'!F59</f>
        <v>8190</v>
      </c>
      <c r="G79" s="425">
        <f>'Raw Data'!G59</f>
        <v>9708</v>
      </c>
      <c r="H79" s="383">
        <f>H32*'Control Panel'!$O$33</f>
        <v>13818.378206072448</v>
      </c>
      <c r="I79" s="383">
        <f>I32*'Control Panel'!$O$33</f>
        <v>16386.292025302471</v>
      </c>
      <c r="J79" s="383">
        <f>J32*'Control Panel'!$O$33</f>
        <v>18892.447306631886</v>
      </c>
      <c r="K79" s="383">
        <f>K32*'Control Panel'!$O$33</f>
        <v>21260.39499759422</v>
      </c>
      <c r="L79" s="383">
        <f>L32*'Control Panel'!$O$33</f>
        <v>23435.912427209878</v>
      </c>
      <c r="M79" s="383">
        <f>M32*'Control Panel'!$O$33</f>
        <v>25387.234206497349</v>
      </c>
      <c r="N79" s="383">
        <f>N32*'Control Panel'!$O$33</f>
        <v>27102.216236885477</v>
      </c>
      <c r="O79" s="383">
        <f>O32*'Control Panel'!$O$33</f>
        <v>28583.949029800522</v>
      </c>
      <c r="P79" s="383">
        <f>P32*'Control Panel'!$O$33</f>
        <v>29846.064394454097</v>
      </c>
      <c r="Q79" s="383">
        <f>Q32*'Control Panel'!$O$33</f>
        <v>30908.531509477973</v>
      </c>
      <c r="R79" s="383">
        <f>R32*'Control Panel'!$O$33</f>
        <v>31794.31638000434</v>
      </c>
    </row>
    <row r="80" spans="2:18" outlineLevel="1" x14ac:dyDescent="0.25">
      <c r="B80" s="10" t="s">
        <v>41</v>
      </c>
      <c r="C80" s="384">
        <f>SUM(C77:C79)</f>
        <v>43816</v>
      </c>
      <c r="D80" s="384">
        <f t="shared" ref="D80:G80" si="72">SUM(D77:D79)</f>
        <v>57883</v>
      </c>
      <c r="E80" s="384">
        <f t="shared" si="72"/>
        <v>68391</v>
      </c>
      <c r="F80" s="384">
        <f t="shared" si="72"/>
        <v>87812</v>
      </c>
      <c r="G80" s="384">
        <f t="shared" si="72"/>
        <v>126385</v>
      </c>
      <c r="H80" s="384">
        <f t="shared" ref="H80" si="73">SUM(H77:H79)</f>
        <v>148348.84686374612</v>
      </c>
      <c r="I80" s="384">
        <f t="shared" ref="I80" si="74">SUM(I77:I79)</f>
        <v>175757.74590844149</v>
      </c>
      <c r="J80" s="384">
        <f t="shared" ref="J80" si="75">SUM(J77:J79)</f>
        <v>202441.70408333943</v>
      </c>
      <c r="K80" s="384">
        <f t="shared" ref="K80" si="76">SUM(K77:K79)</f>
        <v>227226.5740619805</v>
      </c>
      <c r="L80" s="384">
        <f t="shared" ref="L80" si="77">SUM(L77:L79)</f>
        <v>250584.67942045431</v>
      </c>
      <c r="M80" s="384">
        <f t="shared" ref="M80" si="78">SUM(M77:M79)</f>
        <v>271125.44055896479</v>
      </c>
      <c r="N80" s="384">
        <f t="shared" ref="N80" si="79">SUM(N77:N79)</f>
        <v>289075.43132710748</v>
      </c>
      <c r="O80" s="384">
        <f t="shared" ref="O80" si="80">SUM(O77:O79)</f>
        <v>304006.86095204996</v>
      </c>
      <c r="P80" s="384">
        <f t="shared" ref="P80" si="81">SUM(P77:P79)</f>
        <v>317477.57979566406</v>
      </c>
      <c r="Q80" s="384">
        <f t="shared" ref="Q80" si="82">SUM(Q77:Q79)</f>
        <v>328305.49016351515</v>
      </c>
      <c r="R80" s="384">
        <f t="shared" ref="R80" si="83">SUM(R77:R79)</f>
        <v>337212.23009979079</v>
      </c>
    </row>
    <row r="81" spans="1:21" outlineLevel="1" x14ac:dyDescent="0.25">
      <c r="B81" t="s">
        <v>209</v>
      </c>
      <c r="C81" s="425">
        <f>'Raw Data'!C61</f>
        <v>0</v>
      </c>
      <c r="D81" s="425">
        <f>'Raw Data'!D61</f>
        <v>0</v>
      </c>
      <c r="E81" s="425">
        <f>'Raw Data'!E61</f>
        <v>9650</v>
      </c>
      <c r="F81" s="425">
        <f>'Raw Data'!F61</f>
        <v>39791</v>
      </c>
      <c r="G81" s="425">
        <f>'Raw Data'!G61</f>
        <v>52573</v>
      </c>
      <c r="H81" s="383">
        <f>H233+H284</f>
        <v>80843.459219957571</v>
      </c>
      <c r="I81" s="383">
        <f t="shared" ref="I81:R81" si="84">I233+I284</f>
        <v>112285.68056798489</v>
      </c>
      <c r="J81" s="383">
        <f t="shared" si="84"/>
        <v>146153.70330167224</v>
      </c>
      <c r="K81" s="383">
        <f t="shared" si="84"/>
        <v>181526.41020163227</v>
      </c>
      <c r="L81" s="383">
        <f t="shared" si="84"/>
        <v>217380.24999651592</v>
      </c>
      <c r="M81" s="383">
        <f t="shared" si="84"/>
        <v>252657.39971921084</v>
      </c>
      <c r="N81" s="383">
        <f t="shared" si="84"/>
        <v>288652.03746154276</v>
      </c>
      <c r="O81" s="383">
        <f t="shared" si="84"/>
        <v>322642.50599128532</v>
      </c>
      <c r="P81" s="383">
        <f t="shared" si="84"/>
        <v>353159.94297816994</v>
      </c>
      <c r="Q81" s="383">
        <f t="shared" si="84"/>
        <v>379418.25471999741</v>
      </c>
      <c r="R81" s="383">
        <f t="shared" si="84"/>
        <v>402820.85342013987</v>
      </c>
    </row>
    <row r="82" spans="1:21" outlineLevel="1" x14ac:dyDescent="0.25">
      <c r="B82" t="s">
        <v>42</v>
      </c>
      <c r="C82" s="425">
        <f>'Raw Data'!C62</f>
        <v>7694</v>
      </c>
      <c r="D82" s="425">
        <f>'Raw Data'!D62</f>
        <v>24743</v>
      </c>
      <c r="E82" s="425">
        <f>'Raw Data'!E62</f>
        <v>23495</v>
      </c>
      <c r="F82" s="425">
        <f>'Raw Data'!F62</f>
        <v>23414</v>
      </c>
      <c r="G82" s="425">
        <f>'Raw Data'!G62</f>
        <v>31816</v>
      </c>
      <c r="H82" s="383">
        <f>H316</f>
        <v>30661</v>
      </c>
      <c r="I82" s="383">
        <f t="shared" ref="I82:R82" si="85">I316</f>
        <v>29032</v>
      </c>
      <c r="J82" s="383">
        <f t="shared" si="85"/>
        <v>26749</v>
      </c>
      <c r="K82" s="383">
        <f t="shared" si="85"/>
        <v>23394</v>
      </c>
      <c r="L82" s="383">
        <f t="shared" si="85"/>
        <v>21143</v>
      </c>
      <c r="M82" s="383">
        <f t="shared" si="85"/>
        <v>17393</v>
      </c>
      <c r="N82" s="383">
        <f t="shared" si="85"/>
        <v>13643</v>
      </c>
      <c r="O82" s="383">
        <f t="shared" si="85"/>
        <v>9893</v>
      </c>
      <c r="P82" s="383">
        <f t="shared" si="85"/>
        <v>6143</v>
      </c>
      <c r="Q82" s="383">
        <f t="shared" si="85"/>
        <v>2393</v>
      </c>
      <c r="R82" s="383">
        <f t="shared" si="85"/>
        <v>0</v>
      </c>
    </row>
    <row r="83" spans="1:21" outlineLevel="1" x14ac:dyDescent="0.25">
      <c r="B83" t="s">
        <v>43</v>
      </c>
      <c r="C83" s="425">
        <f>'Raw Data'!C63</f>
        <v>12607</v>
      </c>
      <c r="D83" s="425">
        <f>'Raw Data'!D63</f>
        <v>20975</v>
      </c>
      <c r="E83" s="425">
        <f>'Raw Data'!E63</f>
        <v>17563</v>
      </c>
      <c r="F83" s="425">
        <f>'Raw Data'!F63</f>
        <v>12171</v>
      </c>
      <c r="G83" s="425">
        <f>'Raw Data'!G63</f>
        <v>17017</v>
      </c>
      <c r="H83" s="383">
        <v>17017</v>
      </c>
      <c r="I83" s="383">
        <v>17017</v>
      </c>
      <c r="J83" s="383">
        <v>17017</v>
      </c>
      <c r="K83" s="383">
        <v>17017</v>
      </c>
      <c r="L83" s="383">
        <v>17017</v>
      </c>
      <c r="M83" s="383">
        <v>17017</v>
      </c>
      <c r="N83" s="383">
        <v>17017</v>
      </c>
      <c r="O83" s="383">
        <v>17017</v>
      </c>
      <c r="P83" s="383">
        <v>17017</v>
      </c>
      <c r="Q83" s="383">
        <v>17017</v>
      </c>
      <c r="R83" s="383">
        <v>17017</v>
      </c>
    </row>
    <row r="84" spans="1:21" outlineLevel="1" x14ac:dyDescent="0.25">
      <c r="B84" s="12" t="s">
        <v>80</v>
      </c>
      <c r="C84" s="384">
        <f>SUM(C80:C83)</f>
        <v>64117</v>
      </c>
      <c r="D84" s="384">
        <f t="shared" ref="D84:F84" si="86">SUM(D80:D83)</f>
        <v>103601</v>
      </c>
      <c r="E84" s="384">
        <f t="shared" si="86"/>
        <v>119099</v>
      </c>
      <c r="F84" s="384">
        <f t="shared" si="86"/>
        <v>163188</v>
      </c>
      <c r="G84" s="384">
        <f>SUM(G80:G83)</f>
        <v>227791</v>
      </c>
      <c r="H84" s="384">
        <f t="shared" ref="H84:R84" si="87">SUM(H80:H83)</f>
        <v>276870.3060837037</v>
      </c>
      <c r="I84" s="384">
        <f t="shared" si="87"/>
        <v>334092.42647642636</v>
      </c>
      <c r="J84" s="384">
        <f t="shared" si="87"/>
        <v>392361.40738501167</v>
      </c>
      <c r="K84" s="384">
        <f t="shared" si="87"/>
        <v>449163.98426361277</v>
      </c>
      <c r="L84" s="384">
        <f t="shared" si="87"/>
        <v>506124.92941697023</v>
      </c>
      <c r="M84" s="384">
        <f t="shared" si="87"/>
        <v>558192.84027817566</v>
      </c>
      <c r="N84" s="384">
        <f t="shared" si="87"/>
        <v>608387.46878865024</v>
      </c>
      <c r="O84" s="384">
        <f t="shared" si="87"/>
        <v>653559.36694333528</v>
      </c>
      <c r="P84" s="384">
        <f t="shared" si="87"/>
        <v>693797.52277383395</v>
      </c>
      <c r="Q84" s="384">
        <f t="shared" si="87"/>
        <v>727133.74488351261</v>
      </c>
      <c r="R84" s="384">
        <f t="shared" si="87"/>
        <v>757050.08351993072</v>
      </c>
    </row>
    <row r="85" spans="1:21" outlineLevel="1" x14ac:dyDescent="0.25">
      <c r="B85" t="s">
        <v>44</v>
      </c>
      <c r="C85" s="23"/>
      <c r="D85" s="23"/>
      <c r="E85" s="23"/>
      <c r="F85" s="23"/>
      <c r="G85" s="5"/>
      <c r="H85" s="23"/>
      <c r="I85" s="23"/>
      <c r="J85" s="23"/>
      <c r="K85" s="23"/>
      <c r="L85" s="23"/>
      <c r="M85" s="23"/>
      <c r="N85" s="23"/>
      <c r="O85" s="23"/>
      <c r="P85" s="23"/>
      <c r="Q85" s="23"/>
      <c r="R85" s="23"/>
    </row>
    <row r="86" spans="1:21" outlineLevel="1" x14ac:dyDescent="0.25">
      <c r="B86" s="8" t="s">
        <v>81</v>
      </c>
      <c r="C86" s="425">
        <f>'Raw Data'!C72</f>
        <v>5</v>
      </c>
      <c r="D86" s="425">
        <f>'Raw Data'!D72</f>
        <v>5</v>
      </c>
      <c r="E86" s="425">
        <f>'Raw Data'!E72</f>
        <v>5</v>
      </c>
      <c r="F86" s="425">
        <f>'Raw Data'!F72</f>
        <v>5</v>
      </c>
      <c r="G86" s="425">
        <f>'Raw Data'!G72</f>
        <v>5</v>
      </c>
      <c r="H86" s="383">
        <f>G86+H295</f>
        <v>5</v>
      </c>
      <c r="I86" s="383">
        <f t="shared" ref="I86:R86" si="88">H86+I295</f>
        <v>5</v>
      </c>
      <c r="J86" s="383">
        <f t="shared" si="88"/>
        <v>5</v>
      </c>
      <c r="K86" s="383">
        <f t="shared" si="88"/>
        <v>5</v>
      </c>
      <c r="L86" s="383">
        <f t="shared" si="88"/>
        <v>5</v>
      </c>
      <c r="M86" s="383">
        <f t="shared" si="88"/>
        <v>5</v>
      </c>
      <c r="N86" s="383">
        <f t="shared" si="88"/>
        <v>5</v>
      </c>
      <c r="O86" s="383">
        <f t="shared" si="88"/>
        <v>5</v>
      </c>
      <c r="P86" s="383">
        <f t="shared" si="88"/>
        <v>5</v>
      </c>
      <c r="Q86" s="383">
        <f t="shared" si="88"/>
        <v>5</v>
      </c>
      <c r="R86" s="383">
        <f t="shared" si="88"/>
        <v>5</v>
      </c>
    </row>
    <row r="87" spans="1:21" outlineLevel="1" x14ac:dyDescent="0.25">
      <c r="B87" s="8" t="s">
        <v>52</v>
      </c>
      <c r="C87" s="425">
        <f>'Raw Data'!C73</f>
        <v>-1837</v>
      </c>
      <c r="D87" s="425">
        <f>'Raw Data'!D73</f>
        <v>-1837</v>
      </c>
      <c r="E87" s="425">
        <f>'Raw Data'!E73</f>
        <v>-1837</v>
      </c>
      <c r="F87" s="425">
        <f>'Raw Data'!F73</f>
        <v>-1837</v>
      </c>
      <c r="G87" s="425">
        <f>'Raw Data'!G73</f>
        <v>-1837</v>
      </c>
      <c r="H87" s="383">
        <f>G87</f>
        <v>-1837</v>
      </c>
      <c r="I87" s="383">
        <f t="shared" ref="I87:R87" si="89">H87</f>
        <v>-1837</v>
      </c>
      <c r="J87" s="383">
        <f t="shared" si="89"/>
        <v>-1837</v>
      </c>
      <c r="K87" s="383">
        <f t="shared" si="89"/>
        <v>-1837</v>
      </c>
      <c r="L87" s="383">
        <f t="shared" si="89"/>
        <v>-1837</v>
      </c>
      <c r="M87" s="383">
        <f t="shared" si="89"/>
        <v>-1837</v>
      </c>
      <c r="N87" s="383">
        <f t="shared" si="89"/>
        <v>-1837</v>
      </c>
      <c r="O87" s="383">
        <f t="shared" si="89"/>
        <v>-1837</v>
      </c>
      <c r="P87" s="383">
        <f t="shared" si="89"/>
        <v>-1837</v>
      </c>
      <c r="Q87" s="383">
        <f t="shared" si="89"/>
        <v>-1837</v>
      </c>
      <c r="R87" s="383">
        <f t="shared" si="89"/>
        <v>-1837</v>
      </c>
    </row>
    <row r="88" spans="1:21" outlineLevel="1" x14ac:dyDescent="0.25">
      <c r="B88" s="8" t="s">
        <v>53</v>
      </c>
      <c r="C88" s="425">
        <f>'Raw Data'!C74</f>
        <v>17186</v>
      </c>
      <c r="D88" s="425">
        <f>'Raw Data'!D74</f>
        <v>21389</v>
      </c>
      <c r="E88" s="425">
        <f>'Raw Data'!E74</f>
        <v>26791</v>
      </c>
      <c r="F88" s="425">
        <f>'Raw Data'!F74</f>
        <v>33658</v>
      </c>
      <c r="G88" s="425">
        <f>'Raw Data'!G74</f>
        <v>42865</v>
      </c>
      <c r="H88" s="383">
        <f>G88+H106</f>
        <v>53946.772900603595</v>
      </c>
      <c r="I88" s="383">
        <f t="shared" ref="I88:R88" si="90">H88+I106</f>
        <v>67087.907424449149</v>
      </c>
      <c r="J88" s="383">
        <f t="shared" si="90"/>
        <v>82238.875755646732</v>
      </c>
      <c r="K88" s="383">
        <f t="shared" si="90"/>
        <v>99288.841071904521</v>
      </c>
      <c r="L88" s="383">
        <f t="shared" si="90"/>
        <v>118083.48219141332</v>
      </c>
      <c r="M88" s="383">
        <f t="shared" si="90"/>
        <v>138443.00339247633</v>
      </c>
      <c r="N88" s="383">
        <f t="shared" si="90"/>
        <v>160177.86988413395</v>
      </c>
      <c r="O88" s="383">
        <f t="shared" si="90"/>
        <v>183101.02533890924</v>
      </c>
      <c r="P88" s="383">
        <f t="shared" si="90"/>
        <v>207036.34558153982</v>
      </c>
      <c r="Q88" s="383">
        <f t="shared" si="90"/>
        <v>231823.72089948162</v>
      </c>
      <c r="R88" s="383">
        <f t="shared" si="90"/>
        <v>257321.45937492119</v>
      </c>
    </row>
    <row r="89" spans="1:21" outlineLevel="1" x14ac:dyDescent="0.25">
      <c r="B89" s="8" t="s">
        <v>54</v>
      </c>
      <c r="C89" s="425">
        <f>'Raw Data'!C75</f>
        <v>-985</v>
      </c>
      <c r="D89" s="425">
        <f>'Raw Data'!D75</f>
        <v>-484</v>
      </c>
      <c r="E89" s="425">
        <f>'Raw Data'!E75</f>
        <v>-1035</v>
      </c>
      <c r="F89" s="425">
        <f>'Raw Data'!F75</f>
        <v>-986</v>
      </c>
      <c r="G89" s="425">
        <f>'Raw Data'!G75</f>
        <v>-180</v>
      </c>
      <c r="H89" s="383">
        <f>G89</f>
        <v>-180</v>
      </c>
      <c r="I89" s="383">
        <f t="shared" ref="I89:R89" si="91">H89</f>
        <v>-180</v>
      </c>
      <c r="J89" s="383">
        <f t="shared" si="91"/>
        <v>-180</v>
      </c>
      <c r="K89" s="383">
        <f t="shared" si="91"/>
        <v>-180</v>
      </c>
      <c r="L89" s="383">
        <f t="shared" si="91"/>
        <v>-180</v>
      </c>
      <c r="M89" s="383">
        <f t="shared" si="91"/>
        <v>-180</v>
      </c>
      <c r="N89" s="383">
        <f t="shared" si="91"/>
        <v>-180</v>
      </c>
      <c r="O89" s="383">
        <f t="shared" si="91"/>
        <v>-180</v>
      </c>
      <c r="P89" s="383">
        <f t="shared" si="91"/>
        <v>-180</v>
      </c>
      <c r="Q89" s="383">
        <f t="shared" si="91"/>
        <v>-180</v>
      </c>
      <c r="R89" s="383">
        <f t="shared" si="91"/>
        <v>-180</v>
      </c>
    </row>
    <row r="90" spans="1:21" outlineLevel="1" x14ac:dyDescent="0.25">
      <c r="B90" s="8" t="s">
        <v>55</v>
      </c>
      <c r="C90" s="425">
        <f>'Raw Data'!C76</f>
        <v>4916</v>
      </c>
      <c r="D90" s="425">
        <f>'Raw Data'!D76</f>
        <v>8636</v>
      </c>
      <c r="E90" s="425">
        <f>'Raw Data'!E76</f>
        <v>19625</v>
      </c>
      <c r="F90" s="425">
        <f>'Raw Data'!F76</f>
        <v>31220</v>
      </c>
      <c r="G90" s="425">
        <f>'Raw Data'!G76</f>
        <v>52551</v>
      </c>
      <c r="H90" s="383">
        <f>G90+H51</f>
        <v>67666.336038837442</v>
      </c>
      <c r="I90" s="383">
        <f t="shared" ref="I90:R90" si="92">H90+I51</f>
        <v>85444.937010926238</v>
      </c>
      <c r="J90" s="383">
        <f t="shared" si="92"/>
        <v>106130.66201666743</v>
      </c>
      <c r="K90" s="383">
        <f t="shared" si="92"/>
        <v>129641.4412459256</v>
      </c>
      <c r="L90" s="383">
        <f t="shared" si="92"/>
        <v>155822.97728507605</v>
      </c>
      <c r="M90" s="383">
        <f t="shared" si="92"/>
        <v>184553.94777633616</v>
      </c>
      <c r="N90" s="383">
        <f t="shared" si="92"/>
        <v>215671.48814691935</v>
      </c>
      <c r="O90" s="383">
        <f t="shared" si="92"/>
        <v>248980.48989954195</v>
      </c>
      <c r="P90" s="383">
        <f t="shared" si="92"/>
        <v>284365.93286343163</v>
      </c>
      <c r="Q90" s="383">
        <f t="shared" si="92"/>
        <v>321772.31539922522</v>
      </c>
      <c r="R90" s="383">
        <f t="shared" si="92"/>
        <v>361165.84644916648</v>
      </c>
    </row>
    <row r="91" spans="1:21" outlineLevel="1" x14ac:dyDescent="0.25">
      <c r="B91" s="12" t="s">
        <v>56</v>
      </c>
      <c r="C91" s="385">
        <f>SUM(C86:C90)</f>
        <v>19285</v>
      </c>
      <c r="D91" s="385">
        <f t="shared" ref="D91:G91" si="93">SUM(D86:D90)</f>
        <v>27709</v>
      </c>
      <c r="E91" s="385">
        <f t="shared" si="93"/>
        <v>43549</v>
      </c>
      <c r="F91" s="385">
        <f t="shared" si="93"/>
        <v>62060</v>
      </c>
      <c r="G91" s="385">
        <f t="shared" si="93"/>
        <v>93404</v>
      </c>
      <c r="H91" s="385">
        <f t="shared" ref="H91:R91" si="94">SUM(H86:H90)</f>
        <v>119601.10893944104</v>
      </c>
      <c r="I91" s="385">
        <f t="shared" si="94"/>
        <v>150520.84443537539</v>
      </c>
      <c r="J91" s="385">
        <f t="shared" si="94"/>
        <v>186357.53777231416</v>
      </c>
      <c r="K91" s="385">
        <f t="shared" si="94"/>
        <v>226918.28231783013</v>
      </c>
      <c r="L91" s="385">
        <f t="shared" si="94"/>
        <v>271894.45947648934</v>
      </c>
      <c r="M91" s="385">
        <f t="shared" si="94"/>
        <v>320984.95116881246</v>
      </c>
      <c r="N91" s="385">
        <f t="shared" si="94"/>
        <v>373837.35803105333</v>
      </c>
      <c r="O91" s="385">
        <f t="shared" si="94"/>
        <v>430069.51523845119</v>
      </c>
      <c r="P91" s="385">
        <f t="shared" si="94"/>
        <v>489390.27844497142</v>
      </c>
      <c r="Q91" s="385">
        <f t="shared" si="94"/>
        <v>551584.03629870689</v>
      </c>
      <c r="R91" s="385">
        <f t="shared" si="94"/>
        <v>616475.3058240877</v>
      </c>
    </row>
    <row r="92" spans="1:21" ht="14.4" outlineLevel="1" thickBot="1" x14ac:dyDescent="0.3">
      <c r="B92" s="14" t="s">
        <v>57</v>
      </c>
      <c r="C92" s="389">
        <f>C84+C91</f>
        <v>83402</v>
      </c>
      <c r="D92" s="389">
        <f t="shared" ref="D92:G92" si="95">D84+D91</f>
        <v>131310</v>
      </c>
      <c r="E92" s="389">
        <f t="shared" si="95"/>
        <v>162648</v>
      </c>
      <c r="F92" s="389">
        <f t="shared" si="95"/>
        <v>225248</v>
      </c>
      <c r="G92" s="389">
        <f t="shared" si="95"/>
        <v>321195</v>
      </c>
      <c r="H92" s="389">
        <f t="shared" ref="H92:R92" si="96">H84+H91</f>
        <v>396471.41502314474</v>
      </c>
      <c r="I92" s="389">
        <f t="shared" si="96"/>
        <v>484613.27091180172</v>
      </c>
      <c r="J92" s="389">
        <f t="shared" si="96"/>
        <v>578718.94515732583</v>
      </c>
      <c r="K92" s="389">
        <f t="shared" si="96"/>
        <v>676082.26658144291</v>
      </c>
      <c r="L92" s="389">
        <f t="shared" si="96"/>
        <v>778019.38889345957</v>
      </c>
      <c r="M92" s="389">
        <f t="shared" si="96"/>
        <v>879177.79144698812</v>
      </c>
      <c r="N92" s="389">
        <f t="shared" si="96"/>
        <v>982224.82681970356</v>
      </c>
      <c r="O92" s="389">
        <f t="shared" si="96"/>
        <v>1083628.8821817865</v>
      </c>
      <c r="P92" s="389">
        <f t="shared" si="96"/>
        <v>1183187.8012188054</v>
      </c>
      <c r="Q92" s="389">
        <f t="shared" si="96"/>
        <v>1278717.7811822195</v>
      </c>
      <c r="R92" s="389">
        <f t="shared" si="96"/>
        <v>1373525.3893440184</v>
      </c>
    </row>
    <row r="93" spans="1:21" ht="14.4" outlineLevel="1" thickTop="1" x14ac:dyDescent="0.25">
      <c r="C93" s="23"/>
      <c r="D93" s="23"/>
      <c r="E93" s="23"/>
      <c r="F93" s="23"/>
      <c r="G93" s="23"/>
      <c r="H93" s="23"/>
      <c r="I93" s="23"/>
      <c r="J93" s="23"/>
      <c r="K93" s="23"/>
      <c r="L93" s="23"/>
      <c r="M93" s="23"/>
      <c r="N93" s="23"/>
      <c r="O93" s="23"/>
      <c r="P93" s="23"/>
      <c r="Q93" s="23"/>
      <c r="R93" s="23"/>
      <c r="T93" s="24"/>
      <c r="U93" s="24"/>
    </row>
    <row r="94" spans="1:21" outlineLevel="1" x14ac:dyDescent="0.25">
      <c r="A94" s="24"/>
      <c r="B94" s="30" t="s">
        <v>110</v>
      </c>
      <c r="C94" s="477">
        <f>C73-C92</f>
        <v>0</v>
      </c>
      <c r="D94" s="477">
        <f t="shared" ref="D94:R94" si="97">D73-D92</f>
        <v>0</v>
      </c>
      <c r="E94" s="477">
        <f t="shared" si="97"/>
        <v>0</v>
      </c>
      <c r="F94" s="477">
        <f t="shared" si="97"/>
        <v>0</v>
      </c>
      <c r="G94" s="477">
        <f t="shared" si="97"/>
        <v>0</v>
      </c>
      <c r="H94" s="477">
        <f t="shared" si="97"/>
        <v>0</v>
      </c>
      <c r="I94" s="477">
        <f t="shared" si="97"/>
        <v>0</v>
      </c>
      <c r="J94" s="477">
        <f t="shared" si="97"/>
        <v>0</v>
      </c>
      <c r="K94" s="477">
        <f t="shared" si="97"/>
        <v>0</v>
      </c>
      <c r="L94" s="477">
        <f t="shared" si="97"/>
        <v>0</v>
      </c>
      <c r="M94" s="477">
        <f t="shared" si="97"/>
        <v>0</v>
      </c>
      <c r="N94" s="477">
        <f t="shared" si="97"/>
        <v>0</v>
      </c>
      <c r="O94" s="477">
        <f t="shared" si="97"/>
        <v>0</v>
      </c>
      <c r="P94" s="477">
        <f t="shared" si="97"/>
        <v>0</v>
      </c>
      <c r="Q94" s="477">
        <f t="shared" si="97"/>
        <v>0</v>
      </c>
      <c r="R94" s="477">
        <f t="shared" si="97"/>
        <v>0</v>
      </c>
      <c r="S94" s="24"/>
      <c r="T94" s="24"/>
      <c r="U94" s="24"/>
    </row>
    <row r="95" spans="1:21" outlineLevel="1" x14ac:dyDescent="0.25">
      <c r="A95" s="24"/>
      <c r="B95" s="30"/>
      <c r="C95" s="39"/>
      <c r="D95" s="39"/>
      <c r="E95" s="39"/>
      <c r="F95" s="39"/>
      <c r="G95" s="39"/>
      <c r="H95" s="84"/>
      <c r="I95" s="84"/>
      <c r="J95" s="84"/>
      <c r="K95" s="84"/>
      <c r="L95" s="84"/>
      <c r="M95" s="84"/>
      <c r="N95" s="84"/>
      <c r="O95" s="84"/>
      <c r="P95" s="84"/>
      <c r="Q95" s="84"/>
      <c r="R95" s="84"/>
      <c r="S95" s="24"/>
    </row>
    <row r="96" spans="1:21" outlineLevel="1" x14ac:dyDescent="0.25">
      <c r="C96" s="23"/>
      <c r="D96" s="23"/>
      <c r="E96" s="23"/>
      <c r="F96" s="23"/>
      <c r="G96" s="23"/>
      <c r="H96" s="23"/>
      <c r="I96" s="23"/>
      <c r="J96" s="23"/>
      <c r="K96" s="23"/>
      <c r="L96" s="23"/>
      <c r="M96" s="23"/>
      <c r="N96" s="23"/>
      <c r="O96" s="23"/>
      <c r="P96" s="23"/>
      <c r="Q96" s="23"/>
      <c r="R96" s="23"/>
    </row>
    <row r="97" spans="1:21" outlineLevel="1" x14ac:dyDescent="0.25">
      <c r="B97" s="218" t="s">
        <v>82</v>
      </c>
      <c r="C97" s="218"/>
      <c r="D97" s="218"/>
      <c r="E97" s="218"/>
      <c r="F97" s="218"/>
      <c r="G97" s="218"/>
      <c r="H97" s="218"/>
      <c r="I97" s="218"/>
      <c r="J97" s="218"/>
      <c r="K97" s="218"/>
      <c r="L97" s="218"/>
      <c r="M97" s="218"/>
      <c r="N97" s="218"/>
      <c r="O97" s="218"/>
      <c r="P97" s="218"/>
      <c r="Q97" s="218"/>
      <c r="R97" s="218"/>
    </row>
    <row r="98" spans="1:21" s="24" customFormat="1" outlineLevel="1" x14ac:dyDescent="0.25">
      <c r="A98"/>
      <c r="B98" s="76"/>
      <c r="C98" s="78"/>
      <c r="D98" s="78"/>
      <c r="E98" s="78"/>
      <c r="F98" s="78"/>
      <c r="G98" s="78"/>
      <c r="H98" s="79"/>
      <c r="I98" s="79"/>
      <c r="J98" s="79"/>
      <c r="K98" s="79"/>
      <c r="L98" s="79"/>
      <c r="M98" s="79"/>
      <c r="N98" s="79"/>
      <c r="O98" s="79"/>
      <c r="P98" s="79"/>
      <c r="Q98" s="79"/>
      <c r="R98" s="79"/>
      <c r="S98"/>
      <c r="T98"/>
      <c r="U98"/>
    </row>
    <row r="99" spans="1:21" s="24" customFormat="1" ht="5.4" customHeight="1" outlineLevel="1" x14ac:dyDescent="0.25">
      <c r="A99"/>
      <c r="B99"/>
      <c r="C99" s="59"/>
      <c r="D99" s="59"/>
      <c r="E99" s="59"/>
      <c r="F99" s="59"/>
      <c r="G99" s="59"/>
      <c r="H99" s="60"/>
      <c r="I99" s="60"/>
      <c r="J99" s="60"/>
      <c r="K99" s="60"/>
      <c r="L99" s="60"/>
      <c r="M99" s="60"/>
      <c r="N99" s="60"/>
      <c r="O99" s="60"/>
      <c r="P99" s="60"/>
      <c r="Q99" s="60"/>
      <c r="R99" s="60"/>
      <c r="S99"/>
      <c r="T99"/>
      <c r="U99"/>
    </row>
    <row r="100" spans="1:21" s="24" customFormat="1" outlineLevel="1" x14ac:dyDescent="0.25">
      <c r="A100"/>
      <c r="B100" t="s">
        <v>558</v>
      </c>
      <c r="C100" s="425">
        <f>'Raw Data'!C86</f>
        <v>15890</v>
      </c>
      <c r="D100" s="425">
        <f>'Raw Data'!D86</f>
        <v>19934</v>
      </c>
      <c r="E100" s="425">
        <f>'Raw Data'!E86</f>
        <v>21856</v>
      </c>
      <c r="F100" s="425">
        <f>'Raw Data'!F86</f>
        <v>32173</v>
      </c>
      <c r="G100" s="425">
        <f>'Raw Data'!G86</f>
        <v>36410</v>
      </c>
      <c r="H100" s="383">
        <f>G135</f>
        <v>42377</v>
      </c>
      <c r="I100" s="383">
        <f t="shared" ref="I100:R100" si="98">H135</f>
        <v>52879.088465156732</v>
      </c>
      <c r="J100" s="383">
        <f t="shared" si="98"/>
        <v>78789.451204107667</v>
      </c>
      <c r="K100" s="383">
        <f t="shared" si="98"/>
        <v>107247.37776137773</v>
      </c>
      <c r="L100" s="383">
        <f t="shared" si="98"/>
        <v>137880.35458783072</v>
      </c>
      <c r="M100" s="383">
        <f t="shared" si="98"/>
        <v>173243.63707946462</v>
      </c>
      <c r="N100" s="383">
        <f t="shared" si="98"/>
        <v>210898.68400877833</v>
      </c>
      <c r="O100" s="383">
        <f t="shared" si="98"/>
        <v>251051.23904064944</v>
      </c>
      <c r="P100" s="383">
        <f t="shared" si="98"/>
        <v>295330.35945545079</v>
      </c>
      <c r="Q100" s="383">
        <f t="shared" si="98"/>
        <v>344890.75990896695</v>
      </c>
      <c r="R100" s="383">
        <f t="shared" si="98"/>
        <v>400005.95980456215</v>
      </c>
      <c r="S100"/>
      <c r="T100"/>
      <c r="U100"/>
    </row>
    <row r="101" spans="1:21" x14ac:dyDescent="0.25">
      <c r="B101" t="s">
        <v>25</v>
      </c>
      <c r="C101" s="26"/>
      <c r="D101" s="23"/>
      <c r="E101" s="26"/>
      <c r="F101" s="26"/>
      <c r="G101" s="26"/>
      <c r="H101" s="23"/>
      <c r="I101" s="23"/>
      <c r="J101" s="23"/>
      <c r="K101" s="23"/>
      <c r="L101" s="23"/>
      <c r="M101" s="23"/>
      <c r="N101" s="23"/>
      <c r="O101" s="23"/>
      <c r="P101" s="23"/>
      <c r="Q101" s="23"/>
      <c r="R101" s="23"/>
    </row>
    <row r="102" spans="1:21" x14ac:dyDescent="0.25">
      <c r="B102" t="s">
        <v>557</v>
      </c>
      <c r="C102" s="23"/>
      <c r="D102" s="23"/>
      <c r="E102" s="23"/>
      <c r="F102" s="23"/>
      <c r="G102" s="23"/>
      <c r="H102" s="23"/>
      <c r="I102" s="23"/>
      <c r="J102" s="23"/>
      <c r="K102" s="23"/>
      <c r="L102" s="23"/>
      <c r="M102" s="23"/>
      <c r="N102" s="23"/>
      <c r="O102" s="23"/>
      <c r="P102" s="23"/>
      <c r="Q102" s="23"/>
      <c r="R102" s="23"/>
    </row>
    <row r="103" spans="1:21" outlineLevel="1" x14ac:dyDescent="0.25">
      <c r="B103" t="s">
        <v>19</v>
      </c>
      <c r="C103" s="383">
        <f>C51</f>
        <v>2371</v>
      </c>
      <c r="D103" s="383">
        <f t="shared" ref="D103:R103" si="99">D51</f>
        <v>3033</v>
      </c>
      <c r="E103" s="383">
        <f t="shared" si="99"/>
        <v>10073</v>
      </c>
      <c r="F103" s="383">
        <f t="shared" si="99"/>
        <v>11588</v>
      </c>
      <c r="G103" s="383">
        <f t="shared" si="99"/>
        <v>21331</v>
      </c>
      <c r="H103" s="383">
        <f t="shared" si="99"/>
        <v>15115.336038837446</v>
      </c>
      <c r="I103" s="383">
        <f t="shared" si="99"/>
        <v>17778.600972088792</v>
      </c>
      <c r="J103" s="383">
        <f t="shared" si="99"/>
        <v>20685.72500574118</v>
      </c>
      <c r="K103" s="383">
        <f t="shared" si="99"/>
        <v>23510.779229258173</v>
      </c>
      <c r="L103" s="383">
        <f t="shared" si="99"/>
        <v>26181.536039150455</v>
      </c>
      <c r="M103" s="383">
        <f t="shared" si="99"/>
        <v>28730.970491260123</v>
      </c>
      <c r="N103" s="383">
        <f t="shared" si="99"/>
        <v>31117.54037058317</v>
      </c>
      <c r="O103" s="383">
        <f t="shared" si="99"/>
        <v>33309.001752622607</v>
      </c>
      <c r="P103" s="383">
        <f t="shared" si="99"/>
        <v>35385.442963889713</v>
      </c>
      <c r="Q103" s="383">
        <f t="shared" si="99"/>
        <v>37406.382535793578</v>
      </c>
      <c r="R103" s="383">
        <f t="shared" si="99"/>
        <v>39393.531049941266</v>
      </c>
    </row>
    <row r="104" spans="1:21" outlineLevel="1" x14ac:dyDescent="0.25">
      <c r="B104" t="s">
        <v>59</v>
      </c>
      <c r="C104" s="23"/>
      <c r="D104" s="23"/>
      <c r="E104" s="23"/>
      <c r="F104" s="23"/>
      <c r="G104" s="23"/>
      <c r="H104" s="23"/>
      <c r="I104" s="23"/>
      <c r="J104" s="23"/>
      <c r="K104" s="23"/>
      <c r="L104" s="23"/>
      <c r="M104" s="23"/>
      <c r="N104" s="23"/>
      <c r="O104" s="23"/>
      <c r="P104" s="23"/>
      <c r="Q104" s="23"/>
      <c r="R104" s="23"/>
    </row>
    <row r="105" spans="1:21" outlineLevel="1" x14ac:dyDescent="0.25">
      <c r="B105" s="16" t="s">
        <v>210</v>
      </c>
      <c r="C105" s="425">
        <f>'Raw Data'!C90</f>
        <v>8116</v>
      </c>
      <c r="D105" s="425">
        <f>'Raw Data'!D90</f>
        <v>11478</v>
      </c>
      <c r="E105" s="425">
        <f>'Raw Data'!E90</f>
        <v>15341</v>
      </c>
      <c r="F105" s="425">
        <f>'Raw Data'!F90</f>
        <v>21789</v>
      </c>
      <c r="G105" s="425">
        <f>'Raw Data'!G90</f>
        <v>25251</v>
      </c>
      <c r="H105" s="383">
        <f>-H169-H196</f>
        <v>18083.839385943713</v>
      </c>
      <c r="I105" s="383">
        <f t="shared" ref="I105:R105" si="100">-I169-I196</f>
        <v>23818.13184758434</v>
      </c>
      <c r="J105" s="383">
        <f t="shared" si="100"/>
        <v>30429.439518964755</v>
      </c>
      <c r="K105" s="383">
        <f t="shared" si="100"/>
        <v>37869.397416575586</v>
      </c>
      <c r="L105" s="383">
        <f t="shared" si="100"/>
        <v>46070.665632442062</v>
      </c>
      <c r="M105" s="383">
        <f t="shared" si="100"/>
        <v>54954.78813602202</v>
      </c>
      <c r="N105" s="383">
        <f t="shared" si="100"/>
        <v>60361.639781660488</v>
      </c>
      <c r="O105" s="383">
        <f t="shared" si="100"/>
        <v>69345.080156926575</v>
      </c>
      <c r="P105" s="383">
        <f t="shared" si="100"/>
        <v>79789.545677404793</v>
      </c>
      <c r="Q105" s="383">
        <f t="shared" si="100"/>
        <v>90605.815701245621</v>
      </c>
      <c r="R105" s="383">
        <f t="shared" si="100"/>
        <v>88744.996059665224</v>
      </c>
    </row>
    <row r="106" spans="1:21" outlineLevel="1" x14ac:dyDescent="0.25">
      <c r="B106" s="8" t="s">
        <v>61</v>
      </c>
      <c r="C106" s="425">
        <f>'Raw Data'!C91</f>
        <v>2975</v>
      </c>
      <c r="D106" s="425">
        <f>'Raw Data'!D91</f>
        <v>4215</v>
      </c>
      <c r="E106" s="425">
        <f>'Raw Data'!E91</f>
        <v>5418</v>
      </c>
      <c r="F106" s="425">
        <f>'Raw Data'!F91</f>
        <v>6864</v>
      </c>
      <c r="G106" s="425">
        <f>'Raw Data'!G91</f>
        <v>9208</v>
      </c>
      <c r="H106" s="383">
        <f>'Control Panel'!$O$22*SUM('Financial Statements'!H36:H41)</f>
        <v>11081.772900603593</v>
      </c>
      <c r="I106" s="383">
        <f>'Control Panel'!$O$22*SUM('Financial Statements'!I36:I41)</f>
        <v>13141.134523845558</v>
      </c>
      <c r="J106" s="383">
        <f>'Control Panel'!$O$22*SUM('Financial Statements'!J36:J41)</f>
        <v>15150.968331197584</v>
      </c>
      <c r="K106" s="383">
        <f>'Control Panel'!$O$22*SUM('Financial Statements'!K36:K41)</f>
        <v>17049.965316257792</v>
      </c>
      <c r="L106" s="383">
        <f>'Control Panel'!$O$22*SUM('Financial Statements'!L36:L41)</f>
        <v>18794.641119508797</v>
      </c>
      <c r="M106" s="383">
        <f>'Control Panel'!$O$22*SUM('Financial Statements'!M36:M41)</f>
        <v>20359.521201062995</v>
      </c>
      <c r="N106" s="383">
        <f>'Control Panel'!$O$22*SUM('Financial Statements'!N36:N41)</f>
        <v>21734.866491657627</v>
      </c>
      <c r="O106" s="383">
        <f>'Control Panel'!$O$22*SUM('Financial Statements'!O36:O41)</f>
        <v>22923.155454775304</v>
      </c>
      <c r="P106" s="383">
        <f>'Control Panel'!$O$22*SUM('Financial Statements'!P36:P41)</f>
        <v>23935.320242630583</v>
      </c>
      <c r="Q106" s="383">
        <f>'Control Panel'!$O$22*SUM('Financial Statements'!Q36:Q41)</f>
        <v>24787.375317941813</v>
      </c>
      <c r="R106" s="383">
        <f>'Control Panel'!$O$22*SUM('Financial Statements'!R36:R41)</f>
        <v>25497.738475439564</v>
      </c>
    </row>
    <row r="107" spans="1:21" outlineLevel="1" x14ac:dyDescent="0.25">
      <c r="B107" s="8" t="s">
        <v>397</v>
      </c>
      <c r="C107" s="425">
        <f>SUM('Raw Data'!C92:C94)</f>
        <v>-106</v>
      </c>
      <c r="D107" s="425">
        <f>SUM('Raw Data'!D92:D94)</f>
        <v>-119</v>
      </c>
      <c r="E107" s="425">
        <f>SUM('Raw Data'!E92:E94)</f>
        <v>934</v>
      </c>
      <c r="F107" s="425">
        <f>SUM('Raw Data'!F92:F94)</f>
        <v>711</v>
      </c>
      <c r="G107" s="425">
        <f>SUM('Raw Data'!G92:G94)</f>
        <v>-3207</v>
      </c>
      <c r="H107" s="383">
        <f>-H46</f>
        <v>-1690.9599999999991</v>
      </c>
      <c r="I107" s="383">
        <f t="shared" ref="I107:R107" si="101">-I46</f>
        <v>-1758.5984000000026</v>
      </c>
      <c r="J107" s="383">
        <f t="shared" si="101"/>
        <v>-1828.9423360000001</v>
      </c>
      <c r="K107" s="383">
        <f t="shared" si="101"/>
        <v>-1902.1000294400001</v>
      </c>
      <c r="L107" s="383">
        <f t="shared" si="101"/>
        <v>-1978.1840306176018</v>
      </c>
      <c r="M107" s="383">
        <f t="shared" si="101"/>
        <v>-2057.3113918423041</v>
      </c>
      <c r="N107" s="383">
        <f t="shared" si="101"/>
        <v>-2139.6038475159949</v>
      </c>
      <c r="O107" s="383">
        <f t="shared" si="101"/>
        <v>-2225.1880014166381</v>
      </c>
      <c r="P107" s="383">
        <f t="shared" si="101"/>
        <v>-2314.1955214733025</v>
      </c>
      <c r="Q107" s="383">
        <f t="shared" si="101"/>
        <v>-2406.7633423322332</v>
      </c>
      <c r="R107" s="383">
        <f t="shared" si="101"/>
        <v>-2503.0338760255254</v>
      </c>
    </row>
    <row r="108" spans="1:21" outlineLevel="1" x14ac:dyDescent="0.25">
      <c r="B108" s="8"/>
      <c r="C108" s="82"/>
      <c r="D108" s="82"/>
      <c r="E108" s="82"/>
      <c r="F108" s="82"/>
      <c r="G108" s="82"/>
      <c r="H108" s="83"/>
      <c r="I108" s="83"/>
      <c r="J108" s="83"/>
      <c r="K108" s="83"/>
      <c r="L108" s="83"/>
      <c r="M108" s="83"/>
      <c r="N108" s="83"/>
      <c r="O108" s="83"/>
      <c r="P108" s="83"/>
      <c r="Q108" s="83"/>
      <c r="R108" s="83"/>
    </row>
    <row r="109" spans="1:21" outlineLevel="1" x14ac:dyDescent="0.25">
      <c r="B109" s="7" t="s">
        <v>64</v>
      </c>
      <c r="C109" s="40"/>
      <c r="D109" s="40"/>
      <c r="E109" s="40"/>
      <c r="F109" s="40"/>
      <c r="G109" s="40"/>
      <c r="H109" s="40"/>
      <c r="I109" s="40"/>
      <c r="J109" s="40"/>
      <c r="K109" s="40"/>
      <c r="L109" s="40"/>
      <c r="M109" s="40"/>
      <c r="N109" s="40"/>
      <c r="O109" s="40"/>
      <c r="P109" s="40"/>
      <c r="Q109" s="40"/>
      <c r="R109" s="40"/>
    </row>
    <row r="110" spans="1:21" outlineLevel="1" x14ac:dyDescent="0.25">
      <c r="B110" s="8" t="s">
        <v>29</v>
      </c>
      <c r="C110" s="425">
        <f>'Raw Data'!C96</f>
        <v>-1426</v>
      </c>
      <c r="D110" s="425">
        <f>'Raw Data'!D96</f>
        <v>-3583</v>
      </c>
      <c r="E110" s="425">
        <f>'Raw Data'!E96</f>
        <v>-1314</v>
      </c>
      <c r="F110" s="425">
        <f>'Raw Data'!F96</f>
        <v>-3278</v>
      </c>
      <c r="G110" s="425">
        <f>'Raw Data'!G96</f>
        <v>-2849</v>
      </c>
      <c r="H110" s="383">
        <f>-(H66-G66)</f>
        <v>-12349.487144381987</v>
      </c>
      <c r="I110" s="383">
        <f t="shared" ref="I110:R110" si="102">-(I66-H66)</f>
        <v>-6716.8466981351448</v>
      </c>
      <c r="J110" s="383">
        <f t="shared" si="102"/>
        <v>-6555.3059843179872</v>
      </c>
      <c r="K110" s="383">
        <f t="shared" si="102"/>
        <v>-6041.8577486609502</v>
      </c>
      <c r="L110" s="383">
        <f t="shared" si="102"/>
        <v>-5842.4035005725236</v>
      </c>
      <c r="M110" s="383">
        <f t="shared" si="102"/>
        <v>-5104.0378193596407</v>
      </c>
      <c r="N110" s="383">
        <f t="shared" si="102"/>
        <v>-4485.8481238391396</v>
      </c>
      <c r="O110" s="383">
        <f t="shared" si="102"/>
        <v>-3671.4620897767454</v>
      </c>
      <c r="P110" s="383">
        <f t="shared" si="102"/>
        <v>-3505.5729412801447</v>
      </c>
      <c r="Q110" s="383">
        <f t="shared" si="102"/>
        <v>-2779.0764160321851</v>
      </c>
      <c r="R110" s="383">
        <f t="shared" si="102"/>
        <v>-2316.9317982163047</v>
      </c>
    </row>
    <row r="111" spans="1:21" outlineLevel="1" x14ac:dyDescent="0.25">
      <c r="B111" s="8" t="s">
        <v>30</v>
      </c>
      <c r="C111" s="425">
        <f>'Raw Data'!C97</f>
        <v>-3367</v>
      </c>
      <c r="D111" s="425">
        <f>'Raw Data'!D97</f>
        <v>-4780</v>
      </c>
      <c r="E111" s="425">
        <f>'Raw Data'!E97</f>
        <v>-4615</v>
      </c>
      <c r="F111" s="425">
        <f>'Raw Data'!F97</f>
        <v>-7681</v>
      </c>
      <c r="G111" s="425">
        <f>'Raw Data'!G97</f>
        <v>-8169</v>
      </c>
      <c r="H111" s="383">
        <f t="shared" ref="H111:R111" si="103">-(H67-G67)</f>
        <v>-8056.2376924331802</v>
      </c>
      <c r="I111" s="383">
        <f t="shared" si="103"/>
        <v>-6057.835717375161</v>
      </c>
      <c r="J111" s="383">
        <f t="shared" si="103"/>
        <v>-5912.1442716788442</v>
      </c>
      <c r="K111" s="383">
        <f t="shared" si="103"/>
        <v>-5449.0720592595753</v>
      </c>
      <c r="L111" s="383">
        <f t="shared" si="103"/>
        <v>-5269.186895528248</v>
      </c>
      <c r="M111" s="383">
        <f t="shared" si="103"/>
        <v>-4603.2645963968098</v>
      </c>
      <c r="N111" s="383">
        <f t="shared" si="103"/>
        <v>-4045.7274385699202</v>
      </c>
      <c r="O111" s="383">
        <f t="shared" si="103"/>
        <v>-3311.2433827935092</v>
      </c>
      <c r="P111" s="383">
        <f t="shared" si="103"/>
        <v>-3161.6301410372835</v>
      </c>
      <c r="Q111" s="383">
        <f t="shared" si="103"/>
        <v>-2506.4124776033277</v>
      </c>
      <c r="R111" s="383">
        <f t="shared" si="103"/>
        <v>-2089.6103235248447</v>
      </c>
    </row>
    <row r="112" spans="1:21" outlineLevel="1" x14ac:dyDescent="0.25">
      <c r="B112" s="8" t="s">
        <v>38</v>
      </c>
      <c r="C112" s="425">
        <f>'Raw Data'!C98</f>
        <v>5030</v>
      </c>
      <c r="D112" s="425">
        <f>'Raw Data'!D98</f>
        <v>7100</v>
      </c>
      <c r="E112" s="425">
        <f>'Raw Data'!E98</f>
        <v>3263</v>
      </c>
      <c r="F112" s="425">
        <f>'Raw Data'!F98</f>
        <v>8193</v>
      </c>
      <c r="G112" s="425">
        <f>'Raw Data'!G98</f>
        <v>17480</v>
      </c>
      <c r="H112" s="383">
        <f>H77-G77</f>
        <v>11421.700639645918</v>
      </c>
      <c r="I112" s="383">
        <f t="shared" ref="I112:R112" si="104">I77-H77</f>
        <v>15443.442026677818</v>
      </c>
      <c r="J112" s="383">
        <f t="shared" si="104"/>
        <v>15006.271379234284</v>
      </c>
      <c r="K112" s="383">
        <f t="shared" si="104"/>
        <v>13751.17558245633</v>
      </c>
      <c r="L112" s="383">
        <f t="shared" si="104"/>
        <v>13221.059441637117</v>
      </c>
      <c r="M112" s="383">
        <f t="shared" si="104"/>
        <v>11448.377779092785</v>
      </c>
      <c r="N112" s="383">
        <f t="shared" si="104"/>
        <v>9958.8566352088528</v>
      </c>
      <c r="O112" s="383">
        <f t="shared" si="104"/>
        <v>8027.1441644871375</v>
      </c>
      <c r="P112" s="383">
        <f t="shared" si="104"/>
        <v>7589.7632467202493</v>
      </c>
      <c r="Q112" s="383">
        <f t="shared" si="104"/>
        <v>5877.2362047721981</v>
      </c>
      <c r="R112" s="383">
        <f t="shared" si="104"/>
        <v>4779.3347577516106</v>
      </c>
    </row>
    <row r="113" spans="2:18" outlineLevel="1" x14ac:dyDescent="0.25">
      <c r="B113" s="8" t="s">
        <v>39</v>
      </c>
      <c r="C113" s="425">
        <f>'Raw Data'!C99</f>
        <v>1724</v>
      </c>
      <c r="D113" s="425">
        <f>'Raw Data'!D99</f>
        <v>283</v>
      </c>
      <c r="E113" s="425">
        <f>'Raw Data'!E99</f>
        <v>472</v>
      </c>
      <c r="F113" s="425">
        <f>'Raw Data'!F99</f>
        <v>-1383</v>
      </c>
      <c r="G113" s="425">
        <f>'Raw Data'!G99</f>
        <v>5754</v>
      </c>
      <c r="H113" s="383">
        <f>H78-G78</f>
        <v>6431.7680180277312</v>
      </c>
      <c r="I113" s="383">
        <f t="shared" ref="I113:R113" si="105">I78-H78</f>
        <v>9397.5431987875345</v>
      </c>
      <c r="J113" s="383">
        <f t="shared" si="105"/>
        <v>9171.5315143342668</v>
      </c>
      <c r="K113" s="383">
        <f t="shared" si="105"/>
        <v>8665.7467052224238</v>
      </c>
      <c r="L113" s="383">
        <f t="shared" si="105"/>
        <v>7961.5284872210177</v>
      </c>
      <c r="M113" s="383">
        <f t="shared" si="105"/>
        <v>7141.0615801302192</v>
      </c>
      <c r="N113" s="383">
        <f t="shared" si="105"/>
        <v>6276.1521025457332</v>
      </c>
      <c r="O113" s="383">
        <f t="shared" si="105"/>
        <v>5422.5526675402361</v>
      </c>
      <c r="P113" s="383">
        <f t="shared" si="105"/>
        <v>4618.8402322402981</v>
      </c>
      <c r="Q113" s="383">
        <f t="shared" si="105"/>
        <v>3888.2070480550028</v>
      </c>
      <c r="R113" s="383">
        <f t="shared" si="105"/>
        <v>3241.6203079976985</v>
      </c>
    </row>
    <row r="114" spans="2:18" outlineLevel="1" x14ac:dyDescent="0.25">
      <c r="B114" s="8" t="s">
        <v>40</v>
      </c>
      <c r="C114" s="425">
        <f>'Raw Data'!C100</f>
        <v>1955</v>
      </c>
      <c r="D114" s="425">
        <f>'Raw Data'!D100</f>
        <v>738</v>
      </c>
      <c r="E114" s="425">
        <f>'Raw Data'!E100</f>
        <v>1151</v>
      </c>
      <c r="F114" s="425">
        <f>'Raw Data'!F100</f>
        <v>1711</v>
      </c>
      <c r="G114" s="425">
        <f>'Raw Data'!G100</f>
        <v>1265</v>
      </c>
      <c r="H114" s="383">
        <f>H79-G79</f>
        <v>4110.3782060724479</v>
      </c>
      <c r="I114" s="383">
        <f t="shared" ref="I114:R114" si="106">I79-H79</f>
        <v>2567.9138192300234</v>
      </c>
      <c r="J114" s="383">
        <f t="shared" si="106"/>
        <v>2506.1552813294147</v>
      </c>
      <c r="K114" s="383">
        <f t="shared" si="106"/>
        <v>2367.9476909623336</v>
      </c>
      <c r="L114" s="383">
        <f t="shared" si="106"/>
        <v>2175.5174296156583</v>
      </c>
      <c r="M114" s="383">
        <f t="shared" si="106"/>
        <v>1951.3217792874711</v>
      </c>
      <c r="N114" s="383">
        <f t="shared" si="106"/>
        <v>1714.9820303881279</v>
      </c>
      <c r="O114" s="383">
        <f t="shared" si="106"/>
        <v>1481.7327929150451</v>
      </c>
      <c r="P114" s="383">
        <f t="shared" si="106"/>
        <v>1262.1153646535749</v>
      </c>
      <c r="Q114" s="383">
        <f t="shared" si="106"/>
        <v>1062.4671150238755</v>
      </c>
      <c r="R114" s="383">
        <f t="shared" si="106"/>
        <v>885.78487052636774</v>
      </c>
    </row>
    <row r="115" spans="2:18" outlineLevel="1" x14ac:dyDescent="0.25">
      <c r="B115" s="11" t="s">
        <v>65</v>
      </c>
      <c r="C115" s="387">
        <f>SUM(C103:C114)</f>
        <v>17272</v>
      </c>
      <c r="D115" s="387">
        <f t="shared" ref="D115:G115" si="107">SUM(D103:D114)</f>
        <v>18365</v>
      </c>
      <c r="E115" s="387">
        <f t="shared" si="107"/>
        <v>30723</v>
      </c>
      <c r="F115" s="387">
        <f t="shared" si="107"/>
        <v>38514</v>
      </c>
      <c r="G115" s="387">
        <f t="shared" si="107"/>
        <v>66064</v>
      </c>
      <c r="H115" s="387">
        <f t="shared" ref="H115" si="108">SUM(H103:H114)</f>
        <v>44148.110352315685</v>
      </c>
      <c r="I115" s="387">
        <f t="shared" ref="I115" si="109">SUM(I103:I114)</f>
        <v>67613.485572703765</v>
      </c>
      <c r="J115" s="387">
        <f t="shared" ref="J115" si="110">SUM(J103:J114)</f>
        <v>78653.698438804655</v>
      </c>
      <c r="K115" s="387">
        <f t="shared" ref="K115" si="111">SUM(K103:K114)</f>
        <v>89821.982103372124</v>
      </c>
      <c r="L115" s="387">
        <f t="shared" ref="L115" si="112">SUM(L103:L114)</f>
        <v>101315.17372285672</v>
      </c>
      <c r="M115" s="387">
        <f t="shared" ref="M115" si="113">SUM(M103:M114)</f>
        <v>112821.42715925685</v>
      </c>
      <c r="N115" s="387">
        <f t="shared" ref="N115" si="114">SUM(N103:N114)</f>
        <v>120492.85800211894</v>
      </c>
      <c r="O115" s="387">
        <f t="shared" ref="O115" si="115">SUM(O103:O114)</f>
        <v>131300.77351528002</v>
      </c>
      <c r="P115" s="387">
        <f t="shared" ref="P115" si="116">SUM(P103:P114)</f>
        <v>143599.62912374848</v>
      </c>
      <c r="Q115" s="387">
        <f t="shared" ref="Q115" si="117">SUM(Q103:Q114)</f>
        <v>155935.23168686434</v>
      </c>
      <c r="R115" s="387">
        <f t="shared" ref="R115" si="118">SUM(R103:R114)</f>
        <v>155633.42952355507</v>
      </c>
    </row>
    <row r="116" spans="2:18" outlineLevel="1" x14ac:dyDescent="0.25">
      <c r="B116" t="s">
        <v>25</v>
      </c>
      <c r="C116" s="23"/>
      <c r="D116" s="23"/>
      <c r="E116" s="23"/>
      <c r="F116" s="23"/>
      <c r="G116" s="23"/>
      <c r="H116" s="23"/>
      <c r="I116" s="23"/>
      <c r="J116" s="23"/>
      <c r="K116" s="23"/>
      <c r="L116" s="23"/>
      <c r="M116" s="23"/>
      <c r="N116" s="23"/>
      <c r="O116" s="23"/>
      <c r="P116" s="23"/>
      <c r="Q116" s="23"/>
      <c r="R116" s="23"/>
    </row>
    <row r="117" spans="2:18" outlineLevel="1" x14ac:dyDescent="0.25">
      <c r="B117" t="s">
        <v>556</v>
      </c>
      <c r="C117" s="23"/>
      <c r="D117" s="23"/>
      <c r="E117" s="23"/>
      <c r="F117" s="23"/>
      <c r="G117" s="23"/>
      <c r="H117" s="23"/>
      <c r="I117" s="23"/>
      <c r="J117" s="23"/>
      <c r="K117" s="23"/>
      <c r="L117" s="23"/>
      <c r="M117" s="23"/>
      <c r="N117" s="23"/>
      <c r="O117" s="23"/>
      <c r="P117" s="23"/>
      <c r="Q117" s="23"/>
      <c r="R117" s="23"/>
    </row>
    <row r="118" spans="2:18" outlineLevel="1" x14ac:dyDescent="0.25">
      <c r="B118" t="s">
        <v>66</v>
      </c>
      <c r="C118" s="425">
        <f>'Raw Data'!C103</f>
        <v>-7804</v>
      </c>
      <c r="D118" s="425">
        <f>'Raw Data'!D103</f>
        <v>-11955</v>
      </c>
      <c r="E118" s="425">
        <f>'Raw Data'!E103</f>
        <v>-13427</v>
      </c>
      <c r="F118" s="425">
        <f>'Raw Data'!F103</f>
        <v>-16861</v>
      </c>
      <c r="G118" s="425">
        <f>'Raw Data'!G103</f>
        <v>-40140</v>
      </c>
      <c r="H118" s="383">
        <f>-H150</f>
        <v>-27491.614965507968</v>
      </c>
      <c r="I118" s="383">
        <f t="shared" ref="I118:R118" si="119">-I150</f>
        <v>-32600.470500512474</v>
      </c>
      <c r="J118" s="383">
        <f t="shared" si="119"/>
        <v>-37586.457641015353</v>
      </c>
      <c r="K118" s="383">
        <f t="shared" si="119"/>
        <v>-42297.481265321185</v>
      </c>
      <c r="L118" s="383">
        <f t="shared" si="119"/>
        <v>-46625.665559731555</v>
      </c>
      <c r="M118" s="383">
        <f t="shared" si="119"/>
        <v>-50507.813394302109</v>
      </c>
      <c r="N118" s="383">
        <f t="shared" si="119"/>
        <v>-53919.76412752756</v>
      </c>
      <c r="O118" s="383">
        <f t="shared" si="119"/>
        <v>-56867.666321048804</v>
      </c>
      <c r="P118" s="383">
        <f t="shared" si="119"/>
        <v>-59378.640411471373</v>
      </c>
      <c r="Q118" s="383">
        <f t="shared" si="119"/>
        <v>-61492.415009630415</v>
      </c>
      <c r="R118" s="383">
        <f t="shared" si="119"/>
        <v>-63254.680902170687</v>
      </c>
    </row>
    <row r="119" spans="2:18" outlineLevel="1" x14ac:dyDescent="0.25">
      <c r="B119" t="s">
        <v>67</v>
      </c>
      <c r="C119" s="425">
        <f>'Raw Data'!C104</f>
        <v>1067</v>
      </c>
      <c r="D119" s="425">
        <f>'Raw Data'!D104</f>
        <v>1897</v>
      </c>
      <c r="E119" s="425">
        <f>'Raw Data'!E104</f>
        <v>2104</v>
      </c>
      <c r="F119" s="425">
        <f>'Raw Data'!F104</f>
        <v>4172</v>
      </c>
      <c r="G119" s="425">
        <f>'Raw Data'!G104</f>
        <v>5096</v>
      </c>
      <c r="H119" s="476"/>
      <c r="I119" s="476"/>
      <c r="J119" s="476"/>
      <c r="K119" s="476"/>
      <c r="L119" s="476"/>
      <c r="M119" s="476"/>
      <c r="N119" s="476"/>
      <c r="O119" s="476"/>
      <c r="P119" s="476"/>
      <c r="Q119" s="476"/>
      <c r="R119" s="476"/>
    </row>
    <row r="120" spans="2:18" outlineLevel="1" x14ac:dyDescent="0.25">
      <c r="B120" t="s">
        <v>68</v>
      </c>
      <c r="C120" s="425">
        <f>'Raw Data'!C105</f>
        <v>-116</v>
      </c>
      <c r="D120" s="425">
        <f>'Raw Data'!D105</f>
        <v>-13972</v>
      </c>
      <c r="E120" s="425">
        <f>'Raw Data'!E105</f>
        <v>-2186</v>
      </c>
      <c r="F120" s="425">
        <f>'Raw Data'!F105</f>
        <v>-2461</v>
      </c>
      <c r="G120" s="425">
        <f>'Raw Data'!G105</f>
        <v>-2325</v>
      </c>
      <c r="H120" s="476"/>
      <c r="I120" s="476"/>
      <c r="J120" s="476"/>
      <c r="K120" s="476"/>
      <c r="L120" s="476"/>
      <c r="M120" s="476"/>
      <c r="N120" s="476"/>
      <c r="O120" s="476"/>
      <c r="P120" s="476"/>
      <c r="Q120" s="476"/>
      <c r="R120" s="476"/>
    </row>
    <row r="121" spans="2:18" outlineLevel="1" x14ac:dyDescent="0.25">
      <c r="B121" t="s">
        <v>111</v>
      </c>
      <c r="C121" s="425">
        <f>SUM('Raw Data'!C106:C107)</f>
        <v>-3023</v>
      </c>
      <c r="D121" s="425">
        <f>SUM('Raw Data'!D106:D107)</f>
        <v>-3054</v>
      </c>
      <c r="E121" s="425">
        <f>SUM('Raw Data'!E106:E107)</f>
        <v>1140</v>
      </c>
      <c r="F121" s="425">
        <f>SUM('Raw Data'!F106:F107)</f>
        <v>-9131</v>
      </c>
      <c r="G121" s="425">
        <f>SUM('Raw Data'!G106:G107)</f>
        <v>-22242</v>
      </c>
      <c r="H121" s="476"/>
      <c r="I121" s="476"/>
      <c r="J121" s="476"/>
      <c r="K121" s="476"/>
      <c r="L121" s="476"/>
      <c r="M121" s="476"/>
      <c r="N121" s="476"/>
      <c r="O121" s="476"/>
      <c r="P121" s="476"/>
      <c r="Q121" s="476"/>
      <c r="R121" s="476"/>
    </row>
    <row r="122" spans="2:18" outlineLevel="1" x14ac:dyDescent="0.25">
      <c r="B122" s="11" t="s">
        <v>71</v>
      </c>
      <c r="C122" s="387">
        <f>SUM(C118:C121)</f>
        <v>-9876</v>
      </c>
      <c r="D122" s="387">
        <f t="shared" ref="D122:R122" si="120">SUM(D118:D121)</f>
        <v>-27084</v>
      </c>
      <c r="E122" s="387">
        <f t="shared" si="120"/>
        <v>-12369</v>
      </c>
      <c r="F122" s="387">
        <f t="shared" si="120"/>
        <v>-24281</v>
      </c>
      <c r="G122" s="387">
        <f t="shared" si="120"/>
        <v>-59611</v>
      </c>
      <c r="H122" s="387">
        <f t="shared" si="120"/>
        <v>-27491.614965507968</v>
      </c>
      <c r="I122" s="387">
        <f t="shared" si="120"/>
        <v>-32600.470500512474</v>
      </c>
      <c r="J122" s="387">
        <f t="shared" si="120"/>
        <v>-37586.457641015353</v>
      </c>
      <c r="K122" s="387">
        <f t="shared" si="120"/>
        <v>-42297.481265321185</v>
      </c>
      <c r="L122" s="387">
        <f t="shared" si="120"/>
        <v>-46625.665559731555</v>
      </c>
      <c r="M122" s="387">
        <f t="shared" si="120"/>
        <v>-50507.813394302109</v>
      </c>
      <c r="N122" s="387">
        <f t="shared" si="120"/>
        <v>-53919.76412752756</v>
      </c>
      <c r="O122" s="387">
        <f t="shared" si="120"/>
        <v>-56867.666321048804</v>
      </c>
      <c r="P122" s="387">
        <f t="shared" si="120"/>
        <v>-59378.640411471373</v>
      </c>
      <c r="Q122" s="387">
        <f t="shared" si="120"/>
        <v>-61492.415009630415</v>
      </c>
      <c r="R122" s="387">
        <f t="shared" si="120"/>
        <v>-63254.680902170687</v>
      </c>
    </row>
    <row r="123" spans="2:18" outlineLevel="1" x14ac:dyDescent="0.25">
      <c r="B123" t="s">
        <v>25</v>
      </c>
      <c r="C123" s="23"/>
      <c r="D123" s="23"/>
      <c r="E123" s="23"/>
      <c r="F123" s="23"/>
      <c r="G123" s="23"/>
      <c r="H123" s="355"/>
      <c r="I123" s="355"/>
      <c r="J123" s="355"/>
      <c r="K123" s="355"/>
      <c r="L123" s="355"/>
      <c r="M123" s="355"/>
      <c r="N123" s="355"/>
      <c r="O123" s="355"/>
      <c r="P123" s="355"/>
      <c r="Q123" s="355"/>
      <c r="R123" s="355"/>
    </row>
    <row r="124" spans="2:18" outlineLevel="1" x14ac:dyDescent="0.25">
      <c r="B124" t="s">
        <v>555</v>
      </c>
      <c r="C124" s="23"/>
      <c r="D124" s="23"/>
      <c r="E124" s="23"/>
      <c r="F124" s="23"/>
      <c r="G124" s="23"/>
      <c r="H124" s="23"/>
      <c r="I124" s="23"/>
      <c r="J124" s="23"/>
      <c r="K124" s="23"/>
      <c r="L124" s="23"/>
      <c r="M124" s="23"/>
      <c r="N124" s="23"/>
      <c r="O124" s="23"/>
      <c r="P124" s="23"/>
      <c r="Q124" s="23"/>
      <c r="R124" s="23"/>
    </row>
    <row r="125" spans="2:18" outlineLevel="1" x14ac:dyDescent="0.25">
      <c r="B125" t="s">
        <v>112</v>
      </c>
      <c r="C125" s="425">
        <f>SUM('Raw Data'!C110:C111)</f>
        <v>267</v>
      </c>
      <c r="D125" s="425">
        <f>SUM('Raw Data'!D110:D111)</f>
        <v>14927</v>
      </c>
      <c r="E125" s="425">
        <f>SUM('Raw Data'!E110:E111)</f>
        <v>100</v>
      </c>
      <c r="F125" s="425">
        <f>SUM('Raw Data'!F110:F111)</f>
        <v>-411</v>
      </c>
      <c r="G125" s="425">
        <f>SUM('Raw Data'!G110:G111)</f>
        <v>9591</v>
      </c>
      <c r="H125" s="383">
        <f>H317</f>
        <v>-1155</v>
      </c>
      <c r="I125" s="383">
        <f t="shared" ref="I125:R125" si="121">I317</f>
        <v>-1629</v>
      </c>
      <c r="J125" s="383">
        <f t="shared" si="121"/>
        <v>-2283</v>
      </c>
      <c r="K125" s="383">
        <f t="shared" si="121"/>
        <v>-3355</v>
      </c>
      <c r="L125" s="383">
        <f t="shared" si="121"/>
        <v>-2251</v>
      </c>
      <c r="M125" s="383">
        <f t="shared" si="121"/>
        <v>-3750</v>
      </c>
      <c r="N125" s="383">
        <f t="shared" si="121"/>
        <v>-3750</v>
      </c>
      <c r="O125" s="383">
        <f t="shared" si="121"/>
        <v>-3750</v>
      </c>
      <c r="P125" s="383">
        <f t="shared" si="121"/>
        <v>-3750</v>
      </c>
      <c r="Q125" s="383">
        <f t="shared" si="121"/>
        <v>-3750</v>
      </c>
      <c r="R125" s="383">
        <f t="shared" si="121"/>
        <v>-2393</v>
      </c>
    </row>
    <row r="126" spans="2:18" outlineLevel="1" x14ac:dyDescent="0.25">
      <c r="B126" t="s">
        <v>272</v>
      </c>
      <c r="C126" s="425">
        <f>SUM('Raw Data'!C112:C113)</f>
        <v>-4007</v>
      </c>
      <c r="D126" s="425">
        <f>SUM('Raw Data'!D112:D113)</f>
        <v>-4799</v>
      </c>
      <c r="E126" s="425">
        <f>SUM('Raw Data'!E112:E113)</f>
        <v>-7449</v>
      </c>
      <c r="F126" s="425">
        <f>SUM('Raw Data'!F112:F113)</f>
        <v>-9628</v>
      </c>
      <c r="G126" s="425">
        <f>SUM('Raw Data'!G112:G113)</f>
        <v>-10642</v>
      </c>
      <c r="H126" s="383">
        <f>-H236</f>
        <v>-4999.4069216509833</v>
      </c>
      <c r="I126" s="383">
        <f t="shared" ref="I126:R126" si="122">-I236</f>
        <v>-7473.6523332403585</v>
      </c>
      <c r="J126" s="383">
        <f t="shared" si="122"/>
        <v>-10326.314240519236</v>
      </c>
      <c r="K126" s="383">
        <f t="shared" si="122"/>
        <v>-13536.52401159795</v>
      </c>
      <c r="L126" s="383">
        <f t="shared" si="122"/>
        <v>-17075.225671491266</v>
      </c>
      <c r="M126" s="383">
        <f t="shared" si="122"/>
        <v>-20908.566835641024</v>
      </c>
      <c r="N126" s="383">
        <f t="shared" si="122"/>
        <v>-22670.538842720271</v>
      </c>
      <c r="O126" s="383">
        <f t="shared" si="122"/>
        <v>-26403.986779429873</v>
      </c>
      <c r="P126" s="383">
        <f t="shared" si="122"/>
        <v>-30910.588258760945</v>
      </c>
      <c r="Q126" s="383">
        <f t="shared" si="122"/>
        <v>-35577.616781638731</v>
      </c>
      <c r="R126" s="383">
        <f t="shared" si="122"/>
        <v>-38291.890546392067</v>
      </c>
    </row>
    <row r="127" spans="2:18" outlineLevel="1" x14ac:dyDescent="0.25">
      <c r="B127" t="s">
        <v>212</v>
      </c>
      <c r="C127" s="425">
        <f>'Raw Data'!C114</f>
        <v>0</v>
      </c>
      <c r="D127" s="425">
        <f>'Raw Data'!D114</f>
        <v>-200</v>
      </c>
      <c r="E127" s="425">
        <f>'Raw Data'!E114</f>
        <v>-337</v>
      </c>
      <c r="F127" s="425">
        <f>'Raw Data'!F114</f>
        <v>-27</v>
      </c>
      <c r="G127" s="425">
        <f>'Raw Data'!G114</f>
        <v>-53</v>
      </c>
      <c r="H127" s="476"/>
      <c r="I127" s="476"/>
      <c r="J127" s="476"/>
      <c r="K127" s="476"/>
      <c r="L127" s="476"/>
      <c r="M127" s="476"/>
      <c r="N127" s="476"/>
      <c r="O127" s="476"/>
      <c r="P127" s="476"/>
      <c r="Q127" s="476"/>
      <c r="R127" s="476"/>
    </row>
    <row r="128" spans="2:18" outlineLevel="1" x14ac:dyDescent="0.25">
      <c r="B128" t="s">
        <v>113</v>
      </c>
      <c r="C128" s="425">
        <v>0</v>
      </c>
      <c r="D128" s="425">
        <v>0</v>
      </c>
      <c r="E128" s="425">
        <v>0</v>
      </c>
      <c r="F128" s="425">
        <v>0</v>
      </c>
      <c r="G128" s="425">
        <v>0</v>
      </c>
      <c r="H128" s="244"/>
      <c r="I128" s="244"/>
      <c r="J128" s="244"/>
      <c r="K128" s="244"/>
      <c r="L128" s="244"/>
      <c r="M128" s="244"/>
      <c r="N128" s="244"/>
      <c r="O128" s="244"/>
      <c r="P128" s="244"/>
      <c r="Q128" s="244"/>
      <c r="R128" s="244"/>
    </row>
    <row r="129" spans="2:18" outlineLevel="1" x14ac:dyDescent="0.25">
      <c r="B129" t="s">
        <v>114</v>
      </c>
      <c r="C129" s="425">
        <v>0</v>
      </c>
      <c r="D129" s="425">
        <v>0</v>
      </c>
      <c r="E129" s="425">
        <v>0</v>
      </c>
      <c r="F129" s="425">
        <v>0</v>
      </c>
      <c r="G129" s="425">
        <v>0</v>
      </c>
      <c r="H129" s="478"/>
      <c r="I129" s="478"/>
      <c r="J129" s="478"/>
      <c r="K129" s="478"/>
      <c r="L129" s="478"/>
      <c r="M129" s="478"/>
      <c r="N129" s="478"/>
      <c r="O129" s="478"/>
      <c r="P129" s="478"/>
      <c r="Q129" s="478"/>
      <c r="R129" s="478"/>
    </row>
    <row r="130" spans="2:18" outlineLevel="1" x14ac:dyDescent="0.25">
      <c r="B130" s="11" t="s">
        <v>74</v>
      </c>
      <c r="C130" s="387">
        <f>SUM(C125:C129)</f>
        <v>-3740</v>
      </c>
      <c r="D130" s="387">
        <f t="shared" ref="D130:R130" si="123">SUM(D125:D129)</f>
        <v>9928</v>
      </c>
      <c r="E130" s="387">
        <f t="shared" si="123"/>
        <v>-7686</v>
      </c>
      <c r="F130" s="387">
        <f t="shared" si="123"/>
        <v>-10066</v>
      </c>
      <c r="G130" s="387">
        <f t="shared" si="123"/>
        <v>-1104</v>
      </c>
      <c r="H130" s="387">
        <f t="shared" si="123"/>
        <v>-6154.4069216509833</v>
      </c>
      <c r="I130" s="387">
        <f t="shared" si="123"/>
        <v>-9102.6523332403594</v>
      </c>
      <c r="J130" s="387">
        <f t="shared" si="123"/>
        <v>-12609.314240519236</v>
      </c>
      <c r="K130" s="387">
        <f t="shared" si="123"/>
        <v>-16891.52401159795</v>
      </c>
      <c r="L130" s="387">
        <f t="shared" si="123"/>
        <v>-19326.225671491266</v>
      </c>
      <c r="M130" s="387">
        <f t="shared" si="123"/>
        <v>-24658.566835641024</v>
      </c>
      <c r="N130" s="387">
        <f t="shared" si="123"/>
        <v>-26420.538842720271</v>
      </c>
      <c r="O130" s="387">
        <f t="shared" si="123"/>
        <v>-30153.986779429873</v>
      </c>
      <c r="P130" s="387">
        <f t="shared" si="123"/>
        <v>-34660.588258760945</v>
      </c>
      <c r="Q130" s="387">
        <f t="shared" si="123"/>
        <v>-39327.616781638731</v>
      </c>
      <c r="R130" s="387">
        <f t="shared" si="123"/>
        <v>-40684.890546392067</v>
      </c>
    </row>
    <row r="131" spans="2:18" outlineLevel="1" x14ac:dyDescent="0.25">
      <c r="B131" t="s">
        <v>25</v>
      </c>
      <c r="C131" s="23"/>
      <c r="D131" s="5"/>
      <c r="E131" s="5"/>
      <c r="F131" s="5"/>
      <c r="G131" s="5"/>
      <c r="H131" s="23"/>
      <c r="I131" s="23"/>
      <c r="J131" s="23"/>
      <c r="K131" s="23"/>
      <c r="L131" s="23"/>
      <c r="M131" s="23"/>
      <c r="N131" s="23"/>
      <c r="O131" s="23"/>
      <c r="P131" s="23"/>
      <c r="Q131" s="23"/>
      <c r="R131" s="23"/>
    </row>
    <row r="132" spans="2:18" outlineLevel="1" x14ac:dyDescent="0.25">
      <c r="B132" t="s">
        <v>195</v>
      </c>
      <c r="C132" s="425">
        <f>'Raw Data'!C116</f>
        <v>-212</v>
      </c>
      <c r="D132" s="425">
        <f>'Raw Data'!D116</f>
        <v>713</v>
      </c>
      <c r="E132" s="425">
        <f>'Raw Data'!E116</f>
        <v>-351</v>
      </c>
      <c r="F132" s="425">
        <f>'Raw Data'!F116</f>
        <v>70</v>
      </c>
      <c r="G132" s="425">
        <f>'Raw Data'!G116</f>
        <v>618</v>
      </c>
      <c r="H132" s="476"/>
      <c r="I132" s="476"/>
      <c r="J132" s="476"/>
      <c r="K132" s="476"/>
      <c r="L132" s="476"/>
      <c r="M132" s="476"/>
      <c r="N132" s="476"/>
      <c r="O132" s="476"/>
      <c r="P132" s="476"/>
      <c r="Q132" s="476"/>
      <c r="R132" s="476"/>
    </row>
    <row r="133" spans="2:18" outlineLevel="1" x14ac:dyDescent="0.25">
      <c r="B133" s="13" t="s">
        <v>75</v>
      </c>
      <c r="C133" s="384">
        <f>C115+C122+C130+C132</f>
        <v>3444</v>
      </c>
      <c r="D133" s="384">
        <f t="shared" ref="D133:R133" si="124">D115+D122+D130+D132</f>
        <v>1922</v>
      </c>
      <c r="E133" s="384">
        <f t="shared" si="124"/>
        <v>10317</v>
      </c>
      <c r="F133" s="384">
        <f t="shared" si="124"/>
        <v>4237</v>
      </c>
      <c r="G133" s="384">
        <f t="shared" si="124"/>
        <v>5967</v>
      </c>
      <c r="H133" s="384">
        <f t="shared" si="124"/>
        <v>10502.088465156734</v>
      </c>
      <c r="I133" s="384">
        <f t="shared" si="124"/>
        <v>25910.362738950935</v>
      </c>
      <c r="J133" s="384">
        <f t="shared" si="124"/>
        <v>28457.926557270068</v>
      </c>
      <c r="K133" s="384">
        <f t="shared" si="124"/>
        <v>30632.976826452988</v>
      </c>
      <c r="L133" s="384">
        <f t="shared" si="124"/>
        <v>35363.282491633901</v>
      </c>
      <c r="M133" s="384">
        <f t="shared" si="124"/>
        <v>37655.046929313721</v>
      </c>
      <c r="N133" s="384">
        <f t="shared" si="124"/>
        <v>40152.555031871103</v>
      </c>
      <c r="O133" s="384">
        <f t="shared" si="124"/>
        <v>44279.120414801335</v>
      </c>
      <c r="P133" s="384">
        <f t="shared" si="124"/>
        <v>49560.400453516173</v>
      </c>
      <c r="Q133" s="384">
        <f t="shared" si="124"/>
        <v>55115.1998955952</v>
      </c>
      <c r="R133" s="384">
        <f t="shared" si="124"/>
        <v>51693.858074992313</v>
      </c>
    </row>
    <row r="134" spans="2:18" outlineLevel="1" x14ac:dyDescent="0.25">
      <c r="B134" t="s">
        <v>25</v>
      </c>
      <c r="C134" s="23"/>
      <c r="D134" s="23"/>
      <c r="E134" s="23"/>
      <c r="F134" s="23"/>
      <c r="G134" s="23"/>
      <c r="H134" s="23"/>
      <c r="I134" s="23"/>
      <c r="J134" s="23"/>
      <c r="K134" s="23"/>
      <c r="L134" s="23"/>
      <c r="M134" s="23"/>
      <c r="N134" s="23"/>
      <c r="O134" s="23"/>
      <c r="P134" s="23"/>
      <c r="Q134" s="23"/>
      <c r="R134" s="23"/>
    </row>
    <row r="135" spans="2:18" ht="14.4" outlineLevel="1" thickBot="1" x14ac:dyDescent="0.3">
      <c r="B135" s="14" t="s">
        <v>554</v>
      </c>
      <c r="C135" s="389">
        <f>C100+C133</f>
        <v>19334</v>
      </c>
      <c r="D135" s="389">
        <f t="shared" ref="D135:R135" si="125">D100+D133</f>
        <v>21856</v>
      </c>
      <c r="E135" s="389">
        <f t="shared" si="125"/>
        <v>32173</v>
      </c>
      <c r="F135" s="389">
        <f t="shared" si="125"/>
        <v>36410</v>
      </c>
      <c r="G135" s="389">
        <f t="shared" si="125"/>
        <v>42377</v>
      </c>
      <c r="H135" s="389">
        <f t="shared" si="125"/>
        <v>52879.088465156732</v>
      </c>
      <c r="I135" s="389">
        <f t="shared" si="125"/>
        <v>78789.451204107667</v>
      </c>
      <c r="J135" s="389">
        <f t="shared" si="125"/>
        <v>107247.37776137773</v>
      </c>
      <c r="K135" s="389">
        <f t="shared" si="125"/>
        <v>137880.35458783072</v>
      </c>
      <c r="L135" s="389">
        <f t="shared" si="125"/>
        <v>173243.63707946462</v>
      </c>
      <c r="M135" s="389">
        <f t="shared" si="125"/>
        <v>210898.68400877833</v>
      </c>
      <c r="N135" s="389">
        <f t="shared" si="125"/>
        <v>251051.23904064944</v>
      </c>
      <c r="O135" s="389">
        <f t="shared" si="125"/>
        <v>295330.35945545079</v>
      </c>
      <c r="P135" s="389">
        <f t="shared" si="125"/>
        <v>344890.75990896695</v>
      </c>
      <c r="Q135" s="389">
        <f t="shared" si="125"/>
        <v>400005.95980456215</v>
      </c>
      <c r="R135" s="389">
        <f t="shared" si="125"/>
        <v>451699.81787955447</v>
      </c>
    </row>
    <row r="136" spans="2:18" ht="14.4" outlineLevel="1" thickTop="1" x14ac:dyDescent="0.25">
      <c r="B136" s="1"/>
      <c r="C136" s="386"/>
      <c r="D136" s="386"/>
      <c r="E136" s="386"/>
      <c r="F136" s="386"/>
      <c r="G136" s="386"/>
      <c r="H136" s="386"/>
      <c r="I136" s="386"/>
      <c r="J136" s="386"/>
      <c r="K136" s="386"/>
      <c r="L136" s="386"/>
      <c r="M136" s="386"/>
      <c r="N136" s="386"/>
      <c r="O136" s="386"/>
      <c r="P136" s="386"/>
      <c r="Q136" s="386"/>
      <c r="R136" s="386"/>
    </row>
    <row r="137" spans="2:18" outlineLevel="1" x14ac:dyDescent="0.25">
      <c r="B137" s="1"/>
      <c r="C137" s="41"/>
      <c r="D137" s="41"/>
      <c r="E137" s="41"/>
      <c r="F137" s="41"/>
      <c r="G137" s="41"/>
      <c r="H137" s="41"/>
      <c r="I137" s="41"/>
      <c r="J137" s="41"/>
      <c r="K137" s="41"/>
      <c r="L137" s="41"/>
      <c r="M137" s="41"/>
      <c r="N137" s="41"/>
      <c r="O137" s="41"/>
      <c r="P137" s="41"/>
      <c r="Q137" s="41"/>
      <c r="R137" s="41"/>
    </row>
    <row r="138" spans="2:18" outlineLevel="1" x14ac:dyDescent="0.25">
      <c r="B138" s="218" t="s">
        <v>93</v>
      </c>
      <c r="C138" s="218"/>
      <c r="D138" s="218"/>
      <c r="E138" s="218"/>
      <c r="F138" s="218"/>
      <c r="G138" s="218"/>
      <c r="H138" s="218"/>
      <c r="I138" s="218"/>
      <c r="J138" s="218"/>
      <c r="K138" s="218"/>
      <c r="L138" s="218"/>
      <c r="M138" s="218"/>
      <c r="N138" s="218"/>
      <c r="O138" s="218"/>
      <c r="P138" s="218"/>
      <c r="Q138" s="218"/>
      <c r="R138" s="218"/>
    </row>
    <row r="139" spans="2:18" outlineLevel="1" x14ac:dyDescent="0.25">
      <c r="B139" s="76"/>
      <c r="C139" s="78">
        <f>C5</f>
        <v>2016</v>
      </c>
      <c r="D139" s="78">
        <f t="shared" ref="D139:R139" si="126">D5</f>
        <v>2017</v>
      </c>
      <c r="E139" s="78">
        <f t="shared" si="126"/>
        <v>2018</v>
      </c>
      <c r="F139" s="78">
        <f t="shared" si="126"/>
        <v>2019</v>
      </c>
      <c r="G139" s="78">
        <f t="shared" si="126"/>
        <v>2020</v>
      </c>
      <c r="H139" s="79">
        <f t="shared" si="126"/>
        <v>2021</v>
      </c>
      <c r="I139" s="79">
        <f t="shared" si="126"/>
        <v>2022</v>
      </c>
      <c r="J139" s="79">
        <f t="shared" si="126"/>
        <v>2023</v>
      </c>
      <c r="K139" s="79">
        <f t="shared" si="126"/>
        <v>2024</v>
      </c>
      <c r="L139" s="79">
        <f t="shared" si="126"/>
        <v>2025</v>
      </c>
      <c r="M139" s="79">
        <f t="shared" si="126"/>
        <v>2026</v>
      </c>
      <c r="N139" s="79">
        <f t="shared" si="126"/>
        <v>2027</v>
      </c>
      <c r="O139" s="79">
        <f t="shared" si="126"/>
        <v>2028</v>
      </c>
      <c r="P139" s="79">
        <f t="shared" si="126"/>
        <v>2029</v>
      </c>
      <c r="Q139" s="79">
        <f t="shared" si="126"/>
        <v>2030</v>
      </c>
      <c r="R139" s="79">
        <f t="shared" si="126"/>
        <v>2031</v>
      </c>
    </row>
    <row r="140" spans="2:18" ht="5.4" customHeight="1" outlineLevel="1" x14ac:dyDescent="0.25">
      <c r="C140" s="23"/>
      <c r="D140" s="23"/>
      <c r="E140" s="23"/>
      <c r="F140" s="23"/>
      <c r="G140" s="23"/>
      <c r="H140" s="23"/>
      <c r="I140" s="23"/>
      <c r="J140" s="23"/>
      <c r="K140" s="23"/>
      <c r="L140" s="23"/>
      <c r="M140" s="23"/>
      <c r="N140" s="23"/>
      <c r="O140" s="23"/>
      <c r="P140" s="23"/>
      <c r="Q140" s="23"/>
      <c r="R140" s="23"/>
    </row>
    <row r="141" spans="2:18" outlineLevel="1" x14ac:dyDescent="0.25">
      <c r="B141" s="346" t="s">
        <v>440</v>
      </c>
      <c r="C141" s="347"/>
      <c r="D141" s="347"/>
      <c r="E141" s="347"/>
      <c r="F141" s="347"/>
      <c r="G141" s="347"/>
      <c r="H141" s="347"/>
      <c r="I141" s="347"/>
      <c r="J141" s="347"/>
      <c r="K141" s="347"/>
      <c r="L141" s="347"/>
      <c r="M141" s="347"/>
      <c r="N141" s="347"/>
      <c r="O141" s="347"/>
      <c r="P141" s="347"/>
      <c r="Q141" s="347"/>
      <c r="R141" s="347"/>
    </row>
    <row r="142" spans="2:18" outlineLevel="1" x14ac:dyDescent="0.25">
      <c r="B142" t="s">
        <v>27</v>
      </c>
      <c r="C142" s="425">
        <f>'Raw Data'!C122</f>
        <v>19334</v>
      </c>
      <c r="D142" s="425">
        <f>'Raw Data'!D122</f>
        <v>20522</v>
      </c>
      <c r="E142" s="425">
        <f>'Raw Data'!E122</f>
        <v>31750</v>
      </c>
      <c r="F142" s="425">
        <f>'Raw Data'!F122</f>
        <v>36092</v>
      </c>
      <c r="G142" s="425">
        <f>'Raw Data'!G122</f>
        <v>42122</v>
      </c>
      <c r="H142" s="383">
        <f>H63</f>
        <v>52624.088465156732</v>
      </c>
      <c r="I142" s="383">
        <f t="shared" ref="I142:R142" si="127">I63</f>
        <v>78534.451204107667</v>
      </c>
      <c r="J142" s="383">
        <f t="shared" si="127"/>
        <v>106992.37776137773</v>
      </c>
      <c r="K142" s="383">
        <f t="shared" si="127"/>
        <v>137625.35458783072</v>
      </c>
      <c r="L142" s="383">
        <f t="shared" si="127"/>
        <v>172988.63707946462</v>
      </c>
      <c r="M142" s="383">
        <f t="shared" si="127"/>
        <v>210643.68400877833</v>
      </c>
      <c r="N142" s="383">
        <f t="shared" si="127"/>
        <v>250796.23904064944</v>
      </c>
      <c r="O142" s="383">
        <f t="shared" si="127"/>
        <v>295075.35945545079</v>
      </c>
      <c r="P142" s="383">
        <f t="shared" si="127"/>
        <v>344635.75990896695</v>
      </c>
      <c r="Q142" s="383">
        <f t="shared" si="127"/>
        <v>399750.95980456215</v>
      </c>
      <c r="R142" s="383">
        <f t="shared" si="127"/>
        <v>451444.81787955447</v>
      </c>
    </row>
    <row r="143" spans="2:18" outlineLevel="1" x14ac:dyDescent="0.25">
      <c r="B143" t="s">
        <v>473</v>
      </c>
      <c r="C143" s="425">
        <f>'Raw Data'!C123</f>
        <v>265</v>
      </c>
      <c r="D143" s="425">
        <f>'Raw Data'!D123</f>
        <v>1329</v>
      </c>
      <c r="E143" s="425">
        <f>'Raw Data'!E123</f>
        <v>418</v>
      </c>
      <c r="F143" s="425">
        <f>'Raw Data'!F123</f>
        <v>276</v>
      </c>
      <c r="G143" s="425">
        <f>'Raw Data'!G123</f>
        <v>233</v>
      </c>
      <c r="H143" s="383">
        <f>G143</f>
        <v>233</v>
      </c>
      <c r="I143" s="383">
        <f t="shared" ref="I143:R143" si="128">H143</f>
        <v>233</v>
      </c>
      <c r="J143" s="383">
        <f t="shared" si="128"/>
        <v>233</v>
      </c>
      <c r="K143" s="383">
        <f t="shared" si="128"/>
        <v>233</v>
      </c>
      <c r="L143" s="383">
        <f t="shared" si="128"/>
        <v>233</v>
      </c>
      <c r="M143" s="383">
        <f t="shared" si="128"/>
        <v>233</v>
      </c>
      <c r="N143" s="383">
        <f t="shared" si="128"/>
        <v>233</v>
      </c>
      <c r="O143" s="383">
        <f t="shared" si="128"/>
        <v>233</v>
      </c>
      <c r="P143" s="383">
        <f t="shared" si="128"/>
        <v>233</v>
      </c>
      <c r="Q143" s="383">
        <f t="shared" si="128"/>
        <v>233</v>
      </c>
      <c r="R143" s="383">
        <f t="shared" si="128"/>
        <v>233</v>
      </c>
    </row>
    <row r="144" spans="2:18" outlineLevel="1" x14ac:dyDescent="0.25">
      <c r="B144" t="s">
        <v>474</v>
      </c>
      <c r="C144" s="425">
        <f>'Raw Data'!C124</f>
        <v>0</v>
      </c>
      <c r="D144" s="425">
        <f>'Raw Data'!D124</f>
        <v>5</v>
      </c>
      <c r="E144" s="425">
        <f>'Raw Data'!E124</f>
        <v>5</v>
      </c>
      <c r="F144" s="425">
        <f>'Raw Data'!F124</f>
        <v>42</v>
      </c>
      <c r="G144" s="425">
        <f>'Raw Data'!G124</f>
        <v>22</v>
      </c>
      <c r="H144" s="383">
        <f t="shared" ref="H144:R144" si="129">G144</f>
        <v>22</v>
      </c>
      <c r="I144" s="383">
        <f t="shared" si="129"/>
        <v>22</v>
      </c>
      <c r="J144" s="383">
        <f t="shared" si="129"/>
        <v>22</v>
      </c>
      <c r="K144" s="383">
        <f t="shared" si="129"/>
        <v>22</v>
      </c>
      <c r="L144" s="383">
        <f t="shared" si="129"/>
        <v>22</v>
      </c>
      <c r="M144" s="383">
        <f t="shared" si="129"/>
        <v>22</v>
      </c>
      <c r="N144" s="383">
        <f t="shared" si="129"/>
        <v>22</v>
      </c>
      <c r="O144" s="383">
        <f t="shared" si="129"/>
        <v>22</v>
      </c>
      <c r="P144" s="383">
        <f t="shared" si="129"/>
        <v>22</v>
      </c>
      <c r="Q144" s="383">
        <f t="shared" si="129"/>
        <v>22</v>
      </c>
      <c r="R144" s="383">
        <f t="shared" si="129"/>
        <v>22</v>
      </c>
    </row>
    <row r="145" spans="2:19" outlineLevel="1" x14ac:dyDescent="0.25">
      <c r="B145" s="11" t="s">
        <v>200</v>
      </c>
      <c r="C145" s="387">
        <f>SUM(C142:C144)</f>
        <v>19599</v>
      </c>
      <c r="D145" s="387">
        <f t="shared" ref="D145:G145" si="130">SUM(D142:D144)</f>
        <v>21856</v>
      </c>
      <c r="E145" s="387">
        <f t="shared" si="130"/>
        <v>32173</v>
      </c>
      <c r="F145" s="387">
        <f t="shared" si="130"/>
        <v>36410</v>
      </c>
      <c r="G145" s="387">
        <f t="shared" si="130"/>
        <v>42377</v>
      </c>
      <c r="H145" s="387">
        <f t="shared" ref="H145" si="131">SUM(H142:H144)</f>
        <v>52879.088465156732</v>
      </c>
      <c r="I145" s="387">
        <f t="shared" ref="I145" si="132">SUM(I142:I144)</f>
        <v>78789.451204107667</v>
      </c>
      <c r="J145" s="387">
        <f t="shared" ref="J145" si="133">SUM(J142:J144)</f>
        <v>107247.37776137773</v>
      </c>
      <c r="K145" s="387">
        <f t="shared" ref="K145" si="134">SUM(K142:K144)</f>
        <v>137880.35458783072</v>
      </c>
      <c r="L145" s="387">
        <f t="shared" ref="L145" si="135">SUM(L142:L144)</f>
        <v>173243.63707946462</v>
      </c>
      <c r="M145" s="387">
        <f t="shared" ref="M145" si="136">SUM(M142:M144)</f>
        <v>210898.68400877833</v>
      </c>
      <c r="N145" s="387">
        <f t="shared" ref="N145" si="137">SUM(N142:N144)</f>
        <v>251051.23904064944</v>
      </c>
      <c r="O145" s="387">
        <f t="shared" ref="O145" si="138">SUM(O142:O144)</f>
        <v>295330.35945545079</v>
      </c>
      <c r="P145" s="387">
        <f t="shared" ref="P145" si="139">SUM(P142:P144)</f>
        <v>344890.75990896695</v>
      </c>
      <c r="Q145" s="387">
        <f t="shared" ref="Q145" si="140">SUM(Q142:Q144)</f>
        <v>400005.95980456215</v>
      </c>
      <c r="R145" s="387">
        <f t="shared" ref="R145" si="141">SUM(R142:R144)</f>
        <v>451699.81787955447</v>
      </c>
    </row>
    <row r="146" spans="2:19" outlineLevel="1" x14ac:dyDescent="0.25">
      <c r="B146" s="1"/>
      <c r="C146" s="23"/>
      <c r="D146" s="23"/>
      <c r="E146" s="23"/>
      <c r="F146" s="23"/>
      <c r="G146" s="23"/>
      <c r="H146" s="23"/>
      <c r="I146" s="23"/>
      <c r="J146" s="23"/>
      <c r="K146" s="23"/>
      <c r="L146" s="23"/>
      <c r="M146" s="23"/>
      <c r="N146" s="23"/>
      <c r="O146" s="23"/>
      <c r="P146" s="23"/>
      <c r="Q146" s="23"/>
      <c r="R146" s="23"/>
    </row>
    <row r="147" spans="2:19" outlineLevel="1" x14ac:dyDescent="0.25">
      <c r="B147" s="346" t="s">
        <v>94</v>
      </c>
      <c r="C147" s="347"/>
      <c r="D147" s="347"/>
      <c r="E147" s="347"/>
      <c r="F147" s="347"/>
      <c r="G147" s="347"/>
      <c r="H147" s="347"/>
      <c r="I147" s="347"/>
      <c r="J147" s="347"/>
      <c r="K147" s="347"/>
      <c r="L147" s="347"/>
      <c r="M147" s="347"/>
      <c r="N147" s="347"/>
      <c r="O147" s="347"/>
      <c r="P147" s="347"/>
      <c r="Q147" s="347"/>
      <c r="R147" s="347"/>
    </row>
    <row r="148" spans="2:19" outlineLevel="1" x14ac:dyDescent="0.25">
      <c r="B148" s="1"/>
      <c r="C148" s="23"/>
      <c r="D148" s="23"/>
      <c r="E148" s="23"/>
      <c r="F148" s="23"/>
      <c r="G148" s="23"/>
      <c r="H148" s="23"/>
      <c r="I148" s="23"/>
      <c r="J148" s="23"/>
      <c r="K148" s="23"/>
      <c r="L148" s="23"/>
      <c r="M148" s="23"/>
      <c r="N148" s="23"/>
      <c r="O148" s="23"/>
      <c r="P148" s="23"/>
      <c r="Q148" s="23"/>
      <c r="R148" s="23"/>
    </row>
    <row r="149" spans="2:19" outlineLevel="1" x14ac:dyDescent="0.25">
      <c r="B149" s="202" t="s">
        <v>484</v>
      </c>
      <c r="C149" s="425">
        <f>'Raw Data'!C82</f>
        <v>13437</v>
      </c>
      <c r="D149" s="425">
        <f>C171</f>
        <v>18075</v>
      </c>
      <c r="E149" s="425">
        <f t="shared" ref="E149:G149" si="142">D171</f>
        <v>31101</v>
      </c>
      <c r="F149" s="425">
        <f t="shared" si="142"/>
        <v>39097</v>
      </c>
      <c r="G149" s="425">
        <f t="shared" si="142"/>
        <v>45305</v>
      </c>
      <c r="H149" s="383">
        <f>G171</f>
        <v>81514</v>
      </c>
      <c r="I149" s="383">
        <f t="shared" ref="I149:R149" si="143">H171</f>
        <v>98105.053468957165</v>
      </c>
      <c r="J149" s="383">
        <f t="shared" si="143"/>
        <v>116544.91542286759</v>
      </c>
      <c r="K149" s="383">
        <f t="shared" si="143"/>
        <v>136212.11875317935</v>
      </c>
      <c r="L149" s="383">
        <f t="shared" si="143"/>
        <v>156360.59758126482</v>
      </c>
      <c r="M149" s="383">
        <f t="shared" si="143"/>
        <v>176174.69414778752</v>
      </c>
      <c r="N149" s="383">
        <f t="shared" si="143"/>
        <v>194820.15720945055</v>
      </c>
      <c r="O149" s="383">
        <f t="shared" si="143"/>
        <v>211485.5945915863</v>
      </c>
      <c r="P149" s="383">
        <f t="shared" si="143"/>
        <v>225412.16753513843</v>
      </c>
      <c r="Q149" s="383">
        <f t="shared" si="143"/>
        <v>235911.85052796596</v>
      </c>
      <c r="R149" s="383">
        <f t="shared" si="143"/>
        <v>242376.06661798948</v>
      </c>
    </row>
    <row r="150" spans="2:19" outlineLevel="1" x14ac:dyDescent="0.25">
      <c r="B150" s="202" t="s">
        <v>96</v>
      </c>
      <c r="C150" s="383">
        <f>-C118-C119</f>
        <v>6737</v>
      </c>
      <c r="D150" s="383">
        <f t="shared" ref="D150:G150" si="144">-D118-D119</f>
        <v>10058</v>
      </c>
      <c r="E150" s="383">
        <f t="shared" si="144"/>
        <v>11323</v>
      </c>
      <c r="F150" s="383">
        <f t="shared" si="144"/>
        <v>12689</v>
      </c>
      <c r="G150" s="383">
        <f t="shared" si="144"/>
        <v>35044</v>
      </c>
      <c r="H150" s="383">
        <f>H32*'Control Panel'!$O$38</f>
        <v>27491.614965507968</v>
      </c>
      <c r="I150" s="383">
        <f>I32*'Control Panel'!$O$38</f>
        <v>32600.470500512474</v>
      </c>
      <c r="J150" s="383">
        <f>J32*'Control Panel'!$O$38</f>
        <v>37586.457641015353</v>
      </c>
      <c r="K150" s="383">
        <f>K32*'Control Panel'!$O$38</f>
        <v>42297.481265321185</v>
      </c>
      <c r="L150" s="383">
        <f>L32*'Control Panel'!$O$38</f>
        <v>46625.665559731555</v>
      </c>
      <c r="M150" s="383">
        <f>M32*'Control Panel'!$O$38</f>
        <v>50507.813394302109</v>
      </c>
      <c r="N150" s="383">
        <f>N32*'Control Panel'!$O$38</f>
        <v>53919.76412752756</v>
      </c>
      <c r="O150" s="383">
        <f>O32*'Control Panel'!$O$38</f>
        <v>56867.666321048804</v>
      </c>
      <c r="P150" s="383">
        <f>P32*'Control Panel'!$O$38</f>
        <v>59378.640411471373</v>
      </c>
      <c r="Q150" s="383">
        <f>Q32*'Control Panel'!$O$38</f>
        <v>61492.415009630415</v>
      </c>
      <c r="R150" s="383">
        <f>R32*'Control Panel'!$O$38</f>
        <v>63254.680902170687</v>
      </c>
    </row>
    <row r="151" spans="2:19" outlineLevel="1" x14ac:dyDescent="0.25">
      <c r="B151" s="202" t="s">
        <v>97</v>
      </c>
      <c r="C151" s="383">
        <f>C171-SUM(C149:C150,C169)</f>
        <v>2217</v>
      </c>
      <c r="D151" s="383">
        <f t="shared" ref="D151:G151" si="145">D171-SUM(D149:D150,D169)</f>
        <v>9046</v>
      </c>
      <c r="E151" s="383">
        <f t="shared" si="145"/>
        <v>4714</v>
      </c>
      <c r="F151" s="383">
        <f t="shared" si="145"/>
        <v>5208</v>
      </c>
      <c r="G151" s="383">
        <f t="shared" si="145"/>
        <v>17916</v>
      </c>
      <c r="H151" s="479"/>
      <c r="I151" s="479"/>
      <c r="J151" s="479"/>
      <c r="K151" s="479"/>
      <c r="L151" s="479"/>
      <c r="M151" s="479"/>
      <c r="N151" s="479"/>
      <c r="O151" s="479"/>
      <c r="P151" s="479"/>
      <c r="Q151" s="479"/>
      <c r="R151" s="479"/>
    </row>
    <row r="152" spans="2:19" outlineLevel="1" x14ac:dyDescent="0.25">
      <c r="B152" s="202"/>
      <c r="C152" s="23"/>
      <c r="D152" s="23"/>
      <c r="E152" s="23"/>
      <c r="F152" s="23"/>
      <c r="G152" s="23"/>
      <c r="H152" s="23"/>
      <c r="I152" s="23"/>
      <c r="J152" s="23"/>
      <c r="K152" s="23"/>
      <c r="L152" s="23"/>
      <c r="M152" s="23"/>
      <c r="N152" s="23"/>
      <c r="O152" s="23"/>
      <c r="P152" s="23"/>
      <c r="Q152" s="23"/>
      <c r="R152" s="23"/>
    </row>
    <row r="153" spans="2:19" outlineLevel="1" x14ac:dyDescent="0.25">
      <c r="B153" s="202" t="s">
        <v>485</v>
      </c>
      <c r="C153" s="476"/>
      <c r="D153" s="476"/>
      <c r="E153" s="476"/>
      <c r="F153" s="476"/>
      <c r="G153" s="476"/>
      <c r="H153" s="383">
        <f>-H149/'Control Panel'!$O$39</f>
        <v>-8151.4</v>
      </c>
      <c r="I153" s="383">
        <f>IF(I$5&gt;$H$5+'Control Panel'!$O$39-1,0,H153)</f>
        <v>-8151.4</v>
      </c>
      <c r="J153" s="383">
        <f>IF(J$5&gt;$H$5+'Control Panel'!$O$39-1,0,I153)</f>
        <v>-8151.4</v>
      </c>
      <c r="K153" s="383">
        <f>IF(K$5&gt;$H$5+'Control Panel'!$O$39-1,0,J153)</f>
        <v>-8151.4</v>
      </c>
      <c r="L153" s="383">
        <f>IF(L$5&gt;$H$5+'Control Panel'!$O$39-1,0,K153)</f>
        <v>-8151.4</v>
      </c>
      <c r="M153" s="383">
        <f>IF(M$5&gt;$H$5+'Control Panel'!$O$39-1,0,L153)</f>
        <v>-8151.4</v>
      </c>
      <c r="N153" s="383">
        <f>IF(N$5&gt;$H$5+'Control Panel'!$O$39-1,0,M153)</f>
        <v>-8151.4</v>
      </c>
      <c r="O153" s="383">
        <f>IF(O$5&gt;$H$5+'Control Panel'!$O$39-1,0,N153)</f>
        <v>-8151.4</v>
      </c>
      <c r="P153" s="383">
        <f>IF(P$5&gt;$H$5+'Control Panel'!$O$39-1,0,O153)</f>
        <v>-8151.4</v>
      </c>
      <c r="Q153" s="383">
        <f>IF(Q$5&gt;$H$5+'Control Panel'!$O$39-1,0,P153)</f>
        <v>-8151.4</v>
      </c>
      <c r="R153" s="383">
        <f>IF(R$5&gt;$H$5+'Control Panel'!$O$39-1,0,Q153)</f>
        <v>0</v>
      </c>
    </row>
    <row r="154" spans="2:19" outlineLevel="1" x14ac:dyDescent="0.25">
      <c r="B154" s="202"/>
      <c r="C154" s="23"/>
      <c r="D154" s="23"/>
      <c r="E154" s="23"/>
      <c r="F154" s="23"/>
      <c r="G154" s="23"/>
      <c r="H154" s="23"/>
      <c r="I154" s="23"/>
      <c r="J154" s="23"/>
      <c r="K154" s="23"/>
      <c r="L154" s="23"/>
      <c r="M154" s="23"/>
      <c r="N154" s="23"/>
      <c r="O154" s="23"/>
      <c r="P154" s="23"/>
      <c r="Q154" s="23"/>
      <c r="R154" s="23"/>
    </row>
    <row r="155" spans="2:19" outlineLevel="1" x14ac:dyDescent="0.25">
      <c r="B155" s="348" t="s">
        <v>486</v>
      </c>
      <c r="C155" s="23"/>
      <c r="D155" s="23"/>
      <c r="E155" s="23"/>
      <c r="F155" s="23"/>
      <c r="G155" s="23"/>
      <c r="H155" s="23"/>
      <c r="I155" s="23"/>
      <c r="J155" s="23"/>
      <c r="K155" s="23"/>
      <c r="L155" s="23"/>
      <c r="M155" s="23"/>
      <c r="N155" s="23"/>
      <c r="O155" s="23"/>
      <c r="P155" s="23"/>
      <c r="Q155" s="23"/>
      <c r="R155" s="23"/>
    </row>
    <row r="156" spans="2:19" outlineLevel="1" x14ac:dyDescent="0.25">
      <c r="B156" s="349">
        <f>$H$139</f>
        <v>2021</v>
      </c>
      <c r="C156" s="476"/>
      <c r="D156" s="476"/>
      <c r="E156" s="476"/>
      <c r="F156" s="476"/>
      <c r="G156" s="476"/>
      <c r="H156" s="383">
        <f>-H$150/'Control Panel'!$O$39</f>
        <v>-2749.161496550797</v>
      </c>
      <c r="I156" s="383">
        <f>IF(I$5&gt;$B156+'Control Panel'!$O$39-1,0,H156)</f>
        <v>-2749.161496550797</v>
      </c>
      <c r="J156" s="383">
        <f>IF(J$5&gt;$B156+'Control Panel'!$O$39-1,0,I156)</f>
        <v>-2749.161496550797</v>
      </c>
      <c r="K156" s="383">
        <f>IF(K$5&gt;$B156+'Control Panel'!$O$39-1,0,J156)</f>
        <v>-2749.161496550797</v>
      </c>
      <c r="L156" s="383">
        <f>IF(L$5&gt;$B156+'Control Panel'!$O$39-1,0,K156)</f>
        <v>-2749.161496550797</v>
      </c>
      <c r="M156" s="383">
        <f>IF(M$5&gt;$B156+'Control Panel'!$O$39-1,0,L156)</f>
        <v>-2749.161496550797</v>
      </c>
      <c r="N156" s="383">
        <f>IF(N$5&gt;$B156+'Control Panel'!$O$39-1,0,M156)</f>
        <v>-2749.161496550797</v>
      </c>
      <c r="O156" s="383">
        <f>IF(O$5&gt;$B156+'Control Panel'!$O$39-1,0,N156)</f>
        <v>-2749.161496550797</v>
      </c>
      <c r="P156" s="383">
        <f>IF(P$5&gt;$B156+'Control Panel'!$O$39-1,0,O156)</f>
        <v>-2749.161496550797</v>
      </c>
      <c r="Q156" s="383">
        <f>IF(Q$5&gt;$B156+'Control Panel'!$O$39-1,0,P156)</f>
        <v>-2749.161496550797</v>
      </c>
      <c r="R156" s="383">
        <f>IF(R$5&gt;$B156+'Control Panel'!$O$39-1,0,Q156)</f>
        <v>0</v>
      </c>
    </row>
    <row r="157" spans="2:19" outlineLevel="1" x14ac:dyDescent="0.25">
      <c r="B157" s="349">
        <f>+B156+1</f>
        <v>2022</v>
      </c>
      <c r="C157" s="476"/>
      <c r="D157" s="476"/>
      <c r="E157" s="476"/>
      <c r="F157" s="476"/>
      <c r="G157" s="476"/>
      <c r="H157" s="480"/>
      <c r="I157" s="383">
        <f>-I$150/'Control Panel'!$O$39</f>
        <v>-3260.0470500512474</v>
      </c>
      <c r="J157" s="383">
        <f>IF(J$5&gt;$B157+'Control Panel'!$O$39-1,0,I157)</f>
        <v>-3260.0470500512474</v>
      </c>
      <c r="K157" s="383">
        <f>IF(K$5&gt;$B157+'Control Panel'!$O$39-1,0,J157)</f>
        <v>-3260.0470500512474</v>
      </c>
      <c r="L157" s="383">
        <f>IF(L$5&gt;$B157+'Control Panel'!$O$39-1,0,K157)</f>
        <v>-3260.0470500512474</v>
      </c>
      <c r="M157" s="383">
        <f>IF(M$5&gt;$B157+'Control Panel'!$O$39-1,0,L157)</f>
        <v>-3260.0470500512474</v>
      </c>
      <c r="N157" s="383">
        <f>IF(N$5&gt;$B157+'Control Panel'!$O$39-1,0,M157)</f>
        <v>-3260.0470500512474</v>
      </c>
      <c r="O157" s="383">
        <f>IF(O$5&gt;$B157+'Control Panel'!$O$39-1,0,N157)</f>
        <v>-3260.0470500512474</v>
      </c>
      <c r="P157" s="383">
        <f>IF(P$5&gt;$B157+'Control Panel'!$O$39-1,0,O157)</f>
        <v>-3260.0470500512474</v>
      </c>
      <c r="Q157" s="383">
        <f>IF(Q$5&gt;$B157+'Control Panel'!$O$39-1,0,P157)</f>
        <v>-3260.0470500512474</v>
      </c>
      <c r="R157" s="383">
        <f>IF(R$5&gt;$B157+'Control Panel'!$O$39-1,0,Q157)</f>
        <v>-3260.0470500512474</v>
      </c>
    </row>
    <row r="158" spans="2:19" outlineLevel="1" x14ac:dyDescent="0.25">
      <c r="B158" s="349">
        <f t="shared" ref="B158:B166" si="146">+B157+1</f>
        <v>2023</v>
      </c>
      <c r="C158" s="476"/>
      <c r="D158" s="476"/>
      <c r="E158" s="476"/>
      <c r="F158" s="476"/>
      <c r="G158" s="476"/>
      <c r="H158" s="480"/>
      <c r="I158" s="480"/>
      <c r="J158" s="383">
        <f>-J$150/'Control Panel'!$O$39</f>
        <v>-3758.6457641015354</v>
      </c>
      <c r="K158" s="383">
        <f>IF(K$5&gt;$B158+'Control Panel'!$O$39-1,0,J158)</f>
        <v>-3758.6457641015354</v>
      </c>
      <c r="L158" s="383">
        <f>IF(L$5&gt;$B158+'Control Panel'!$O$39-1,0,K158)</f>
        <v>-3758.6457641015354</v>
      </c>
      <c r="M158" s="383">
        <f>IF(M$5&gt;$B158+'Control Panel'!$O$39-1,0,L158)</f>
        <v>-3758.6457641015354</v>
      </c>
      <c r="N158" s="383">
        <f>IF(N$5&gt;$B158+'Control Panel'!$O$39-1,0,M158)</f>
        <v>-3758.6457641015354</v>
      </c>
      <c r="O158" s="383">
        <f>IF(O$5&gt;$B158+'Control Panel'!$O$39-1,0,N158)</f>
        <v>-3758.6457641015354</v>
      </c>
      <c r="P158" s="383">
        <f>IF(P$5&gt;$B158+'Control Panel'!$O$39-1,0,O158)</f>
        <v>-3758.6457641015354</v>
      </c>
      <c r="Q158" s="383">
        <f>IF(Q$5&gt;$B158+'Control Panel'!$O$39-1,0,P158)</f>
        <v>-3758.6457641015354</v>
      </c>
      <c r="R158" s="383">
        <f>IF(R$5&gt;$B158+'Control Panel'!$O$39-1,0,Q158)</f>
        <v>-3758.6457641015354</v>
      </c>
      <c r="S158" s="23"/>
    </row>
    <row r="159" spans="2:19" outlineLevel="1" x14ac:dyDescent="0.25">
      <c r="B159" s="349">
        <f t="shared" si="146"/>
        <v>2024</v>
      </c>
      <c r="C159" s="476"/>
      <c r="D159" s="476"/>
      <c r="E159" s="476"/>
      <c r="F159" s="476"/>
      <c r="G159" s="476"/>
      <c r="H159" s="480"/>
      <c r="I159" s="480"/>
      <c r="J159" s="480"/>
      <c r="K159" s="383">
        <f>-K$150/'Control Panel'!$O$39</f>
        <v>-4229.7481265321185</v>
      </c>
      <c r="L159" s="383">
        <f>IF(L$5&gt;$B159+'Control Panel'!$O$39-1,0,K159)</f>
        <v>-4229.7481265321185</v>
      </c>
      <c r="M159" s="383">
        <f>IF(M$5&gt;$B159+'Control Panel'!$O$39-1,0,L159)</f>
        <v>-4229.7481265321185</v>
      </c>
      <c r="N159" s="383">
        <f>IF(N$5&gt;$B159+'Control Panel'!$O$39-1,0,M159)</f>
        <v>-4229.7481265321185</v>
      </c>
      <c r="O159" s="383">
        <f>IF(O$5&gt;$B159+'Control Panel'!$O$39-1,0,N159)</f>
        <v>-4229.7481265321185</v>
      </c>
      <c r="P159" s="383">
        <f>IF(P$5&gt;$B159+'Control Panel'!$O$39-1,0,O159)</f>
        <v>-4229.7481265321185</v>
      </c>
      <c r="Q159" s="383">
        <f>IF(Q$5&gt;$B159+'Control Panel'!$O$39-1,0,P159)</f>
        <v>-4229.7481265321185</v>
      </c>
      <c r="R159" s="383">
        <f>IF(R$5&gt;$B159+'Control Panel'!$O$39-1,0,Q159)</f>
        <v>-4229.7481265321185</v>
      </c>
    </row>
    <row r="160" spans="2:19" outlineLevel="1" x14ac:dyDescent="0.25">
      <c r="B160" s="349">
        <f t="shared" si="146"/>
        <v>2025</v>
      </c>
      <c r="C160" s="476"/>
      <c r="D160" s="476"/>
      <c r="E160" s="476"/>
      <c r="F160" s="476"/>
      <c r="G160" s="476"/>
      <c r="H160" s="480"/>
      <c r="I160" s="480"/>
      <c r="J160" s="480"/>
      <c r="K160" s="480"/>
      <c r="L160" s="383">
        <f>-L$150/'Control Panel'!$O$39</f>
        <v>-4662.5665559731551</v>
      </c>
      <c r="M160" s="383">
        <f>IF(M$5&gt;$B160+'Control Panel'!$O$39-1,0,L160)</f>
        <v>-4662.5665559731551</v>
      </c>
      <c r="N160" s="383">
        <f>IF(N$5&gt;$B160+'Control Panel'!$O$39-1,0,M160)</f>
        <v>-4662.5665559731551</v>
      </c>
      <c r="O160" s="383">
        <f>IF(O$5&gt;$B160+'Control Panel'!$O$39-1,0,N160)</f>
        <v>-4662.5665559731551</v>
      </c>
      <c r="P160" s="383">
        <f>IF(P$5&gt;$B160+'Control Panel'!$O$39-1,0,O160)</f>
        <v>-4662.5665559731551</v>
      </c>
      <c r="Q160" s="383">
        <f>IF(Q$5&gt;$B160+'Control Panel'!$O$39-1,0,P160)</f>
        <v>-4662.5665559731551</v>
      </c>
      <c r="R160" s="383">
        <f>IF(R$5&gt;$B160+'Control Panel'!$O$39-1,0,Q160)</f>
        <v>-4662.5665559731551</v>
      </c>
      <c r="S160" s="23"/>
    </row>
    <row r="161" spans="2:21" outlineLevel="1" x14ac:dyDescent="0.25">
      <c r="B161" s="349">
        <f t="shared" si="146"/>
        <v>2026</v>
      </c>
      <c r="C161" s="476"/>
      <c r="D161" s="476"/>
      <c r="E161" s="476"/>
      <c r="F161" s="476"/>
      <c r="G161" s="476"/>
      <c r="H161" s="480"/>
      <c r="I161" s="480"/>
      <c r="J161" s="480"/>
      <c r="K161" s="480"/>
      <c r="L161" s="480"/>
      <c r="M161" s="383">
        <f>-M$150/'Control Panel'!$O$39</f>
        <v>-5050.7813394302111</v>
      </c>
      <c r="N161" s="383">
        <f>IF(N$5&gt;$B161+'Control Panel'!$O$39-1,0,M161)</f>
        <v>-5050.7813394302111</v>
      </c>
      <c r="O161" s="383">
        <f>IF(O$5&gt;$B161+'Control Panel'!$O$39-1,0,N161)</f>
        <v>-5050.7813394302111</v>
      </c>
      <c r="P161" s="383">
        <f>IF(P$5&gt;$B161+'Control Panel'!$O$39-1,0,O161)</f>
        <v>-5050.7813394302111</v>
      </c>
      <c r="Q161" s="383">
        <f>IF(Q$5&gt;$B161+'Control Panel'!$O$39-1,0,P161)</f>
        <v>-5050.7813394302111</v>
      </c>
      <c r="R161" s="383">
        <f>IF(R$5&gt;$B161+'Control Panel'!$O$39-1,0,Q161)</f>
        <v>-5050.7813394302111</v>
      </c>
      <c r="S161" s="23"/>
    </row>
    <row r="162" spans="2:21" outlineLevel="1" x14ac:dyDescent="0.25">
      <c r="B162" s="349">
        <f t="shared" si="146"/>
        <v>2027</v>
      </c>
      <c r="C162" s="476"/>
      <c r="D162" s="476"/>
      <c r="E162" s="476"/>
      <c r="F162" s="476"/>
      <c r="G162" s="476"/>
      <c r="H162" s="480"/>
      <c r="I162" s="480"/>
      <c r="J162" s="480"/>
      <c r="K162" s="480"/>
      <c r="L162" s="480"/>
      <c r="M162" s="480"/>
      <c r="N162" s="383">
        <f>-N$150/'Control Panel'!$O$39</f>
        <v>-5391.976412752756</v>
      </c>
      <c r="O162" s="383">
        <f>IF(O$5&gt;$B162+'Control Panel'!$O$39-1,0,N162)</f>
        <v>-5391.976412752756</v>
      </c>
      <c r="P162" s="383">
        <f>IF(P$5&gt;$B162+'Control Panel'!$O$39-1,0,O162)</f>
        <v>-5391.976412752756</v>
      </c>
      <c r="Q162" s="383">
        <f>IF(Q$5&gt;$B162+'Control Panel'!$O$39-1,0,P162)</f>
        <v>-5391.976412752756</v>
      </c>
      <c r="R162" s="383">
        <f>IF(R$5&gt;$B162+'Control Panel'!$O$39-1,0,Q162)</f>
        <v>-5391.976412752756</v>
      </c>
    </row>
    <row r="163" spans="2:21" outlineLevel="1" x14ac:dyDescent="0.25">
      <c r="B163" s="349">
        <f t="shared" si="146"/>
        <v>2028</v>
      </c>
      <c r="C163" s="476"/>
      <c r="D163" s="476"/>
      <c r="E163" s="476"/>
      <c r="F163" s="476"/>
      <c r="G163" s="476"/>
      <c r="H163" s="480"/>
      <c r="I163" s="480"/>
      <c r="J163" s="480"/>
      <c r="K163" s="480"/>
      <c r="L163" s="480"/>
      <c r="M163" s="480"/>
      <c r="N163" s="480"/>
      <c r="O163" s="383">
        <f>-O$150/'Control Panel'!$O$39</f>
        <v>-5686.76663210488</v>
      </c>
      <c r="P163" s="383">
        <f>IF(P$5&gt;$B163+'Control Panel'!$O$39-1,0,O163)</f>
        <v>-5686.76663210488</v>
      </c>
      <c r="Q163" s="383">
        <f>IF(Q$5&gt;$B163+'Control Panel'!$O$39-1,0,P163)</f>
        <v>-5686.76663210488</v>
      </c>
      <c r="R163" s="383">
        <f>IF(R$5&gt;$B163+'Control Panel'!$O$39-1,0,Q163)</f>
        <v>-5686.76663210488</v>
      </c>
    </row>
    <row r="164" spans="2:21" outlineLevel="1" x14ac:dyDescent="0.25">
      <c r="B164" s="349">
        <f t="shared" si="146"/>
        <v>2029</v>
      </c>
      <c r="C164" s="476"/>
      <c r="D164" s="476"/>
      <c r="E164" s="476"/>
      <c r="F164" s="476"/>
      <c r="G164" s="476"/>
      <c r="H164" s="480"/>
      <c r="I164" s="480"/>
      <c r="J164" s="480"/>
      <c r="K164" s="480"/>
      <c r="L164" s="480"/>
      <c r="M164" s="480"/>
      <c r="N164" s="480"/>
      <c r="O164" s="480"/>
      <c r="P164" s="383">
        <f>-P$150/'Control Panel'!$O$39</f>
        <v>-5937.864041147137</v>
      </c>
      <c r="Q164" s="383">
        <f>IF(Q$5&gt;$B164+'Control Panel'!$O$39-1,0,P164)</f>
        <v>-5937.864041147137</v>
      </c>
      <c r="R164" s="383">
        <f>IF(R$5&gt;$B164+'Control Panel'!$O$39-1,0,Q164)</f>
        <v>-5937.864041147137</v>
      </c>
    </row>
    <row r="165" spans="2:21" outlineLevel="1" x14ac:dyDescent="0.25">
      <c r="B165" s="349">
        <f t="shared" si="146"/>
        <v>2030</v>
      </c>
      <c r="C165" s="476"/>
      <c r="D165" s="476"/>
      <c r="E165" s="476"/>
      <c r="F165" s="476"/>
      <c r="G165" s="476"/>
      <c r="H165" s="480"/>
      <c r="I165" s="480"/>
      <c r="J165" s="480"/>
      <c r="K165" s="480"/>
      <c r="L165" s="480"/>
      <c r="M165" s="480"/>
      <c r="N165" s="480"/>
      <c r="O165" s="480"/>
      <c r="P165" s="480"/>
      <c r="Q165" s="383">
        <f>-Q$150/'Control Panel'!$O$39</f>
        <v>-6149.2415009630413</v>
      </c>
      <c r="R165" s="383">
        <f>IF(R$5&gt;$B165+'Control Panel'!$O$39-1,0,Q165)</f>
        <v>-6149.2415009630413</v>
      </c>
    </row>
    <row r="166" spans="2:21" outlineLevel="1" x14ac:dyDescent="0.25">
      <c r="B166" s="349">
        <f t="shared" si="146"/>
        <v>2031</v>
      </c>
      <c r="C166" s="476"/>
      <c r="D166" s="476"/>
      <c r="E166" s="476"/>
      <c r="F166" s="476"/>
      <c r="G166" s="476"/>
      <c r="H166" s="480"/>
      <c r="I166" s="480"/>
      <c r="J166" s="480"/>
      <c r="K166" s="480"/>
      <c r="L166" s="480"/>
      <c r="M166" s="480"/>
      <c r="N166" s="480"/>
      <c r="O166" s="480"/>
      <c r="P166" s="480"/>
      <c r="Q166" s="480"/>
      <c r="R166" s="383">
        <f>-R$150/'Control Panel'!$O$39</f>
        <v>-6325.4680902170685</v>
      </c>
      <c r="S166" s="383"/>
      <c r="T166" s="383"/>
      <c r="U166" s="383"/>
    </row>
    <row r="167" spans="2:21" outlineLevel="1" x14ac:dyDescent="0.25">
      <c r="B167" s="350" t="s">
        <v>486</v>
      </c>
      <c r="C167" s="384"/>
      <c r="D167" s="384"/>
      <c r="E167" s="384"/>
      <c r="F167" s="384"/>
      <c r="G167" s="384"/>
      <c r="H167" s="384">
        <f>SUM(H156:H166)</f>
        <v>-2749.161496550797</v>
      </c>
      <c r="I167" s="384">
        <f t="shared" ref="I167:R167" si="147">SUM(I156:I166)</f>
        <v>-6009.2085466020444</v>
      </c>
      <c r="J167" s="384">
        <f t="shared" si="147"/>
        <v>-9767.8543107035803</v>
      </c>
      <c r="K167" s="384">
        <f t="shared" si="147"/>
        <v>-13997.602437235699</v>
      </c>
      <c r="L167" s="384">
        <f t="shared" si="147"/>
        <v>-18660.168993208856</v>
      </c>
      <c r="M167" s="384">
        <f t="shared" si="147"/>
        <v>-23710.950332639066</v>
      </c>
      <c r="N167" s="384">
        <f t="shared" si="147"/>
        <v>-29102.926745391822</v>
      </c>
      <c r="O167" s="384">
        <f t="shared" si="147"/>
        <v>-34789.693377496704</v>
      </c>
      <c r="P167" s="384">
        <f t="shared" si="147"/>
        <v>-40727.557418643839</v>
      </c>
      <c r="Q167" s="384">
        <f t="shared" si="147"/>
        <v>-46876.798919606881</v>
      </c>
      <c r="R167" s="384">
        <f t="shared" si="147"/>
        <v>-50453.105513273149</v>
      </c>
    </row>
    <row r="168" spans="2:21" outlineLevel="1" x14ac:dyDescent="0.25">
      <c r="B168" s="202"/>
      <c r="C168" s="23"/>
      <c r="D168" s="23"/>
      <c r="E168" s="23"/>
      <c r="F168" s="23"/>
      <c r="G168" s="23"/>
      <c r="H168" s="23"/>
      <c r="I168" s="23"/>
      <c r="J168" s="23"/>
      <c r="K168" s="23"/>
      <c r="L168" s="23"/>
      <c r="M168" s="23"/>
      <c r="N168" s="23"/>
      <c r="O168" s="23"/>
      <c r="P168" s="23"/>
      <c r="Q168" s="23"/>
      <c r="R168" s="23"/>
    </row>
    <row r="169" spans="2:21" outlineLevel="1" x14ac:dyDescent="0.25">
      <c r="B169" s="202" t="s">
        <v>487</v>
      </c>
      <c r="C169" s="383">
        <f>-C105-C196</f>
        <v>-4316</v>
      </c>
      <c r="D169" s="383">
        <f t="shared" ref="D169:G169" si="148">-D105-D196</f>
        <v>-6078</v>
      </c>
      <c r="E169" s="383">
        <f t="shared" si="148"/>
        <v>-8041</v>
      </c>
      <c r="F169" s="383">
        <f t="shared" si="148"/>
        <v>-11689</v>
      </c>
      <c r="G169" s="383">
        <f t="shared" si="148"/>
        <v>-16751</v>
      </c>
      <c r="H169" s="383">
        <f>H153+H167</f>
        <v>-10900.561496550796</v>
      </c>
      <c r="I169" s="383">
        <f t="shared" ref="I169:R169" si="149">I153+I167</f>
        <v>-14160.608546602045</v>
      </c>
      <c r="J169" s="383">
        <f t="shared" si="149"/>
        <v>-17919.254310703582</v>
      </c>
      <c r="K169" s="383">
        <f t="shared" si="149"/>
        <v>-22149.0024372357</v>
      </c>
      <c r="L169" s="383">
        <f t="shared" si="149"/>
        <v>-26811.568993208857</v>
      </c>
      <c r="M169" s="383">
        <f t="shared" si="149"/>
        <v>-31862.350332639064</v>
      </c>
      <c r="N169" s="383">
        <f t="shared" si="149"/>
        <v>-37254.326745391823</v>
      </c>
      <c r="O169" s="383">
        <f t="shared" si="149"/>
        <v>-42941.093377496705</v>
      </c>
      <c r="P169" s="383">
        <f t="shared" si="149"/>
        <v>-48878.95741864384</v>
      </c>
      <c r="Q169" s="383">
        <f t="shared" si="149"/>
        <v>-55028.198919606883</v>
      </c>
      <c r="R169" s="383">
        <f t="shared" si="149"/>
        <v>-50453.105513273149</v>
      </c>
    </row>
    <row r="170" spans="2:21" outlineLevel="1" x14ac:dyDescent="0.25">
      <c r="B170" s="202"/>
      <c r="C170" s="23"/>
      <c r="D170" s="23"/>
      <c r="E170" s="23"/>
      <c r="F170" s="23"/>
      <c r="G170" s="23"/>
      <c r="H170" s="23"/>
      <c r="I170" s="23"/>
      <c r="J170" s="23"/>
      <c r="K170" s="23"/>
      <c r="L170" s="23"/>
      <c r="M170" s="23"/>
      <c r="N170" s="23"/>
      <c r="O170" s="23"/>
      <c r="P170" s="23"/>
      <c r="Q170" s="23"/>
      <c r="R170" s="23"/>
    </row>
    <row r="171" spans="2:21" outlineLevel="1" x14ac:dyDescent="0.25">
      <c r="B171" s="368" t="s">
        <v>488</v>
      </c>
      <c r="C171" s="387">
        <f>C69-C198</f>
        <v>18075</v>
      </c>
      <c r="D171" s="387">
        <f t="shared" ref="D171:G171" si="150">D69-D198</f>
        <v>31101</v>
      </c>
      <c r="E171" s="387">
        <f t="shared" si="150"/>
        <v>39097</v>
      </c>
      <c r="F171" s="387">
        <f t="shared" si="150"/>
        <v>45305</v>
      </c>
      <c r="G171" s="387">
        <f t="shared" si="150"/>
        <v>81514</v>
      </c>
      <c r="H171" s="387">
        <f>H149+H150+H169</f>
        <v>98105.053468957165</v>
      </c>
      <c r="I171" s="387">
        <f t="shared" ref="I171:R171" si="151">I149+I150+I169</f>
        <v>116544.91542286759</v>
      </c>
      <c r="J171" s="387">
        <f t="shared" si="151"/>
        <v>136212.11875317935</v>
      </c>
      <c r="K171" s="387">
        <f t="shared" si="151"/>
        <v>156360.59758126482</v>
      </c>
      <c r="L171" s="387">
        <f t="shared" si="151"/>
        <v>176174.69414778752</v>
      </c>
      <c r="M171" s="387">
        <f t="shared" si="151"/>
        <v>194820.15720945055</v>
      </c>
      <c r="N171" s="387">
        <f t="shared" si="151"/>
        <v>211485.5945915863</v>
      </c>
      <c r="O171" s="387">
        <f t="shared" si="151"/>
        <v>225412.16753513843</v>
      </c>
      <c r="P171" s="387">
        <f t="shared" si="151"/>
        <v>235911.85052796596</v>
      </c>
      <c r="Q171" s="387">
        <f t="shared" si="151"/>
        <v>242376.06661798948</v>
      </c>
      <c r="R171" s="387">
        <f t="shared" si="151"/>
        <v>255177.64200688701</v>
      </c>
    </row>
    <row r="172" spans="2:21" outlineLevel="1" x14ac:dyDescent="0.25">
      <c r="B172" s="24"/>
      <c r="C172" s="25"/>
      <c r="D172" s="25"/>
      <c r="E172" s="25"/>
      <c r="F172" s="25"/>
      <c r="G172" s="25"/>
      <c r="H172" s="25"/>
      <c r="I172" s="25"/>
      <c r="J172" s="25"/>
      <c r="K172" s="25"/>
      <c r="L172" s="25"/>
      <c r="M172" s="25"/>
      <c r="N172" s="25"/>
      <c r="O172" s="25"/>
      <c r="P172" s="25"/>
      <c r="Q172" s="25"/>
      <c r="R172" s="25"/>
    </row>
    <row r="173" spans="2:21" outlineLevel="1" x14ac:dyDescent="0.25">
      <c r="B173" s="24"/>
      <c r="C173" s="25"/>
      <c r="D173" s="25"/>
      <c r="E173" s="25"/>
      <c r="F173" s="25"/>
      <c r="G173" s="25"/>
      <c r="H173" s="25"/>
      <c r="I173" s="25"/>
      <c r="J173" s="25"/>
      <c r="K173" s="25"/>
      <c r="L173" s="25"/>
      <c r="M173" s="25"/>
      <c r="N173" s="25"/>
      <c r="O173" s="25"/>
      <c r="P173" s="25"/>
      <c r="Q173" s="25"/>
      <c r="R173" s="25"/>
    </row>
    <row r="174" spans="2:21" outlineLevel="1" x14ac:dyDescent="0.25">
      <c r="B174" s="366" t="s">
        <v>504</v>
      </c>
      <c r="C174" s="347"/>
      <c r="D174" s="347"/>
      <c r="E174" s="347"/>
      <c r="F174" s="347"/>
      <c r="G174" s="347"/>
      <c r="H174" s="347"/>
      <c r="I174" s="347"/>
      <c r="J174" s="347"/>
      <c r="K174" s="347"/>
      <c r="L174" s="347"/>
      <c r="M174" s="347"/>
      <c r="N174" s="347"/>
      <c r="O174" s="347"/>
      <c r="P174" s="347"/>
      <c r="Q174" s="347"/>
      <c r="R174" s="347"/>
    </row>
    <row r="175" spans="2:21" ht="5.4" customHeight="1" outlineLevel="1" x14ac:dyDescent="0.25">
      <c r="B175" s="41"/>
      <c r="C175" s="23"/>
      <c r="D175" s="23"/>
      <c r="E175" s="23"/>
      <c r="F175" s="23"/>
      <c r="G175" s="23"/>
      <c r="H175" s="23"/>
      <c r="I175" s="23"/>
      <c r="J175" s="23"/>
      <c r="K175" s="23"/>
      <c r="L175" s="23"/>
      <c r="M175" s="23"/>
      <c r="N175" s="23"/>
      <c r="O175" s="23"/>
      <c r="P175" s="23"/>
      <c r="Q175" s="23"/>
      <c r="R175" s="23"/>
    </row>
    <row r="176" spans="2:21" outlineLevel="1" x14ac:dyDescent="0.25">
      <c r="B176" s="357" t="s">
        <v>491</v>
      </c>
      <c r="C176" s="358"/>
      <c r="D176" s="358"/>
      <c r="E176" s="358"/>
      <c r="F176" s="358"/>
      <c r="G176" s="358"/>
      <c r="H176" s="358"/>
      <c r="I176" s="358"/>
      <c r="J176" s="358"/>
      <c r="K176" s="358"/>
      <c r="L176" s="358"/>
      <c r="M176" s="358"/>
      <c r="N176" s="358"/>
      <c r="O176" s="358"/>
      <c r="P176" s="358"/>
      <c r="Q176" s="358"/>
      <c r="R176" s="359"/>
    </row>
    <row r="177" spans="2:21" outlineLevel="1" x14ac:dyDescent="0.25">
      <c r="B177" s="354" t="s">
        <v>386</v>
      </c>
      <c r="C177" s="425">
        <f>'Raw Data'!C141</f>
        <v>8401</v>
      </c>
      <c r="D177" s="425">
        <f>C198</f>
        <v>11039</v>
      </c>
      <c r="E177" s="425">
        <f t="shared" ref="E177:R177" si="152">D198</f>
        <v>17765</v>
      </c>
      <c r="F177" s="425">
        <f t="shared" si="152"/>
        <v>22700</v>
      </c>
      <c r="G177" s="425">
        <f t="shared" si="152"/>
        <v>27400</v>
      </c>
      <c r="H177" s="383">
        <f t="shared" si="152"/>
        <v>31600</v>
      </c>
      <c r="I177" s="383">
        <f t="shared" si="152"/>
        <v>45281.759069052394</v>
      </c>
      <c r="J177" s="383">
        <f t="shared" si="152"/>
        <v>60366.68988396386</v>
      </c>
      <c r="K177" s="383">
        <f t="shared" si="152"/>
        <v>76383.12374849146</v>
      </c>
      <c r="L177" s="383">
        <f t="shared" si="152"/>
        <v>92764.826479938725</v>
      </c>
      <c r="M177" s="383">
        <f t="shared" si="152"/>
        <v>108892.74643963868</v>
      </c>
      <c r="N177" s="383">
        <f t="shared" si="152"/>
        <v>124133.72027775334</v>
      </c>
      <c r="O177" s="383">
        <f t="shared" si="152"/>
        <v>141949.35311872876</v>
      </c>
      <c r="P177" s="383">
        <f t="shared" si="152"/>
        <v>158705.65215800781</v>
      </c>
      <c r="Q177" s="383">
        <f t="shared" si="152"/>
        <v>172861.07869255758</v>
      </c>
      <c r="R177" s="383">
        <f t="shared" si="152"/>
        <v>183953.74713969676</v>
      </c>
    </row>
    <row r="178" spans="2:21" outlineLevel="1" x14ac:dyDescent="0.25">
      <c r="B178" s="367" t="s">
        <v>101</v>
      </c>
      <c r="C178" s="383">
        <f>C198-SUM(C177,C196)</f>
        <v>6438</v>
      </c>
      <c r="D178" s="383">
        <f t="shared" ref="D178:G178" si="153">D198-SUM(D177,D196)</f>
        <v>12126</v>
      </c>
      <c r="E178" s="383">
        <f t="shared" si="153"/>
        <v>12235</v>
      </c>
      <c r="F178" s="383">
        <f t="shared" si="153"/>
        <v>14800</v>
      </c>
      <c r="G178" s="383">
        <f t="shared" si="153"/>
        <v>12700</v>
      </c>
      <c r="H178" s="383">
        <f>'Financial Statements'!H32*'Control Panel'!$O$44</f>
        <v>20865.036958445315</v>
      </c>
      <c r="I178" s="383">
        <f>'Financial Statements'!I32*'Control Panel'!$O$44</f>
        <v>24742.454115893757</v>
      </c>
      <c r="J178" s="383">
        <f>'Financial Statements'!J32*'Control Panel'!$O$44</f>
        <v>28526.61907278877</v>
      </c>
      <c r="K178" s="383">
        <f>'Financial Statements'!K32*'Control Panel'!$O$44</f>
        <v>32102.09771078714</v>
      </c>
      <c r="L178" s="383">
        <f>'Financial Statements'!L32*'Control Panel'!$O$44</f>
        <v>35387.016598933158</v>
      </c>
      <c r="M178" s="383">
        <f>'Financial Statements'!M32*'Control Panel'!$O$44</f>
        <v>38333.411641497602</v>
      </c>
      <c r="N178" s="383">
        <f>'Financial Statements'!N32*'Control Panel'!$O$44</f>
        <v>40922.945877244099</v>
      </c>
      <c r="O178" s="383">
        <f>'Financial Statements'!O32*'Control Panel'!$O$44</f>
        <v>43160.285818708915</v>
      </c>
      <c r="P178" s="383">
        <f>'Financial Statements'!P32*'Control Panel'!$O$44</f>
        <v>45066.014793310729</v>
      </c>
      <c r="Q178" s="383">
        <f>'Financial Statements'!Q32*'Control Panel'!$O$44</f>
        <v>46670.285228777902</v>
      </c>
      <c r="R178" s="383">
        <f>'Financial Statements'!R32*'Control Panel'!$O$44</f>
        <v>48007.774605978659</v>
      </c>
    </row>
    <row r="179" spans="2:21" outlineLevel="1" x14ac:dyDescent="0.25">
      <c r="B179" s="202"/>
      <c r="C179" s="23"/>
      <c r="D179" s="23"/>
      <c r="E179" s="23"/>
      <c r="F179" s="23"/>
      <c r="G179" s="23"/>
      <c r="H179" s="23"/>
      <c r="I179" s="23"/>
      <c r="J179" s="23"/>
      <c r="K179" s="23"/>
      <c r="L179" s="23"/>
      <c r="M179" s="23"/>
      <c r="N179" s="23"/>
      <c r="O179" s="23"/>
      <c r="P179" s="23"/>
      <c r="Q179" s="23"/>
      <c r="R179" s="23"/>
    </row>
    <row r="180" spans="2:21" outlineLevel="1" x14ac:dyDescent="0.25">
      <c r="B180" s="367" t="s">
        <v>690</v>
      </c>
      <c r="C180" s="476"/>
      <c r="D180" s="476"/>
      <c r="E180" s="476"/>
      <c r="F180" s="476"/>
      <c r="G180" s="476"/>
      <c r="H180" s="383">
        <f>-H177/'Control Panel'!$O$46</f>
        <v>-5096.7741935483873</v>
      </c>
      <c r="I180" s="383">
        <f>IF($H$177+SUM($H$180:H180)&gt;-H180,H180,-$H$177-SUM($H$180:H180))</f>
        <v>-5096.7741935483873</v>
      </c>
      <c r="J180" s="383">
        <f>IF($H$177+SUM($H$180:I180)&gt;-I180,I180,-$H$177-SUM($H$180:I180))</f>
        <v>-5096.7741935483873</v>
      </c>
      <c r="K180" s="383">
        <f>IF($H$177+SUM($H$180:J180)&gt;-J180,J180,-$H$177-SUM($H$180:J180))</f>
        <v>-5096.7741935483873</v>
      </c>
      <c r="L180" s="383">
        <f>IF($H$177+SUM($H$180:K180)&gt;-K180,K180,-$H$177-SUM($H$180:K180))</f>
        <v>-5096.7741935483873</v>
      </c>
      <c r="M180" s="383">
        <f>IF($H$177+SUM($H$180:L180)&gt;-L180,L180,-$H$177-SUM($H$180:L180))</f>
        <v>-5096.7741935483873</v>
      </c>
      <c r="N180" s="383">
        <f>IF($H$177+SUM($H$180:M180)&gt;-M180,M180,-$H$177-SUM($H$180:M180))</f>
        <v>-1019.354838709678</v>
      </c>
      <c r="O180" s="383">
        <f>IF($H$177+SUM($H$180:N180)&gt;-N180,N180,-$H$177-SUM($H$180:N180))</f>
        <v>0</v>
      </c>
      <c r="P180" s="383">
        <f>IF($H$177+SUM($H$180:O180)&gt;-O180,O180,-$H$177-SUM($H$180:O180))</f>
        <v>0</v>
      </c>
      <c r="Q180" s="383">
        <f>IF($H$177+SUM($H$180:P180)&gt;-P180,P180,-$H$177-SUM($H$180:P180))</f>
        <v>0</v>
      </c>
      <c r="R180" s="383">
        <f>IF($H$177+SUM($H$180:Q180)&gt;-Q180,Q180,-$H$177-SUM($H$180:Q180))</f>
        <v>0</v>
      </c>
      <c r="S180" s="355"/>
      <c r="T180" s="355"/>
      <c r="U180" s="355"/>
    </row>
    <row r="181" spans="2:21" outlineLevel="1" x14ac:dyDescent="0.25">
      <c r="B181" s="202"/>
      <c r="C181" s="23"/>
      <c r="D181" s="23"/>
      <c r="E181" s="23"/>
      <c r="F181" s="23"/>
      <c r="G181" s="23"/>
      <c r="H181" s="23"/>
      <c r="I181" s="23"/>
      <c r="J181" s="23"/>
      <c r="K181" s="23"/>
      <c r="L181" s="23"/>
      <c r="M181" s="23"/>
      <c r="N181" s="23"/>
      <c r="O181" s="23"/>
      <c r="P181" s="23"/>
      <c r="Q181" s="23"/>
      <c r="R181" s="23"/>
    </row>
    <row r="182" spans="2:21" outlineLevel="1" x14ac:dyDescent="0.25">
      <c r="B182" s="348" t="s">
        <v>490</v>
      </c>
      <c r="C182" s="23"/>
      <c r="D182" s="23"/>
      <c r="E182" s="23"/>
      <c r="F182" s="23"/>
      <c r="G182" s="23"/>
      <c r="H182" s="23"/>
      <c r="I182" s="23"/>
      <c r="J182" s="23"/>
      <c r="K182" s="23"/>
      <c r="L182" s="23"/>
      <c r="M182" s="23"/>
      <c r="N182" s="23"/>
      <c r="O182" s="23"/>
      <c r="P182" s="23"/>
      <c r="Q182" s="23"/>
      <c r="R182" s="23"/>
    </row>
    <row r="183" spans="2:21" outlineLevel="1" x14ac:dyDescent="0.25">
      <c r="B183" s="349">
        <f>$H$139</f>
        <v>2021</v>
      </c>
      <c r="C183" s="476"/>
      <c r="D183" s="476"/>
      <c r="E183" s="476"/>
      <c r="F183" s="476"/>
      <c r="G183" s="476"/>
      <c r="H183" s="383">
        <f>-H$178/'Control Panel'!$O$47</f>
        <v>-2086.5036958445316</v>
      </c>
      <c r="I183" s="383">
        <f>IF(I$139&gt;$B183+'Control Panel'!$O$47-1,0,'Financial Statements'!H183)</f>
        <v>-2086.5036958445316</v>
      </c>
      <c r="J183" s="383">
        <f>IF(J$139&gt;$B183+'Control Panel'!$O$47-1,0,'Financial Statements'!I183)</f>
        <v>-2086.5036958445316</v>
      </c>
      <c r="K183" s="383">
        <f>IF(K$139&gt;$B183+'Control Panel'!$O$47-1,0,'Financial Statements'!J183)</f>
        <v>-2086.5036958445316</v>
      </c>
      <c r="L183" s="383">
        <f>IF(L$139&gt;$B183+'Control Panel'!$O$47-1,0,'Financial Statements'!K183)</f>
        <v>-2086.5036958445316</v>
      </c>
      <c r="M183" s="383">
        <f>IF(M$139&gt;$B183+'Control Panel'!$O$47-1,0,'Financial Statements'!L183)</f>
        <v>-2086.5036958445316</v>
      </c>
      <c r="N183" s="383">
        <f>IF(N$139&gt;$B183+'Control Panel'!$O$47-1,0,'Financial Statements'!M183)</f>
        <v>-2086.5036958445316</v>
      </c>
      <c r="O183" s="383">
        <f>IF(O$139&gt;$B183+'Control Panel'!$O$47-1,0,'Financial Statements'!N183)</f>
        <v>-2086.5036958445316</v>
      </c>
      <c r="P183" s="383">
        <f>IF(P$139&gt;$B183+'Control Panel'!$O$47-1,0,'Financial Statements'!O183)</f>
        <v>-2086.5036958445316</v>
      </c>
      <c r="Q183" s="383">
        <f>IF(Q$139&gt;$B183+'Control Panel'!$O$47-1,0,'Financial Statements'!P183)</f>
        <v>-2086.5036958445316</v>
      </c>
      <c r="R183" s="383">
        <f>IF(R$139&gt;$B183+'Control Panel'!$O$47-1,0,'Financial Statements'!Q183)</f>
        <v>0</v>
      </c>
    </row>
    <row r="184" spans="2:21" outlineLevel="1" x14ac:dyDescent="0.25">
      <c r="B184" s="349">
        <f>+B183+1</f>
        <v>2022</v>
      </c>
      <c r="C184" s="476"/>
      <c r="D184" s="476"/>
      <c r="E184" s="476"/>
      <c r="F184" s="476"/>
      <c r="G184" s="476"/>
      <c r="H184" s="480"/>
      <c r="I184" s="383">
        <f>-I$178/'Control Panel'!$O$47</f>
        <v>-2474.2454115893756</v>
      </c>
      <c r="J184" s="383">
        <f>IF(J$139&gt;$B184+'Control Panel'!$O$47-1,0,'Financial Statements'!I184)</f>
        <v>-2474.2454115893756</v>
      </c>
      <c r="K184" s="383">
        <f>IF(K$139&gt;$B184+'Control Panel'!$O$47-1,0,'Financial Statements'!J184)</f>
        <v>-2474.2454115893756</v>
      </c>
      <c r="L184" s="383">
        <f>IF(L$139&gt;$B184+'Control Panel'!$O$47-1,0,'Financial Statements'!K184)</f>
        <v>-2474.2454115893756</v>
      </c>
      <c r="M184" s="383">
        <f>IF(M$139&gt;$B184+'Control Panel'!$O$47-1,0,'Financial Statements'!L184)</f>
        <v>-2474.2454115893756</v>
      </c>
      <c r="N184" s="383">
        <f>IF(N$139&gt;$B184+'Control Panel'!$O$47-1,0,'Financial Statements'!M184)</f>
        <v>-2474.2454115893756</v>
      </c>
      <c r="O184" s="383">
        <f>IF(O$139&gt;$B184+'Control Panel'!$O$47-1,0,'Financial Statements'!N184)</f>
        <v>-2474.2454115893756</v>
      </c>
      <c r="P184" s="383">
        <f>IF(P$139&gt;$B184+'Control Panel'!$O$47-1,0,'Financial Statements'!O184)</f>
        <v>-2474.2454115893756</v>
      </c>
      <c r="Q184" s="383">
        <f>IF(Q$139&gt;$B184+'Control Panel'!$O$47-1,0,'Financial Statements'!P184)</f>
        <v>-2474.2454115893756</v>
      </c>
      <c r="R184" s="383">
        <f>IF(R$139&gt;$B184+'Control Panel'!$O$47-1,0,'Financial Statements'!Q184)</f>
        <v>-2474.2454115893756</v>
      </c>
    </row>
    <row r="185" spans="2:21" outlineLevel="1" x14ac:dyDescent="0.25">
      <c r="B185" s="349">
        <f t="shared" ref="B185:B193" si="154">+B184+1</f>
        <v>2023</v>
      </c>
      <c r="C185" s="476"/>
      <c r="D185" s="476"/>
      <c r="E185" s="476"/>
      <c r="F185" s="476"/>
      <c r="G185" s="476"/>
      <c r="H185" s="480"/>
      <c r="I185" s="480"/>
      <c r="J185" s="383">
        <f>-J$178/'Control Panel'!$O$47</f>
        <v>-2852.6619072788772</v>
      </c>
      <c r="K185" s="383">
        <f>IF(K$139&gt;$B185+'Control Panel'!$O$47-1,0,'Financial Statements'!J185)</f>
        <v>-2852.6619072788772</v>
      </c>
      <c r="L185" s="383">
        <f>IF(L$139&gt;$B185+'Control Panel'!$O$47-1,0,'Financial Statements'!K185)</f>
        <v>-2852.6619072788772</v>
      </c>
      <c r="M185" s="383">
        <f>IF(M$139&gt;$B185+'Control Panel'!$O$47-1,0,'Financial Statements'!L185)</f>
        <v>-2852.6619072788772</v>
      </c>
      <c r="N185" s="383">
        <f>IF(N$139&gt;$B185+'Control Panel'!$O$47-1,0,'Financial Statements'!M185)</f>
        <v>-2852.6619072788772</v>
      </c>
      <c r="O185" s="383">
        <f>IF(O$139&gt;$B185+'Control Panel'!$O$47-1,0,'Financial Statements'!N185)</f>
        <v>-2852.6619072788772</v>
      </c>
      <c r="P185" s="383">
        <f>IF(P$139&gt;$B185+'Control Panel'!$O$47-1,0,'Financial Statements'!O185)</f>
        <v>-2852.6619072788772</v>
      </c>
      <c r="Q185" s="383">
        <f>IF(Q$139&gt;$B185+'Control Panel'!$O$47-1,0,'Financial Statements'!P185)</f>
        <v>-2852.6619072788772</v>
      </c>
      <c r="R185" s="383">
        <f>IF(R$139&gt;$B185+'Control Panel'!$O$47-1,0,'Financial Statements'!Q185)</f>
        <v>-2852.6619072788772</v>
      </c>
    </row>
    <row r="186" spans="2:21" outlineLevel="1" x14ac:dyDescent="0.25">
      <c r="B186" s="349">
        <f t="shared" si="154"/>
        <v>2024</v>
      </c>
      <c r="C186" s="476"/>
      <c r="D186" s="476"/>
      <c r="E186" s="476"/>
      <c r="F186" s="476"/>
      <c r="G186" s="476"/>
      <c r="H186" s="480"/>
      <c r="I186" s="480"/>
      <c r="J186" s="480"/>
      <c r="K186" s="383">
        <f>-K$178/'Control Panel'!$O$47</f>
        <v>-3210.2097710787139</v>
      </c>
      <c r="L186" s="383">
        <f>IF(L$139&gt;$B186+'Control Panel'!$O$47-1,0,'Financial Statements'!K186)</f>
        <v>-3210.2097710787139</v>
      </c>
      <c r="M186" s="383">
        <f>IF(M$139&gt;$B186+'Control Panel'!$O$47-1,0,'Financial Statements'!L186)</f>
        <v>-3210.2097710787139</v>
      </c>
      <c r="N186" s="383">
        <f>IF(N$139&gt;$B186+'Control Panel'!$O$47-1,0,'Financial Statements'!M186)</f>
        <v>-3210.2097710787139</v>
      </c>
      <c r="O186" s="383">
        <f>IF(O$139&gt;$B186+'Control Panel'!$O$47-1,0,'Financial Statements'!N186)</f>
        <v>-3210.2097710787139</v>
      </c>
      <c r="P186" s="383">
        <f>IF(P$139&gt;$B186+'Control Panel'!$O$47-1,0,'Financial Statements'!O186)</f>
        <v>-3210.2097710787139</v>
      </c>
      <c r="Q186" s="383">
        <f>IF(Q$139&gt;$B186+'Control Panel'!$O$47-1,0,'Financial Statements'!P186)</f>
        <v>-3210.2097710787139</v>
      </c>
      <c r="R186" s="383">
        <f>IF(R$139&gt;$B186+'Control Panel'!$O$47-1,0,'Financial Statements'!Q186)</f>
        <v>-3210.2097710787139</v>
      </c>
    </row>
    <row r="187" spans="2:21" outlineLevel="1" x14ac:dyDescent="0.25">
      <c r="B187" s="349">
        <f t="shared" si="154"/>
        <v>2025</v>
      </c>
      <c r="C187" s="476"/>
      <c r="D187" s="476"/>
      <c r="E187" s="476"/>
      <c r="F187" s="476"/>
      <c r="G187" s="476"/>
      <c r="H187" s="480"/>
      <c r="I187" s="480"/>
      <c r="J187" s="480"/>
      <c r="K187" s="480"/>
      <c r="L187" s="383">
        <f>-L$178/'Control Panel'!$O$47</f>
        <v>-3538.701659893316</v>
      </c>
      <c r="M187" s="383">
        <f>IF(M$139&gt;$B187+'Control Panel'!$O$47-1,0,'Financial Statements'!L187)</f>
        <v>-3538.701659893316</v>
      </c>
      <c r="N187" s="383">
        <f>IF(N$139&gt;$B187+'Control Panel'!$O$47-1,0,'Financial Statements'!M187)</f>
        <v>-3538.701659893316</v>
      </c>
      <c r="O187" s="383">
        <f>IF(O$139&gt;$B187+'Control Panel'!$O$47-1,0,'Financial Statements'!N187)</f>
        <v>-3538.701659893316</v>
      </c>
      <c r="P187" s="383">
        <f>IF(P$139&gt;$B187+'Control Panel'!$O$47-1,0,'Financial Statements'!O187)</f>
        <v>-3538.701659893316</v>
      </c>
      <c r="Q187" s="383">
        <f>IF(Q$139&gt;$B187+'Control Panel'!$O$47-1,0,'Financial Statements'!P187)</f>
        <v>-3538.701659893316</v>
      </c>
      <c r="R187" s="383">
        <f>IF(R$139&gt;$B187+'Control Panel'!$O$47-1,0,'Financial Statements'!Q187)</f>
        <v>-3538.701659893316</v>
      </c>
    </row>
    <row r="188" spans="2:21" outlineLevel="1" x14ac:dyDescent="0.25">
      <c r="B188" s="349">
        <f t="shared" si="154"/>
        <v>2026</v>
      </c>
      <c r="C188" s="476"/>
      <c r="D188" s="476"/>
      <c r="E188" s="476"/>
      <c r="F188" s="476"/>
      <c r="G188" s="476"/>
      <c r="H188" s="480"/>
      <c r="I188" s="480"/>
      <c r="J188" s="480"/>
      <c r="K188" s="480"/>
      <c r="L188" s="480"/>
      <c r="M188" s="383">
        <f>-M$178/'Control Panel'!$O$47</f>
        <v>-3833.3411641497601</v>
      </c>
      <c r="N188" s="383">
        <f>IF(N$139&gt;$B188+'Control Panel'!$O$47-1,0,'Financial Statements'!M188)</f>
        <v>-3833.3411641497601</v>
      </c>
      <c r="O188" s="383">
        <f>IF(O$139&gt;$B188+'Control Panel'!$O$47-1,0,'Financial Statements'!N188)</f>
        <v>-3833.3411641497601</v>
      </c>
      <c r="P188" s="383">
        <f>IF(P$139&gt;$B188+'Control Panel'!$O$47-1,0,'Financial Statements'!O188)</f>
        <v>-3833.3411641497601</v>
      </c>
      <c r="Q188" s="383">
        <f>IF(Q$139&gt;$B188+'Control Panel'!$O$47-1,0,'Financial Statements'!P188)</f>
        <v>-3833.3411641497601</v>
      </c>
      <c r="R188" s="383">
        <f>IF(R$139&gt;$B188+'Control Panel'!$O$47-1,0,'Financial Statements'!Q188)</f>
        <v>-3833.3411641497601</v>
      </c>
    </row>
    <row r="189" spans="2:21" outlineLevel="1" x14ac:dyDescent="0.25">
      <c r="B189" s="349">
        <f t="shared" si="154"/>
        <v>2027</v>
      </c>
      <c r="C189" s="476"/>
      <c r="D189" s="476"/>
      <c r="E189" s="476"/>
      <c r="F189" s="476"/>
      <c r="G189" s="476"/>
      <c r="H189" s="480"/>
      <c r="I189" s="480"/>
      <c r="J189" s="480"/>
      <c r="K189" s="480"/>
      <c r="L189" s="480"/>
      <c r="M189" s="480"/>
      <c r="N189" s="383">
        <f>-N$178/'Control Panel'!$O$47</f>
        <v>-4092.2945877244101</v>
      </c>
      <c r="O189" s="383">
        <f>IF(O$139&gt;$B189+'Control Panel'!$O$47-1,0,'Financial Statements'!N189)</f>
        <v>-4092.2945877244101</v>
      </c>
      <c r="P189" s="383">
        <f>IF(P$139&gt;$B189+'Control Panel'!$O$47-1,0,'Financial Statements'!O189)</f>
        <v>-4092.2945877244101</v>
      </c>
      <c r="Q189" s="383">
        <f>IF(Q$139&gt;$B189+'Control Panel'!$O$47-1,0,'Financial Statements'!P189)</f>
        <v>-4092.2945877244101</v>
      </c>
      <c r="R189" s="383">
        <f>IF(R$139&gt;$B189+'Control Panel'!$O$47-1,0,'Financial Statements'!Q189)</f>
        <v>-4092.2945877244101</v>
      </c>
      <c r="S189" s="355"/>
    </row>
    <row r="190" spans="2:21" outlineLevel="1" x14ac:dyDescent="0.25">
      <c r="B190" s="349">
        <f t="shared" si="154"/>
        <v>2028</v>
      </c>
      <c r="C190" s="476"/>
      <c r="D190" s="476"/>
      <c r="E190" s="476"/>
      <c r="F190" s="476"/>
      <c r="G190" s="476"/>
      <c r="H190" s="480"/>
      <c r="I190" s="480"/>
      <c r="J190" s="480"/>
      <c r="K190" s="480"/>
      <c r="L190" s="480"/>
      <c r="M190" s="480"/>
      <c r="N190" s="480"/>
      <c r="O190" s="383">
        <f>-O$178/'Control Panel'!$O$47</f>
        <v>-4316.0285818708917</v>
      </c>
      <c r="P190" s="383">
        <f>IF(P$139&gt;$B190+'Control Panel'!$O$47-1,0,'Financial Statements'!O190)</f>
        <v>-4316.0285818708917</v>
      </c>
      <c r="Q190" s="383">
        <f>IF(Q$139&gt;$B190+'Control Panel'!$O$47-1,0,'Financial Statements'!P190)</f>
        <v>-4316.0285818708917</v>
      </c>
      <c r="R190" s="383">
        <f>IF(R$139&gt;$B190+'Control Panel'!$O$47-1,0,'Financial Statements'!Q190)</f>
        <v>-4316.0285818708917</v>
      </c>
    </row>
    <row r="191" spans="2:21" outlineLevel="1" x14ac:dyDescent="0.25">
      <c r="B191" s="349">
        <f t="shared" si="154"/>
        <v>2029</v>
      </c>
      <c r="C191" s="476"/>
      <c r="D191" s="476"/>
      <c r="E191" s="476"/>
      <c r="F191" s="476"/>
      <c r="G191" s="476"/>
      <c r="H191" s="480"/>
      <c r="I191" s="480"/>
      <c r="J191" s="480"/>
      <c r="K191" s="480"/>
      <c r="L191" s="480"/>
      <c r="M191" s="480"/>
      <c r="N191" s="480"/>
      <c r="O191" s="480"/>
      <c r="P191" s="383">
        <f>-P$178/'Control Panel'!$O$47</f>
        <v>-4506.6014793310733</v>
      </c>
      <c r="Q191" s="383">
        <f>IF(Q$139&gt;$B191+'Control Panel'!$O$47-1,0,'Financial Statements'!P191)</f>
        <v>-4506.6014793310733</v>
      </c>
      <c r="R191" s="383">
        <f>IF(R$139&gt;$B191+'Control Panel'!$O$47-1,0,'Financial Statements'!Q191)</f>
        <v>-4506.6014793310733</v>
      </c>
    </row>
    <row r="192" spans="2:21" outlineLevel="1" x14ac:dyDescent="0.25">
      <c r="B192" s="349">
        <f t="shared" si="154"/>
        <v>2030</v>
      </c>
      <c r="C192" s="476"/>
      <c r="D192" s="476"/>
      <c r="E192" s="476"/>
      <c r="F192" s="476"/>
      <c r="G192" s="476"/>
      <c r="H192" s="480"/>
      <c r="I192" s="480"/>
      <c r="J192" s="480"/>
      <c r="K192" s="480"/>
      <c r="L192" s="480"/>
      <c r="M192" s="480"/>
      <c r="N192" s="480"/>
      <c r="O192" s="480"/>
      <c r="P192" s="480"/>
      <c r="Q192" s="383">
        <f>-Q$178/'Control Panel'!$O$47</f>
        <v>-4667.0285228777902</v>
      </c>
      <c r="R192" s="383">
        <f>IF(R$139&gt;$B192+'Control Panel'!$O$47-1,0,'Financial Statements'!Q192)</f>
        <v>-4667.0285228777902</v>
      </c>
    </row>
    <row r="193" spans="2:21" outlineLevel="1" x14ac:dyDescent="0.25">
      <c r="B193" s="349">
        <f t="shared" si="154"/>
        <v>2031</v>
      </c>
      <c r="C193" s="476"/>
      <c r="D193" s="476"/>
      <c r="E193" s="476"/>
      <c r="F193" s="476"/>
      <c r="G193" s="476"/>
      <c r="H193" s="480"/>
      <c r="I193" s="480"/>
      <c r="J193" s="480"/>
      <c r="K193" s="480"/>
      <c r="L193" s="480"/>
      <c r="M193" s="480"/>
      <c r="N193" s="480"/>
      <c r="O193" s="480"/>
      <c r="P193" s="480"/>
      <c r="Q193" s="480"/>
      <c r="R193" s="383">
        <f>-R$178/'Control Panel'!$O$47</f>
        <v>-4800.7774605978657</v>
      </c>
      <c r="S193" s="383"/>
      <c r="T193" s="383"/>
      <c r="U193" s="383"/>
    </row>
    <row r="194" spans="2:21" outlineLevel="1" x14ac:dyDescent="0.25">
      <c r="B194" s="350" t="s">
        <v>486</v>
      </c>
      <c r="C194" s="384">
        <f>SUM(C183:C193)</f>
        <v>0</v>
      </c>
      <c r="D194" s="384">
        <f t="shared" ref="D194:R194" si="155">SUM(D183:D193)</f>
        <v>0</v>
      </c>
      <c r="E194" s="384">
        <f t="shared" si="155"/>
        <v>0</v>
      </c>
      <c r="F194" s="384">
        <f t="shared" si="155"/>
        <v>0</v>
      </c>
      <c r="G194" s="384">
        <f t="shared" si="155"/>
        <v>0</v>
      </c>
      <c r="H194" s="384">
        <f t="shared" si="155"/>
        <v>-2086.5036958445316</v>
      </c>
      <c r="I194" s="384">
        <f t="shared" si="155"/>
        <v>-4560.7491074339068</v>
      </c>
      <c r="J194" s="384">
        <f t="shared" si="155"/>
        <v>-7413.411014712784</v>
      </c>
      <c r="K194" s="384">
        <f t="shared" si="155"/>
        <v>-10623.620785791498</v>
      </c>
      <c r="L194" s="384">
        <f t="shared" si="155"/>
        <v>-14162.322445684815</v>
      </c>
      <c r="M194" s="384">
        <f t="shared" si="155"/>
        <v>-17995.663609834573</v>
      </c>
      <c r="N194" s="384">
        <f t="shared" si="155"/>
        <v>-22087.958197558983</v>
      </c>
      <c r="O194" s="384">
        <f t="shared" si="155"/>
        <v>-26403.986779429873</v>
      </c>
      <c r="P194" s="384">
        <f t="shared" si="155"/>
        <v>-30910.588258760945</v>
      </c>
      <c r="Q194" s="384">
        <f t="shared" si="155"/>
        <v>-35577.616781638731</v>
      </c>
      <c r="R194" s="384">
        <f t="shared" si="155"/>
        <v>-38291.890546392067</v>
      </c>
    </row>
    <row r="195" spans="2:21" outlineLevel="1" x14ac:dyDescent="0.25">
      <c r="B195" s="202"/>
      <c r="C195" s="23"/>
      <c r="D195" s="23"/>
      <c r="E195" s="23"/>
      <c r="F195" s="23"/>
      <c r="G195" s="23"/>
      <c r="H195" s="23"/>
      <c r="I195" s="23"/>
      <c r="J195" s="23"/>
      <c r="K195" s="23"/>
      <c r="L195" s="23"/>
      <c r="M195" s="23"/>
      <c r="N195" s="23"/>
      <c r="O195" s="23"/>
      <c r="P195" s="23"/>
      <c r="Q195" s="23"/>
      <c r="R195" s="23"/>
    </row>
    <row r="196" spans="2:21" outlineLevel="1" x14ac:dyDescent="0.25">
      <c r="B196" s="202" t="s">
        <v>487</v>
      </c>
      <c r="C196" s="383">
        <f>'Raw Data'!C139*-1</f>
        <v>-3800</v>
      </c>
      <c r="D196" s="383">
        <f>'Raw Data'!D139*-1</f>
        <v>-5400</v>
      </c>
      <c r="E196" s="383">
        <f>'Raw Data'!E139*-1</f>
        <v>-7300</v>
      </c>
      <c r="F196" s="383">
        <f>'Raw Data'!F139*-1</f>
        <v>-10100</v>
      </c>
      <c r="G196" s="383">
        <f>'Raw Data'!G139*-1</f>
        <v>-8500</v>
      </c>
      <c r="H196" s="383">
        <f>H180+H194</f>
        <v>-7183.277889392919</v>
      </c>
      <c r="I196" s="383">
        <f t="shared" ref="I196:R196" si="156">I180+I194</f>
        <v>-9657.523300982295</v>
      </c>
      <c r="J196" s="383">
        <f t="shared" si="156"/>
        <v>-12510.185208261171</v>
      </c>
      <c r="K196" s="383">
        <f t="shared" si="156"/>
        <v>-15720.394979339886</v>
      </c>
      <c r="L196" s="383">
        <f t="shared" si="156"/>
        <v>-19259.096639233201</v>
      </c>
      <c r="M196" s="383">
        <f t="shared" si="156"/>
        <v>-23092.43780338296</v>
      </c>
      <c r="N196" s="383">
        <f t="shared" si="156"/>
        <v>-23107.313036268661</v>
      </c>
      <c r="O196" s="383">
        <f t="shared" si="156"/>
        <v>-26403.986779429873</v>
      </c>
      <c r="P196" s="383">
        <f t="shared" si="156"/>
        <v>-30910.588258760945</v>
      </c>
      <c r="Q196" s="383">
        <f t="shared" si="156"/>
        <v>-35577.616781638731</v>
      </c>
      <c r="R196" s="383">
        <f t="shared" si="156"/>
        <v>-38291.890546392067</v>
      </c>
    </row>
    <row r="197" spans="2:21" outlineLevel="1" x14ac:dyDescent="0.25">
      <c r="B197" s="202"/>
      <c r="C197" s="23"/>
      <c r="D197" s="23"/>
      <c r="E197" s="23"/>
      <c r="F197" s="23"/>
      <c r="G197" s="23"/>
      <c r="H197" s="23"/>
      <c r="I197" s="23"/>
      <c r="J197" s="23"/>
      <c r="K197" s="23"/>
      <c r="L197" s="23"/>
      <c r="M197" s="23"/>
      <c r="N197" s="23"/>
      <c r="O197" s="23"/>
      <c r="P197" s="23"/>
      <c r="Q197" s="23"/>
      <c r="R197" s="23"/>
    </row>
    <row r="198" spans="2:21" outlineLevel="1" x14ac:dyDescent="0.25">
      <c r="B198" s="361" t="s">
        <v>492</v>
      </c>
      <c r="C198" s="427">
        <f>'Raw Data'!C140</f>
        <v>11039</v>
      </c>
      <c r="D198" s="427">
        <f>'Raw Data'!D140</f>
        <v>17765</v>
      </c>
      <c r="E198" s="427">
        <f>'Raw Data'!E140</f>
        <v>22700</v>
      </c>
      <c r="F198" s="427">
        <f>'Raw Data'!F140</f>
        <v>27400</v>
      </c>
      <c r="G198" s="427">
        <f>'Raw Data'!G140</f>
        <v>31600</v>
      </c>
      <c r="H198" s="387">
        <f>H177+H178+H196</f>
        <v>45281.759069052394</v>
      </c>
      <c r="I198" s="387">
        <f t="shared" ref="I198:R198" si="157">I177+I178+I196</f>
        <v>60366.68988396386</v>
      </c>
      <c r="J198" s="387">
        <f t="shared" si="157"/>
        <v>76383.12374849146</v>
      </c>
      <c r="K198" s="387">
        <f t="shared" si="157"/>
        <v>92764.826479938725</v>
      </c>
      <c r="L198" s="387">
        <f t="shared" si="157"/>
        <v>108892.74643963868</v>
      </c>
      <c r="M198" s="387">
        <f t="shared" si="157"/>
        <v>124133.72027775334</v>
      </c>
      <c r="N198" s="387">
        <f t="shared" si="157"/>
        <v>141949.35311872876</v>
      </c>
      <c r="O198" s="387">
        <f t="shared" si="157"/>
        <v>158705.65215800781</v>
      </c>
      <c r="P198" s="387">
        <f t="shared" si="157"/>
        <v>172861.07869255758</v>
      </c>
      <c r="Q198" s="387">
        <f t="shared" si="157"/>
        <v>183953.74713969676</v>
      </c>
      <c r="R198" s="387">
        <f t="shared" si="157"/>
        <v>193669.63119928335</v>
      </c>
    </row>
    <row r="199" spans="2:21" outlineLevel="1" x14ac:dyDescent="0.25">
      <c r="B199" s="1" t="s">
        <v>438</v>
      </c>
      <c r="C199" s="386">
        <f t="shared" ref="C199:G199" si="158">C198+C171</f>
        <v>29114</v>
      </c>
      <c r="D199" s="386">
        <f t="shared" si="158"/>
        <v>48866</v>
      </c>
      <c r="E199" s="386">
        <f t="shared" si="158"/>
        <v>61797</v>
      </c>
      <c r="F199" s="386">
        <f t="shared" si="158"/>
        <v>72705</v>
      </c>
      <c r="G199" s="386">
        <f t="shared" si="158"/>
        <v>113114</v>
      </c>
      <c r="H199" s="386">
        <f>H198+H171</f>
        <v>143386.81253800954</v>
      </c>
      <c r="I199" s="386">
        <f t="shared" ref="I199:R199" si="159">I198+I171</f>
        <v>176911.60530683145</v>
      </c>
      <c r="J199" s="386">
        <f t="shared" si="159"/>
        <v>212595.24250167081</v>
      </c>
      <c r="K199" s="386">
        <f t="shared" si="159"/>
        <v>249125.42406120355</v>
      </c>
      <c r="L199" s="386">
        <f t="shared" si="159"/>
        <v>285067.44058742619</v>
      </c>
      <c r="M199" s="386">
        <f t="shared" si="159"/>
        <v>318953.87748720392</v>
      </c>
      <c r="N199" s="386">
        <f t="shared" si="159"/>
        <v>353434.94771031506</v>
      </c>
      <c r="O199" s="386">
        <f t="shared" si="159"/>
        <v>384117.81969314627</v>
      </c>
      <c r="P199" s="386">
        <f t="shared" si="159"/>
        <v>408772.92922052357</v>
      </c>
      <c r="Q199" s="386">
        <f t="shared" si="159"/>
        <v>426329.81375768624</v>
      </c>
      <c r="R199" s="386">
        <f t="shared" si="159"/>
        <v>448847.27320617036</v>
      </c>
    </row>
    <row r="200" spans="2:21" outlineLevel="1" x14ac:dyDescent="0.25">
      <c r="B200" s="1"/>
      <c r="C200" s="386"/>
      <c r="D200" s="386"/>
      <c r="E200" s="386"/>
      <c r="F200" s="386"/>
      <c r="G200" s="386"/>
      <c r="H200" s="386"/>
      <c r="I200" s="386"/>
      <c r="J200" s="386"/>
      <c r="K200" s="386"/>
      <c r="L200" s="386"/>
      <c r="M200" s="386"/>
      <c r="N200" s="386"/>
      <c r="O200" s="386"/>
      <c r="P200" s="386"/>
      <c r="Q200" s="386"/>
      <c r="R200" s="386"/>
    </row>
    <row r="201" spans="2:21" outlineLevel="1" x14ac:dyDescent="0.25">
      <c r="B201" s="1"/>
      <c r="C201" s="23"/>
      <c r="D201" s="23"/>
      <c r="E201" s="23"/>
      <c r="F201" s="23"/>
      <c r="G201" s="23"/>
      <c r="H201" s="23"/>
      <c r="I201" s="23"/>
      <c r="J201" s="23"/>
      <c r="K201" s="23"/>
      <c r="L201" s="23"/>
      <c r="M201" s="23"/>
      <c r="N201" s="23"/>
      <c r="O201" s="23"/>
      <c r="P201" s="23"/>
      <c r="Q201" s="23"/>
      <c r="R201" s="23"/>
    </row>
    <row r="202" spans="2:21" outlineLevel="1" x14ac:dyDescent="0.25">
      <c r="B202" s="357" t="s">
        <v>505</v>
      </c>
      <c r="C202" s="358"/>
      <c r="D202" s="358"/>
      <c r="E202" s="358"/>
      <c r="F202" s="358"/>
      <c r="G202" s="358"/>
      <c r="H202" s="358"/>
      <c r="I202" s="358"/>
      <c r="J202" s="358"/>
      <c r="K202" s="358"/>
      <c r="L202" s="358"/>
      <c r="M202" s="358"/>
      <c r="N202" s="358"/>
      <c r="O202" s="358"/>
      <c r="P202" s="358"/>
      <c r="Q202" s="358"/>
      <c r="R202" s="359"/>
    </row>
    <row r="203" spans="2:21" ht="5.4" customHeight="1" outlineLevel="1" x14ac:dyDescent="0.25">
      <c r="B203" s="1"/>
      <c r="C203" s="23"/>
      <c r="D203" s="23"/>
      <c r="E203" s="23"/>
      <c r="F203" s="23"/>
      <c r="G203" s="23"/>
      <c r="H203" s="23"/>
      <c r="I203" s="23"/>
      <c r="J203" s="23"/>
      <c r="K203" s="23"/>
      <c r="L203" s="23"/>
      <c r="M203" s="23"/>
      <c r="N203" s="23"/>
      <c r="O203" s="23"/>
      <c r="P203" s="23"/>
      <c r="Q203" s="23"/>
      <c r="R203" s="23"/>
    </row>
    <row r="204" spans="2:21" outlineLevel="1" x14ac:dyDescent="0.25">
      <c r="B204" s="362" t="s">
        <v>493</v>
      </c>
      <c r="C204" s="239"/>
      <c r="D204" s="239"/>
      <c r="E204" s="239"/>
      <c r="F204" s="239"/>
      <c r="G204" s="239"/>
      <c r="H204" s="239"/>
      <c r="I204" s="239"/>
      <c r="J204" s="239"/>
      <c r="K204" s="239"/>
      <c r="L204" s="239"/>
      <c r="M204" s="239"/>
      <c r="N204" s="239"/>
      <c r="O204" s="239"/>
      <c r="P204" s="239"/>
      <c r="Q204" s="239"/>
      <c r="R204" s="239"/>
    </row>
    <row r="205" spans="2:21" outlineLevel="1" x14ac:dyDescent="0.25">
      <c r="B205" s="354" t="s">
        <v>494</v>
      </c>
      <c r="C205" s="428">
        <f>'Raw Data'!C145</f>
        <v>9074</v>
      </c>
      <c r="D205" s="428">
        <f>'Raw Data'!D145</f>
        <v>11660</v>
      </c>
      <c r="E205" s="428">
        <f>'Raw Data'!E145</f>
        <v>19304</v>
      </c>
      <c r="F205" s="428">
        <f>'Raw Data'!F145</f>
        <v>24423</v>
      </c>
      <c r="G205" s="428">
        <f>'Raw Data'!G145</f>
        <v>26979</v>
      </c>
      <c r="H205" s="384">
        <f>G233</f>
        <v>18060</v>
      </c>
      <c r="I205" s="384">
        <f>H208</f>
        <v>15147.096774193546</v>
      </c>
      <c r="J205" s="384">
        <f t="shared" ref="J205:R205" si="160">I208</f>
        <v>12234.193548387095</v>
      </c>
      <c r="K205" s="384">
        <f t="shared" si="160"/>
        <v>9321.2903225806422</v>
      </c>
      <c r="L205" s="384">
        <f t="shared" si="160"/>
        <v>6408.3870967741914</v>
      </c>
      <c r="M205" s="384">
        <f t="shared" si="160"/>
        <v>3495.4838709677397</v>
      </c>
      <c r="N205" s="384">
        <f t="shared" si="160"/>
        <v>582.58064516128798</v>
      </c>
      <c r="O205" s="384">
        <f t="shared" si="160"/>
        <v>0</v>
      </c>
      <c r="P205" s="384">
        <f t="shared" si="160"/>
        <v>0</v>
      </c>
      <c r="Q205" s="384">
        <f t="shared" si="160"/>
        <v>0</v>
      </c>
      <c r="R205" s="384">
        <f t="shared" si="160"/>
        <v>0</v>
      </c>
    </row>
    <row r="206" spans="2:21" outlineLevel="1" x14ac:dyDescent="0.25">
      <c r="B206" s="354" t="s">
        <v>388</v>
      </c>
      <c r="C206" s="476"/>
      <c r="D206" s="476"/>
      <c r="E206" s="476"/>
      <c r="F206" s="476"/>
      <c r="G206" s="476"/>
      <c r="H206" s="383">
        <f>H205*'Control Panel'!$O$45</f>
        <v>379.26000000000005</v>
      </c>
      <c r="I206" s="383">
        <f>I205*'Control Panel'!$O$45</f>
        <v>318.08903225806449</v>
      </c>
      <c r="J206" s="383">
        <f>J205*'Control Panel'!$O$45</f>
        <v>256.91806451612899</v>
      </c>
      <c r="K206" s="383">
        <f>K205*'Control Panel'!$O$45</f>
        <v>195.74709677419349</v>
      </c>
      <c r="L206" s="383">
        <f>L205*'Control Panel'!$O$45</f>
        <v>134.57612903225802</v>
      </c>
      <c r="M206" s="383">
        <f>M205*'Control Panel'!$O$45</f>
        <v>73.405161290322539</v>
      </c>
      <c r="N206" s="383">
        <f>N205*'Control Panel'!$O$45</f>
        <v>12.234193548387049</v>
      </c>
      <c r="O206" s="383">
        <f>O205*'Control Panel'!$O$45</f>
        <v>0</v>
      </c>
      <c r="P206" s="383">
        <f>P205*'Control Panel'!$O$45</f>
        <v>0</v>
      </c>
      <c r="Q206" s="383">
        <f>Q205*'Control Panel'!$O$45</f>
        <v>0</v>
      </c>
      <c r="R206" s="383">
        <f>R205*'Control Panel'!$O$45</f>
        <v>0</v>
      </c>
    </row>
    <row r="207" spans="2:21" outlineLevel="1" x14ac:dyDescent="0.25">
      <c r="B207" s="363" t="s">
        <v>495</v>
      </c>
      <c r="C207" s="483"/>
      <c r="D207" s="483"/>
      <c r="E207" s="483"/>
      <c r="F207" s="483"/>
      <c r="G207" s="483"/>
      <c r="H207" s="383">
        <f>IF($H$205/'Control Panel'!$O$46&lt;'Financial Statements'!H205,-'Financial Statements'!$H$205/'Control Panel'!$O$46-'Financial Statements'!H206,-'Financial Statements'!H205-'Financial Statements'!H206)</f>
        <v>-3292.1632258064519</v>
      </c>
      <c r="I207" s="383">
        <f>IF($H$205/'Control Panel'!$O$46&lt;'Financial Statements'!I205,-'Financial Statements'!$H$205/'Control Panel'!$O$46-'Financial Statements'!I206,-'Financial Statements'!I205-'Financial Statements'!I206)</f>
        <v>-3230.9922580645161</v>
      </c>
      <c r="J207" s="383">
        <f>IF($H$205/'Control Panel'!$O$46&lt;'Financial Statements'!J205,-'Financial Statements'!$H$205/'Control Panel'!$O$46-'Financial Statements'!J206,-'Financial Statements'!J205-'Financial Statements'!J206)</f>
        <v>-3169.8212903225808</v>
      </c>
      <c r="K207" s="383">
        <f>IF($H$205/'Control Panel'!$O$46&lt;'Financial Statements'!K205,-'Financial Statements'!$H$205/'Control Panel'!$O$46-'Financial Statements'!K206,-'Financial Statements'!K205-'Financial Statements'!K206)</f>
        <v>-3108.650322580645</v>
      </c>
      <c r="L207" s="383">
        <f>IF($H$205/'Control Panel'!$O$46&lt;'Financial Statements'!L205,-'Financial Statements'!$H$205/'Control Panel'!$O$46-'Financial Statements'!L206,-'Financial Statements'!L205-'Financial Statements'!L206)</f>
        <v>-3047.4793548387097</v>
      </c>
      <c r="M207" s="383">
        <f>IF($H$205/'Control Panel'!$O$46&lt;'Financial Statements'!M205,-'Financial Statements'!$H$205/'Control Panel'!$O$46-'Financial Statements'!M206,-'Financial Statements'!M205-'Financial Statements'!M206)</f>
        <v>-2986.3083870967744</v>
      </c>
      <c r="N207" s="383">
        <f>IF($H$205/'Control Panel'!$O$46&lt;'Financial Statements'!N205,-'Financial Statements'!$H$205/'Control Panel'!$O$46-'Financial Statements'!N206,-'Financial Statements'!N205-'Financial Statements'!N206)</f>
        <v>-594.81483870967497</v>
      </c>
      <c r="O207" s="383">
        <f>IF($H$205/'Control Panel'!$O$46&lt;'Financial Statements'!O205,-'Financial Statements'!$H$205/'Control Panel'!$O$46-'Financial Statements'!O206,-'Financial Statements'!O205-'Financial Statements'!O206)</f>
        <v>0</v>
      </c>
      <c r="P207" s="383">
        <f>IF($H$205/'Control Panel'!$O$46&lt;'Financial Statements'!P205,-'Financial Statements'!$H$205/'Control Panel'!$O$46-'Financial Statements'!P206,-'Financial Statements'!P205-'Financial Statements'!P206)</f>
        <v>0</v>
      </c>
      <c r="Q207" s="383">
        <f>IF($H$205/'Control Panel'!$O$46&lt;'Financial Statements'!Q205,-'Financial Statements'!$H$205/'Control Panel'!$O$46-'Financial Statements'!Q206,-'Financial Statements'!Q205-'Financial Statements'!Q206)</f>
        <v>0</v>
      </c>
      <c r="R207" s="383">
        <f>IF($H$205/'Control Panel'!$O$46&lt;'Financial Statements'!R205,-'Financial Statements'!$H$205/'Control Panel'!$O$46-'Financial Statements'!R206,-'Financial Statements'!R205-'Financial Statements'!R206)</f>
        <v>0</v>
      </c>
    </row>
    <row r="208" spans="2:21" outlineLevel="1" x14ac:dyDescent="0.25">
      <c r="B208" s="354" t="s">
        <v>496</v>
      </c>
      <c r="C208" s="80"/>
      <c r="D208" s="80"/>
      <c r="E208" s="80"/>
      <c r="F208" s="80"/>
      <c r="G208" s="80"/>
      <c r="H208" s="384">
        <f>SUM(H205:H207)</f>
        <v>15147.096774193546</v>
      </c>
      <c r="I208" s="384">
        <f t="shared" ref="I208:R208" si="161">SUM(I205:I207)</f>
        <v>12234.193548387095</v>
      </c>
      <c r="J208" s="384">
        <f t="shared" si="161"/>
        <v>9321.2903225806422</v>
      </c>
      <c r="K208" s="384">
        <f t="shared" si="161"/>
        <v>6408.3870967741914</v>
      </c>
      <c r="L208" s="384">
        <f t="shared" si="161"/>
        <v>3495.4838709677397</v>
      </c>
      <c r="M208" s="384">
        <f t="shared" si="161"/>
        <v>582.58064516128798</v>
      </c>
      <c r="N208" s="384">
        <f t="shared" si="161"/>
        <v>0</v>
      </c>
      <c r="O208" s="384">
        <f t="shared" si="161"/>
        <v>0</v>
      </c>
      <c r="P208" s="384">
        <f t="shared" si="161"/>
        <v>0</v>
      </c>
      <c r="Q208" s="384">
        <f t="shared" si="161"/>
        <v>0</v>
      </c>
      <c r="R208" s="384">
        <f t="shared" si="161"/>
        <v>0</v>
      </c>
    </row>
    <row r="209" spans="2:21" outlineLevel="1" x14ac:dyDescent="0.25">
      <c r="B209" s="354"/>
      <c r="C209" s="80"/>
      <c r="D209" s="80"/>
      <c r="E209" s="80"/>
      <c r="F209" s="80"/>
      <c r="G209" s="80"/>
      <c r="H209" s="80"/>
      <c r="I209" s="80"/>
      <c r="J209" s="80"/>
      <c r="K209" s="80"/>
      <c r="L209" s="80"/>
      <c r="M209" s="80"/>
      <c r="N209" s="80"/>
      <c r="O209" s="80"/>
      <c r="P209" s="80"/>
      <c r="Q209" s="80"/>
      <c r="R209" s="80"/>
    </row>
    <row r="210" spans="2:21" outlineLevel="1" x14ac:dyDescent="0.25">
      <c r="B210" s="362" t="s">
        <v>497</v>
      </c>
      <c r="C210" s="80"/>
      <c r="D210" s="80"/>
      <c r="E210" s="80"/>
      <c r="F210" s="80"/>
      <c r="G210" s="80"/>
      <c r="H210" s="80"/>
      <c r="I210" s="80"/>
      <c r="J210" s="80"/>
      <c r="K210" s="80"/>
      <c r="L210" s="80"/>
      <c r="M210" s="80"/>
      <c r="N210" s="80"/>
      <c r="O210" s="80"/>
      <c r="P210" s="80"/>
      <c r="Q210" s="80"/>
      <c r="R210" s="80"/>
    </row>
    <row r="211" spans="2:21" outlineLevel="1" x14ac:dyDescent="0.25">
      <c r="B211" s="354" t="s">
        <v>498</v>
      </c>
      <c r="C211" s="481"/>
      <c r="D211" s="481"/>
      <c r="E211" s="481"/>
      <c r="F211" s="481"/>
      <c r="G211" s="481"/>
      <c r="H211" s="384">
        <v>0</v>
      </c>
      <c r="I211" s="384">
        <f>H229</f>
        <v>18778.533262600784</v>
      </c>
      <c r="J211" s="384">
        <f t="shared" ref="J211:R211" si="162">I229</f>
        <v>38960.238271060633</v>
      </c>
      <c r="K211" s="384">
        <f t="shared" si="162"/>
        <v>60073.446329136626</v>
      </c>
      <c r="L211" s="384">
        <f t="shared" si="162"/>
        <v>81551.923254132271</v>
      </c>
      <c r="M211" s="384">
        <f t="shared" si="162"/>
        <v>102776.6174073806</v>
      </c>
      <c r="N211" s="384">
        <f t="shared" si="162"/>
        <v>123114.36543904363</v>
      </c>
      <c r="O211" s="384">
        <f t="shared" si="162"/>
        <v>141949.35311872876</v>
      </c>
      <c r="P211" s="384">
        <f t="shared" si="162"/>
        <v>158705.65215800781</v>
      </c>
      <c r="Q211" s="384">
        <f t="shared" si="162"/>
        <v>172861.07869255758</v>
      </c>
      <c r="R211" s="384">
        <f t="shared" si="162"/>
        <v>183953.74713969676</v>
      </c>
    </row>
    <row r="212" spans="2:21" outlineLevel="1" x14ac:dyDescent="0.25">
      <c r="B212" s="354" t="s">
        <v>277</v>
      </c>
      <c r="C212" s="476"/>
      <c r="D212" s="476"/>
      <c r="E212" s="476"/>
      <c r="F212" s="476"/>
      <c r="G212" s="476"/>
      <c r="H212" s="383">
        <f>H178</f>
        <v>20865.036958445315</v>
      </c>
      <c r="I212" s="383">
        <f t="shared" ref="I212:R212" si="163">I178</f>
        <v>24742.454115893757</v>
      </c>
      <c r="J212" s="383">
        <f t="shared" si="163"/>
        <v>28526.61907278877</v>
      </c>
      <c r="K212" s="383">
        <f t="shared" si="163"/>
        <v>32102.09771078714</v>
      </c>
      <c r="L212" s="383">
        <f t="shared" si="163"/>
        <v>35387.016598933158</v>
      </c>
      <c r="M212" s="383">
        <f t="shared" si="163"/>
        <v>38333.411641497602</v>
      </c>
      <c r="N212" s="383">
        <f t="shared" si="163"/>
        <v>40922.945877244099</v>
      </c>
      <c r="O212" s="383">
        <f t="shared" si="163"/>
        <v>43160.285818708915</v>
      </c>
      <c r="P212" s="383">
        <f t="shared" si="163"/>
        <v>45066.014793310729</v>
      </c>
      <c r="Q212" s="383">
        <f t="shared" si="163"/>
        <v>46670.285228777902</v>
      </c>
      <c r="R212" s="383">
        <f t="shared" si="163"/>
        <v>48007.774605978659</v>
      </c>
    </row>
    <row r="213" spans="2:21" outlineLevel="1" x14ac:dyDescent="0.25">
      <c r="B213" s="354" t="s">
        <v>388</v>
      </c>
      <c r="C213" s="476"/>
      <c r="D213" s="476"/>
      <c r="E213" s="476"/>
      <c r="F213" s="476"/>
      <c r="G213" s="476"/>
      <c r="H213" s="383">
        <f>H211*'Control Panel'!$O$45</f>
        <v>0</v>
      </c>
      <c r="I213" s="383">
        <f>I211*'Control Panel'!$O$45</f>
        <v>394.34919851461649</v>
      </c>
      <c r="J213" s="383">
        <f>J211*'Control Panel'!$O$45</f>
        <v>818.16500369227333</v>
      </c>
      <c r="K213" s="383">
        <f>K211*'Control Panel'!$O$45</f>
        <v>1261.5423729118693</v>
      </c>
      <c r="L213" s="383">
        <f>L211*'Control Panel'!$O$45</f>
        <v>1712.5903883367778</v>
      </c>
      <c r="M213" s="383">
        <f>M211*'Control Panel'!$O$45</f>
        <v>2158.3089655549929</v>
      </c>
      <c r="N213" s="383">
        <f>N211*'Control Panel'!$O$45</f>
        <v>2585.4016742199165</v>
      </c>
      <c r="O213" s="383">
        <f>O211*'Control Panel'!$O$45</f>
        <v>2980.9364154933041</v>
      </c>
      <c r="P213" s="383">
        <f>P211*'Control Panel'!$O$45</f>
        <v>3332.8186953181644</v>
      </c>
      <c r="Q213" s="383">
        <f>Q211*'Control Panel'!$O$45</f>
        <v>3630.0826525437096</v>
      </c>
      <c r="R213" s="383">
        <f>R211*'Control Panel'!$O$45</f>
        <v>3863.028689933632</v>
      </c>
    </row>
    <row r="214" spans="2:21" outlineLevel="1" x14ac:dyDescent="0.25">
      <c r="B214" s="360" t="s">
        <v>502</v>
      </c>
      <c r="C214" s="80"/>
      <c r="D214" s="80"/>
      <c r="E214" s="80"/>
      <c r="F214" s="80"/>
      <c r="G214" s="80"/>
      <c r="H214" s="80"/>
      <c r="I214" s="80"/>
      <c r="J214" s="80"/>
      <c r="K214" s="80"/>
      <c r="L214" s="80"/>
      <c r="M214" s="80"/>
      <c r="N214" s="80"/>
      <c r="O214" s="80"/>
      <c r="P214" s="80"/>
      <c r="Q214" s="80"/>
      <c r="R214" s="80"/>
    </row>
    <row r="215" spans="2:21" outlineLevel="1" x14ac:dyDescent="0.25">
      <c r="B215" s="349">
        <f>$H$139</f>
        <v>2021</v>
      </c>
      <c r="C215" s="476"/>
      <c r="D215" s="476"/>
      <c r="E215" s="476"/>
      <c r="F215" s="476"/>
      <c r="G215" s="476"/>
      <c r="H215" s="383">
        <f>-H$212/'Control Panel'!$O$47</f>
        <v>-2086.5036958445316</v>
      </c>
      <c r="I215" s="383">
        <f>IF(I$139&gt;$B215+'Control Panel'!$O$47-1,0,'Financial Statements'!H215)</f>
        <v>-2086.5036958445316</v>
      </c>
      <c r="J215" s="383">
        <f>IF(J$139&gt;$B215+'Control Panel'!$O$47-1,0,'Financial Statements'!I215)</f>
        <v>-2086.5036958445316</v>
      </c>
      <c r="K215" s="383">
        <f>IF(K$139&gt;$B215+'Control Panel'!$O$47-1,0,'Financial Statements'!J215)</f>
        <v>-2086.5036958445316</v>
      </c>
      <c r="L215" s="383">
        <f>IF(L$139&gt;$B215+'Control Panel'!$O$47-1,0,'Financial Statements'!K215)</f>
        <v>-2086.5036958445316</v>
      </c>
      <c r="M215" s="383">
        <f>IF(M$139&gt;$B215+'Control Panel'!$O$47-1,0,'Financial Statements'!L215)</f>
        <v>-2086.5036958445316</v>
      </c>
      <c r="N215" s="383">
        <f>IF(N$139&gt;$B215+'Control Panel'!$O$47-1,0,'Financial Statements'!M215)</f>
        <v>-2086.5036958445316</v>
      </c>
      <c r="O215" s="383">
        <f>IF(O$139&gt;$B215+'Control Panel'!$O$47-1,0,'Financial Statements'!N215)</f>
        <v>-2086.5036958445316</v>
      </c>
      <c r="P215" s="383">
        <f>IF(P$139&gt;$B215+'Control Panel'!$O$47-1,0,'Financial Statements'!O215)</f>
        <v>-2086.5036958445316</v>
      </c>
      <c r="Q215" s="383">
        <f>IF(Q$139&gt;$B215+'Control Panel'!$O$47-1,0,'Financial Statements'!P215)</f>
        <v>-2086.5036958445316</v>
      </c>
      <c r="R215" s="383">
        <f>IF(R$139&gt;$B215+'Control Panel'!$O$47-1,0,'Financial Statements'!Q215)</f>
        <v>0</v>
      </c>
    </row>
    <row r="216" spans="2:21" outlineLevel="1" x14ac:dyDescent="0.25">
      <c r="B216" s="349">
        <f>+B215+1</f>
        <v>2022</v>
      </c>
      <c r="C216" s="476"/>
      <c r="D216" s="476"/>
      <c r="E216" s="476"/>
      <c r="F216" s="476"/>
      <c r="G216" s="476"/>
      <c r="H216" s="480"/>
      <c r="I216" s="383">
        <f>-I$212/'Control Panel'!$O$47</f>
        <v>-2474.2454115893756</v>
      </c>
      <c r="J216" s="383">
        <f>IF(J$139&gt;$B216+'Control Panel'!$O$47-1,0,'Financial Statements'!I216)</f>
        <v>-2474.2454115893756</v>
      </c>
      <c r="K216" s="383">
        <f>IF(K$139&gt;$B216+'Control Panel'!$O$47-1,0,'Financial Statements'!J216)</f>
        <v>-2474.2454115893756</v>
      </c>
      <c r="L216" s="383">
        <f>IF(L$139&gt;$B216+'Control Panel'!$O$47-1,0,'Financial Statements'!K216)</f>
        <v>-2474.2454115893756</v>
      </c>
      <c r="M216" s="383">
        <f>IF(M$139&gt;$B216+'Control Panel'!$O$47-1,0,'Financial Statements'!L216)</f>
        <v>-2474.2454115893756</v>
      </c>
      <c r="N216" s="383">
        <f>IF(N$139&gt;$B216+'Control Panel'!$O$47-1,0,'Financial Statements'!M216)</f>
        <v>-2474.2454115893756</v>
      </c>
      <c r="O216" s="383">
        <f>IF(O$139&gt;$B216+'Control Panel'!$O$47-1,0,'Financial Statements'!N216)</f>
        <v>-2474.2454115893756</v>
      </c>
      <c r="P216" s="383">
        <f>IF(P$139&gt;$B216+'Control Panel'!$O$47-1,0,'Financial Statements'!O216)</f>
        <v>-2474.2454115893756</v>
      </c>
      <c r="Q216" s="383">
        <f>IF(Q$139&gt;$B216+'Control Panel'!$O$47-1,0,'Financial Statements'!P216)</f>
        <v>-2474.2454115893756</v>
      </c>
      <c r="R216" s="383">
        <f>IF(R$139&gt;$B216+'Control Panel'!$O$47-1,0,'Financial Statements'!Q216)</f>
        <v>-2474.2454115893756</v>
      </c>
    </row>
    <row r="217" spans="2:21" outlineLevel="1" x14ac:dyDescent="0.25">
      <c r="B217" s="349">
        <f t="shared" ref="B217:B225" si="164">+B216+1</f>
        <v>2023</v>
      </c>
      <c r="C217" s="476"/>
      <c r="D217" s="476"/>
      <c r="E217" s="476"/>
      <c r="F217" s="476"/>
      <c r="G217" s="476"/>
      <c r="H217" s="480"/>
      <c r="I217" s="480"/>
      <c r="J217" s="383">
        <f>-J$212/'Control Panel'!$O$47</f>
        <v>-2852.6619072788772</v>
      </c>
      <c r="K217" s="383">
        <f>IF(K$139&gt;$B217+'Control Panel'!$O$47-1,0,'Financial Statements'!J217)</f>
        <v>-2852.6619072788772</v>
      </c>
      <c r="L217" s="383">
        <f>IF(L$139&gt;$B217+'Control Panel'!$O$47-1,0,'Financial Statements'!K217)</f>
        <v>-2852.6619072788772</v>
      </c>
      <c r="M217" s="383">
        <f>IF(M$139&gt;$B217+'Control Panel'!$O$47-1,0,'Financial Statements'!L217)</f>
        <v>-2852.6619072788772</v>
      </c>
      <c r="N217" s="383">
        <f>IF(N$139&gt;$B217+'Control Panel'!$O$47-1,0,'Financial Statements'!M217)</f>
        <v>-2852.6619072788772</v>
      </c>
      <c r="O217" s="383">
        <f>IF(O$139&gt;$B217+'Control Panel'!$O$47-1,0,'Financial Statements'!N217)</f>
        <v>-2852.6619072788772</v>
      </c>
      <c r="P217" s="383">
        <f>IF(P$139&gt;$B217+'Control Panel'!$O$47-1,0,'Financial Statements'!O217)</f>
        <v>-2852.6619072788772</v>
      </c>
      <c r="Q217" s="383">
        <f>IF(Q$139&gt;$B217+'Control Panel'!$O$47-1,0,'Financial Statements'!P217)</f>
        <v>-2852.6619072788772</v>
      </c>
      <c r="R217" s="383">
        <f>IF(R$139&gt;$B217+'Control Panel'!$O$47-1,0,'Financial Statements'!Q217)</f>
        <v>-2852.6619072788772</v>
      </c>
    </row>
    <row r="218" spans="2:21" outlineLevel="1" x14ac:dyDescent="0.25">
      <c r="B218" s="349">
        <f t="shared" si="164"/>
        <v>2024</v>
      </c>
      <c r="C218" s="476"/>
      <c r="D218" s="476"/>
      <c r="E218" s="476"/>
      <c r="F218" s="476"/>
      <c r="G218" s="476"/>
      <c r="H218" s="480"/>
      <c r="I218" s="480"/>
      <c r="J218" s="480"/>
      <c r="K218" s="383">
        <f>-K$212/'Control Panel'!$O$47</f>
        <v>-3210.2097710787139</v>
      </c>
      <c r="L218" s="383">
        <f>IF(L$139&gt;$B218+'Control Panel'!$O$47-1,0,'Financial Statements'!K218)</f>
        <v>-3210.2097710787139</v>
      </c>
      <c r="M218" s="383">
        <f>IF(M$139&gt;$B218+'Control Panel'!$O$47-1,0,'Financial Statements'!L218)</f>
        <v>-3210.2097710787139</v>
      </c>
      <c r="N218" s="383">
        <f>IF(N$139&gt;$B218+'Control Panel'!$O$47-1,0,'Financial Statements'!M218)</f>
        <v>-3210.2097710787139</v>
      </c>
      <c r="O218" s="383">
        <f>IF(O$139&gt;$B218+'Control Panel'!$O$47-1,0,'Financial Statements'!N218)</f>
        <v>-3210.2097710787139</v>
      </c>
      <c r="P218" s="383">
        <f>IF(P$139&gt;$B218+'Control Panel'!$O$47-1,0,'Financial Statements'!O218)</f>
        <v>-3210.2097710787139</v>
      </c>
      <c r="Q218" s="383">
        <f>IF(Q$139&gt;$B218+'Control Panel'!$O$47-1,0,'Financial Statements'!P218)</f>
        <v>-3210.2097710787139</v>
      </c>
      <c r="R218" s="383">
        <f>IF(R$139&gt;$B218+'Control Panel'!$O$47-1,0,'Financial Statements'!Q218)</f>
        <v>-3210.2097710787139</v>
      </c>
    </row>
    <row r="219" spans="2:21" outlineLevel="1" x14ac:dyDescent="0.25">
      <c r="B219" s="349">
        <f t="shared" si="164"/>
        <v>2025</v>
      </c>
      <c r="C219" s="476"/>
      <c r="D219" s="476"/>
      <c r="E219" s="476"/>
      <c r="F219" s="476"/>
      <c r="G219" s="476"/>
      <c r="H219" s="480"/>
      <c r="I219" s="480"/>
      <c r="J219" s="480"/>
      <c r="K219" s="480"/>
      <c r="L219" s="383">
        <f>-L$212/'Control Panel'!$O$47</f>
        <v>-3538.701659893316</v>
      </c>
      <c r="M219" s="383">
        <f>IF(M$139&gt;$B219+'Control Panel'!$O$47-1,0,'Financial Statements'!L219)</f>
        <v>-3538.701659893316</v>
      </c>
      <c r="N219" s="383">
        <f>IF(N$139&gt;$B219+'Control Panel'!$O$47-1,0,'Financial Statements'!M219)</f>
        <v>-3538.701659893316</v>
      </c>
      <c r="O219" s="383">
        <f>IF(O$139&gt;$B219+'Control Panel'!$O$47-1,0,'Financial Statements'!N219)</f>
        <v>-3538.701659893316</v>
      </c>
      <c r="P219" s="383">
        <f>IF(P$139&gt;$B219+'Control Panel'!$O$47-1,0,'Financial Statements'!O219)</f>
        <v>-3538.701659893316</v>
      </c>
      <c r="Q219" s="383">
        <f>IF(Q$139&gt;$B219+'Control Panel'!$O$47-1,0,'Financial Statements'!P219)</f>
        <v>-3538.701659893316</v>
      </c>
      <c r="R219" s="383">
        <f>IF(R$139&gt;$B219+'Control Panel'!$O$47-1,0,'Financial Statements'!Q219)</f>
        <v>-3538.701659893316</v>
      </c>
    </row>
    <row r="220" spans="2:21" outlineLevel="1" x14ac:dyDescent="0.25">
      <c r="B220" s="349">
        <f t="shared" si="164"/>
        <v>2026</v>
      </c>
      <c r="C220" s="476"/>
      <c r="D220" s="476"/>
      <c r="E220" s="476"/>
      <c r="F220" s="476"/>
      <c r="G220" s="476"/>
      <c r="H220" s="480"/>
      <c r="I220" s="480"/>
      <c r="J220" s="480"/>
      <c r="K220" s="480"/>
      <c r="L220" s="480"/>
      <c r="M220" s="383">
        <f>-M$212/'Control Panel'!$O$47</f>
        <v>-3833.3411641497601</v>
      </c>
      <c r="N220" s="383">
        <f>IF(N$139&gt;$B220+'Control Panel'!$O$47-1,0,'Financial Statements'!M220)</f>
        <v>-3833.3411641497601</v>
      </c>
      <c r="O220" s="383">
        <f>IF(O$139&gt;$B220+'Control Panel'!$O$47-1,0,'Financial Statements'!N220)</f>
        <v>-3833.3411641497601</v>
      </c>
      <c r="P220" s="383">
        <f>IF(P$139&gt;$B220+'Control Panel'!$O$47-1,0,'Financial Statements'!O220)</f>
        <v>-3833.3411641497601</v>
      </c>
      <c r="Q220" s="383">
        <f>IF(Q$139&gt;$B220+'Control Panel'!$O$47-1,0,'Financial Statements'!P220)</f>
        <v>-3833.3411641497601</v>
      </c>
      <c r="R220" s="383">
        <f>IF(R$139&gt;$B220+'Control Panel'!$O$47-1,0,'Financial Statements'!Q220)</f>
        <v>-3833.3411641497601</v>
      </c>
    </row>
    <row r="221" spans="2:21" outlineLevel="1" x14ac:dyDescent="0.25">
      <c r="B221" s="349">
        <f t="shared" si="164"/>
        <v>2027</v>
      </c>
      <c r="C221" s="476"/>
      <c r="D221" s="476"/>
      <c r="E221" s="476"/>
      <c r="F221" s="476"/>
      <c r="G221" s="476"/>
      <c r="H221" s="480"/>
      <c r="I221" s="480"/>
      <c r="J221" s="480"/>
      <c r="K221" s="480"/>
      <c r="L221" s="480"/>
      <c r="M221" s="480"/>
      <c r="N221" s="383">
        <f>-N$212/'Control Panel'!$O$47</f>
        <v>-4092.2945877244101</v>
      </c>
      <c r="O221" s="383">
        <f>IF(O$139&gt;$B221+'Control Panel'!$O$47-1,0,'Financial Statements'!N221)</f>
        <v>-4092.2945877244101</v>
      </c>
      <c r="P221" s="383">
        <f>IF(P$139&gt;$B221+'Control Panel'!$O$47-1,0,'Financial Statements'!O221)</f>
        <v>-4092.2945877244101</v>
      </c>
      <c r="Q221" s="383">
        <f>IF(Q$139&gt;$B221+'Control Panel'!$O$47-1,0,'Financial Statements'!P221)</f>
        <v>-4092.2945877244101</v>
      </c>
      <c r="R221" s="383">
        <f>IF(R$139&gt;$B221+'Control Panel'!$O$47-1,0,'Financial Statements'!Q221)</f>
        <v>-4092.2945877244101</v>
      </c>
    </row>
    <row r="222" spans="2:21" outlineLevel="1" x14ac:dyDescent="0.25">
      <c r="B222" s="349">
        <f t="shared" si="164"/>
        <v>2028</v>
      </c>
      <c r="C222" s="476"/>
      <c r="D222" s="476"/>
      <c r="E222" s="476"/>
      <c r="F222" s="476"/>
      <c r="G222" s="476"/>
      <c r="H222" s="480"/>
      <c r="I222" s="480"/>
      <c r="J222" s="480"/>
      <c r="K222" s="480"/>
      <c r="L222" s="480"/>
      <c r="M222" s="480"/>
      <c r="N222" s="480"/>
      <c r="O222" s="383">
        <f>-O$212/'Control Panel'!$O$47</f>
        <v>-4316.0285818708917</v>
      </c>
      <c r="P222" s="383">
        <f>IF(P$139&gt;$B222+'Control Panel'!$O$47-1,0,'Financial Statements'!O222)</f>
        <v>-4316.0285818708917</v>
      </c>
      <c r="Q222" s="383">
        <f>IF(Q$139&gt;$B222+'Control Panel'!$O$47-1,0,'Financial Statements'!P222)</f>
        <v>-4316.0285818708917</v>
      </c>
      <c r="R222" s="383">
        <f>IF(R$139&gt;$B222+'Control Panel'!$O$47-1,0,'Financial Statements'!Q222)</f>
        <v>-4316.0285818708917</v>
      </c>
    </row>
    <row r="223" spans="2:21" outlineLevel="1" x14ac:dyDescent="0.25">
      <c r="B223" s="349">
        <f t="shared" si="164"/>
        <v>2029</v>
      </c>
      <c r="C223" s="476"/>
      <c r="D223" s="476"/>
      <c r="E223" s="476"/>
      <c r="F223" s="476"/>
      <c r="G223" s="476"/>
      <c r="H223" s="480"/>
      <c r="I223" s="480"/>
      <c r="J223" s="480"/>
      <c r="K223" s="480"/>
      <c r="L223" s="480"/>
      <c r="M223" s="480"/>
      <c r="N223" s="480"/>
      <c r="O223" s="480"/>
      <c r="P223" s="383">
        <f>-P$212/'Control Panel'!$O$47</f>
        <v>-4506.6014793310733</v>
      </c>
      <c r="Q223" s="383">
        <f>IF(Q$139&gt;$B223+'Control Panel'!$O$47-1,0,'Financial Statements'!P223)</f>
        <v>-4506.6014793310733</v>
      </c>
      <c r="R223" s="383">
        <f>IF(R$139&gt;$B223+'Control Panel'!$O$47-1,0,'Financial Statements'!Q223)</f>
        <v>-4506.6014793310733</v>
      </c>
    </row>
    <row r="224" spans="2:21" outlineLevel="1" x14ac:dyDescent="0.25">
      <c r="B224" s="349">
        <f t="shared" si="164"/>
        <v>2030</v>
      </c>
      <c r="C224" s="476"/>
      <c r="D224" s="476"/>
      <c r="E224" s="476"/>
      <c r="F224" s="476"/>
      <c r="G224" s="476"/>
      <c r="H224" s="480"/>
      <c r="I224" s="480"/>
      <c r="J224" s="480"/>
      <c r="K224" s="480"/>
      <c r="L224" s="480"/>
      <c r="M224" s="480"/>
      <c r="N224" s="480"/>
      <c r="O224" s="480"/>
      <c r="P224" s="480"/>
      <c r="Q224" s="383">
        <f>-Q$212/'Control Panel'!$O$47</f>
        <v>-4667.0285228777902</v>
      </c>
      <c r="R224" s="383">
        <f>IF(R$139&gt;$B224+'Control Panel'!$O$47-1,0,'Financial Statements'!Q224)</f>
        <v>-4667.0285228777902</v>
      </c>
      <c r="S224" s="383"/>
      <c r="T224" s="383"/>
      <c r="U224" s="383"/>
    </row>
    <row r="225" spans="2:21" outlineLevel="1" x14ac:dyDescent="0.25">
      <c r="B225" s="349">
        <f t="shared" si="164"/>
        <v>2031</v>
      </c>
      <c r="C225" s="476"/>
      <c r="D225" s="476"/>
      <c r="E225" s="476"/>
      <c r="F225" s="476"/>
      <c r="G225" s="476"/>
      <c r="H225" s="480"/>
      <c r="I225" s="480"/>
      <c r="J225" s="480"/>
      <c r="K225" s="480"/>
      <c r="L225" s="480"/>
      <c r="M225" s="480"/>
      <c r="N225" s="480"/>
      <c r="O225" s="480"/>
      <c r="P225" s="480"/>
      <c r="Q225" s="480"/>
      <c r="R225" s="383">
        <f>-R$212/'Control Panel'!$O$47</f>
        <v>-4800.7774605978657</v>
      </c>
      <c r="S225" s="383"/>
      <c r="T225" s="383"/>
      <c r="U225" s="383"/>
    </row>
    <row r="226" spans="2:21" outlineLevel="1" x14ac:dyDescent="0.25">
      <c r="B226" s="350" t="s">
        <v>499</v>
      </c>
      <c r="C226" s="384"/>
      <c r="D226" s="384"/>
      <c r="E226" s="384"/>
      <c r="F226" s="384"/>
      <c r="G226" s="384"/>
      <c r="H226" s="384">
        <f>SUM(H215:H225)</f>
        <v>-2086.5036958445316</v>
      </c>
      <c r="I226" s="384">
        <f t="shared" ref="I226:R226" si="165">SUM(I215:I225)</f>
        <v>-4560.7491074339068</v>
      </c>
      <c r="J226" s="384">
        <f t="shared" si="165"/>
        <v>-7413.411014712784</v>
      </c>
      <c r="K226" s="384">
        <f t="shared" si="165"/>
        <v>-10623.620785791498</v>
      </c>
      <c r="L226" s="384">
        <f t="shared" si="165"/>
        <v>-14162.322445684815</v>
      </c>
      <c r="M226" s="384">
        <f t="shared" si="165"/>
        <v>-17995.663609834573</v>
      </c>
      <c r="N226" s="384">
        <f t="shared" si="165"/>
        <v>-22087.958197558983</v>
      </c>
      <c r="O226" s="384">
        <f t="shared" si="165"/>
        <v>-26403.986779429873</v>
      </c>
      <c r="P226" s="384">
        <f t="shared" si="165"/>
        <v>-30910.588258760945</v>
      </c>
      <c r="Q226" s="384">
        <f t="shared" si="165"/>
        <v>-35577.616781638731</v>
      </c>
      <c r="R226" s="384">
        <f t="shared" si="165"/>
        <v>-38291.890546392067</v>
      </c>
    </row>
    <row r="227" spans="2:21" outlineLevel="1" x14ac:dyDescent="0.25">
      <c r="C227" s="80"/>
      <c r="D227" s="80"/>
      <c r="E227" s="80"/>
      <c r="F227" s="80"/>
      <c r="G227" s="80"/>
      <c r="H227" s="80"/>
      <c r="I227" s="80"/>
      <c r="J227" s="80"/>
      <c r="K227" s="80"/>
      <c r="L227" s="80"/>
      <c r="M227" s="80"/>
      <c r="N227" s="80"/>
      <c r="O227" s="80"/>
      <c r="P227" s="80"/>
      <c r="Q227" s="80"/>
      <c r="R227" s="80"/>
    </row>
    <row r="228" spans="2:21" outlineLevel="1" x14ac:dyDescent="0.25">
      <c r="B228" s="349" t="s">
        <v>500</v>
      </c>
      <c r="C228" s="476"/>
      <c r="D228" s="476"/>
      <c r="E228" s="476"/>
      <c r="F228" s="476"/>
      <c r="G228" s="476"/>
      <c r="H228" s="383">
        <f>H213-H226</f>
        <v>2086.5036958445316</v>
      </c>
      <c r="I228" s="383">
        <f t="shared" ref="I228:R228" si="166">I213-I226</f>
        <v>4955.0983059485234</v>
      </c>
      <c r="J228" s="383">
        <f t="shared" si="166"/>
        <v>8231.5760184050578</v>
      </c>
      <c r="K228" s="383">
        <f t="shared" si="166"/>
        <v>11885.163158703366</v>
      </c>
      <c r="L228" s="383">
        <f t="shared" si="166"/>
        <v>15874.912834021592</v>
      </c>
      <c r="M228" s="383">
        <f t="shared" si="166"/>
        <v>20153.972575389565</v>
      </c>
      <c r="N228" s="383">
        <f t="shared" si="166"/>
        <v>24673.359871778899</v>
      </c>
      <c r="O228" s="383">
        <f t="shared" si="166"/>
        <v>29384.923194923176</v>
      </c>
      <c r="P228" s="383">
        <f t="shared" si="166"/>
        <v>34243.40695407911</v>
      </c>
      <c r="Q228" s="383">
        <f t="shared" si="166"/>
        <v>39207.699434182439</v>
      </c>
      <c r="R228" s="383">
        <f t="shared" si="166"/>
        <v>42154.919236325703</v>
      </c>
    </row>
    <row r="229" spans="2:21" outlineLevel="1" x14ac:dyDescent="0.25">
      <c r="B229" s="356" t="s">
        <v>501</v>
      </c>
      <c r="C229" s="384"/>
      <c r="D229" s="384"/>
      <c r="E229" s="384"/>
      <c r="F229" s="384"/>
      <c r="G229" s="384"/>
      <c r="H229" s="384">
        <f>H211+H212+H213-H228</f>
        <v>18778.533262600784</v>
      </c>
      <c r="I229" s="384">
        <f t="shared" ref="I229:R229" si="167">I211+I212+I213-I228</f>
        <v>38960.238271060633</v>
      </c>
      <c r="J229" s="384">
        <f t="shared" si="167"/>
        <v>60073.446329136626</v>
      </c>
      <c r="K229" s="384">
        <f t="shared" si="167"/>
        <v>81551.923254132271</v>
      </c>
      <c r="L229" s="384">
        <f t="shared" si="167"/>
        <v>102776.6174073806</v>
      </c>
      <c r="M229" s="384">
        <f t="shared" si="167"/>
        <v>123114.36543904363</v>
      </c>
      <c r="N229" s="384">
        <f t="shared" si="167"/>
        <v>141949.35311872876</v>
      </c>
      <c r="O229" s="384">
        <f t="shared" si="167"/>
        <v>158705.65215800781</v>
      </c>
      <c r="P229" s="384">
        <f t="shared" si="167"/>
        <v>172861.07869255758</v>
      </c>
      <c r="Q229" s="384">
        <f t="shared" si="167"/>
        <v>183953.74713969676</v>
      </c>
      <c r="R229" s="384">
        <f t="shared" si="167"/>
        <v>193669.63119928335</v>
      </c>
    </row>
    <row r="230" spans="2:21" outlineLevel="1" x14ac:dyDescent="0.25">
      <c r="B230" s="354"/>
      <c r="C230" s="80"/>
      <c r="D230" s="80"/>
      <c r="E230" s="80"/>
      <c r="F230" s="80"/>
      <c r="G230" s="80"/>
      <c r="H230" s="80"/>
      <c r="I230" s="80"/>
      <c r="J230" s="80"/>
      <c r="K230" s="80"/>
      <c r="L230" s="80"/>
      <c r="M230" s="80"/>
      <c r="N230" s="80"/>
      <c r="O230" s="80"/>
      <c r="P230" s="80"/>
      <c r="Q230" s="80"/>
      <c r="R230" s="80"/>
    </row>
    <row r="231" spans="2:21" outlineLevel="1" x14ac:dyDescent="0.25">
      <c r="B231" s="356" t="s">
        <v>513</v>
      </c>
      <c r="C231" s="384">
        <f>'Raw Data'!C144</f>
        <v>11660</v>
      </c>
      <c r="D231" s="384">
        <f>'Raw Data'!D144</f>
        <v>19304</v>
      </c>
      <c r="E231" s="384">
        <f>'Raw Data'!E144</f>
        <v>24423</v>
      </c>
      <c r="F231" s="384">
        <f>'Raw Data'!F144</f>
        <v>26979</v>
      </c>
      <c r="G231" s="384">
        <f>'Raw Data'!G144</f>
        <v>28434</v>
      </c>
      <c r="H231" s="384">
        <f>H229+H208</f>
        <v>33925.630036794333</v>
      </c>
      <c r="I231" s="384">
        <f t="shared" ref="I231:R231" si="168">I229+I208</f>
        <v>51194.431819447724</v>
      </c>
      <c r="J231" s="384">
        <f t="shared" si="168"/>
        <v>69394.736651717263</v>
      </c>
      <c r="K231" s="384">
        <f t="shared" si="168"/>
        <v>87960.310350906468</v>
      </c>
      <c r="L231" s="384">
        <f t="shared" si="168"/>
        <v>106272.10127834835</v>
      </c>
      <c r="M231" s="384">
        <f t="shared" si="168"/>
        <v>123696.94608420492</v>
      </c>
      <c r="N231" s="384">
        <f t="shared" si="168"/>
        <v>141949.35311872876</v>
      </c>
      <c r="O231" s="384">
        <f t="shared" si="168"/>
        <v>158705.65215800781</v>
      </c>
      <c r="P231" s="384">
        <f t="shared" si="168"/>
        <v>172861.07869255758</v>
      </c>
      <c r="Q231" s="384">
        <f t="shared" si="168"/>
        <v>183953.74713969676</v>
      </c>
      <c r="R231" s="384">
        <f t="shared" si="168"/>
        <v>193669.63119928335</v>
      </c>
    </row>
    <row r="232" spans="2:21" outlineLevel="1" x14ac:dyDescent="0.25">
      <c r="B232" s="354" t="s">
        <v>510</v>
      </c>
      <c r="C232" s="425">
        <f>-'Raw Data'!C146</f>
        <v>-4111</v>
      </c>
      <c r="D232" s="425">
        <f>-'Raw Data'!D146</f>
        <v>-6121</v>
      </c>
      <c r="E232" s="425">
        <f>-'Raw Data'!E146</f>
        <v>-8131</v>
      </c>
      <c r="F232" s="425">
        <f>-'Raw Data'!F146</f>
        <v>-9884</v>
      </c>
      <c r="G232" s="425">
        <f>-'Raw Data'!G146</f>
        <v>-10374</v>
      </c>
      <c r="H232" s="482"/>
      <c r="I232" s="482"/>
      <c r="J232" s="482"/>
      <c r="K232" s="482"/>
      <c r="L232" s="482"/>
      <c r="M232" s="482"/>
      <c r="N232" s="482"/>
      <c r="O232" s="482"/>
      <c r="P232" s="482"/>
      <c r="Q232" s="482"/>
      <c r="R232" s="482"/>
    </row>
    <row r="233" spans="2:21" outlineLevel="1" x14ac:dyDescent="0.25">
      <c r="B233" s="361" t="s">
        <v>512</v>
      </c>
      <c r="C233" s="387">
        <f>SUM(C231:C232)</f>
        <v>7549</v>
      </c>
      <c r="D233" s="387">
        <f t="shared" ref="D233:G233" si="169">SUM(D231:D232)</f>
        <v>13183</v>
      </c>
      <c r="E233" s="387">
        <f t="shared" si="169"/>
        <v>16292</v>
      </c>
      <c r="F233" s="387">
        <f t="shared" si="169"/>
        <v>17095</v>
      </c>
      <c r="G233" s="387">
        <f t="shared" si="169"/>
        <v>18060</v>
      </c>
      <c r="H233" s="387">
        <f t="shared" ref="H233" si="170">SUM(H231:H232)</f>
        <v>33925.630036794333</v>
      </c>
      <c r="I233" s="387">
        <f t="shared" ref="I233" si="171">SUM(I231:I232)</f>
        <v>51194.431819447724</v>
      </c>
      <c r="J233" s="387">
        <f t="shared" ref="J233" si="172">SUM(J231:J232)</f>
        <v>69394.736651717263</v>
      </c>
      <c r="K233" s="387">
        <f t="shared" ref="K233" si="173">SUM(K231:K232)</f>
        <v>87960.310350906468</v>
      </c>
      <c r="L233" s="387">
        <f t="shared" ref="L233" si="174">SUM(L231:L232)</f>
        <v>106272.10127834835</v>
      </c>
      <c r="M233" s="387">
        <f t="shared" ref="M233" si="175">SUM(M231:M232)</f>
        <v>123696.94608420492</v>
      </c>
      <c r="N233" s="387">
        <f t="shared" ref="N233" si="176">SUM(N231:N232)</f>
        <v>141949.35311872876</v>
      </c>
      <c r="O233" s="387">
        <f t="shared" ref="O233" si="177">SUM(O231:O232)</f>
        <v>158705.65215800781</v>
      </c>
      <c r="P233" s="387">
        <f t="shared" ref="P233" si="178">SUM(P231:P232)</f>
        <v>172861.07869255758</v>
      </c>
      <c r="Q233" s="387">
        <f t="shared" ref="Q233" si="179">SUM(Q231:Q232)</f>
        <v>183953.74713969676</v>
      </c>
      <c r="R233" s="387">
        <f t="shared" ref="R233" si="180">SUM(R231:R232)</f>
        <v>193669.63119928335</v>
      </c>
    </row>
    <row r="234" spans="2:21" outlineLevel="1" x14ac:dyDescent="0.25">
      <c r="B234" s="354"/>
      <c r="C234" s="23"/>
      <c r="D234" s="23"/>
      <c r="E234" s="23"/>
      <c r="F234" s="23"/>
      <c r="G234" s="23"/>
      <c r="H234" s="23"/>
      <c r="I234" s="23"/>
      <c r="J234" s="23"/>
      <c r="K234" s="23"/>
      <c r="L234" s="23"/>
      <c r="M234" s="23"/>
      <c r="N234" s="23"/>
      <c r="O234" s="23"/>
      <c r="P234" s="23"/>
      <c r="Q234" s="23"/>
      <c r="R234" s="23"/>
    </row>
    <row r="235" spans="2:21" outlineLevel="1" x14ac:dyDescent="0.25">
      <c r="B235" s="364" t="s">
        <v>507</v>
      </c>
      <c r="C235" s="476"/>
      <c r="D235" s="476"/>
      <c r="E235" s="476"/>
      <c r="F235" s="476"/>
      <c r="G235" s="476"/>
      <c r="H235" s="386">
        <f>H206+H213</f>
        <v>379.26000000000005</v>
      </c>
      <c r="I235" s="386">
        <f t="shared" ref="I235:R235" si="181">I206+I213</f>
        <v>712.43823077268098</v>
      </c>
      <c r="J235" s="386">
        <f t="shared" si="181"/>
        <v>1075.0830682084024</v>
      </c>
      <c r="K235" s="386">
        <f t="shared" si="181"/>
        <v>1457.2894696860628</v>
      </c>
      <c r="L235" s="386">
        <f t="shared" si="181"/>
        <v>1847.1665173690358</v>
      </c>
      <c r="M235" s="386">
        <f t="shared" si="181"/>
        <v>2231.7141268453156</v>
      </c>
      <c r="N235" s="386">
        <f t="shared" si="181"/>
        <v>2597.6358677683033</v>
      </c>
      <c r="O235" s="386">
        <f t="shared" si="181"/>
        <v>2980.9364154933041</v>
      </c>
      <c r="P235" s="386">
        <f t="shared" si="181"/>
        <v>3332.8186953181644</v>
      </c>
      <c r="Q235" s="386">
        <f t="shared" si="181"/>
        <v>3630.0826525437096</v>
      </c>
      <c r="R235" s="386">
        <f t="shared" si="181"/>
        <v>3863.028689933632</v>
      </c>
    </row>
    <row r="236" spans="2:21" outlineLevel="1" x14ac:dyDescent="0.25">
      <c r="B236" s="364" t="s">
        <v>508</v>
      </c>
      <c r="C236" s="476"/>
      <c r="D236" s="476"/>
      <c r="E236" s="476"/>
      <c r="F236" s="476"/>
      <c r="G236" s="476"/>
      <c r="H236" s="386">
        <f>(-H207-H206)-H226</f>
        <v>4999.4069216509833</v>
      </c>
      <c r="I236" s="386">
        <f t="shared" ref="I236:R236" si="182">(-I207-I206)-I226</f>
        <v>7473.6523332403585</v>
      </c>
      <c r="J236" s="386">
        <f t="shared" si="182"/>
        <v>10326.314240519236</v>
      </c>
      <c r="K236" s="386">
        <f t="shared" si="182"/>
        <v>13536.52401159795</v>
      </c>
      <c r="L236" s="386">
        <f t="shared" si="182"/>
        <v>17075.225671491266</v>
      </c>
      <c r="M236" s="386">
        <f t="shared" si="182"/>
        <v>20908.566835641024</v>
      </c>
      <c r="N236" s="386">
        <f t="shared" si="182"/>
        <v>22670.538842720271</v>
      </c>
      <c r="O236" s="386">
        <f t="shared" si="182"/>
        <v>26403.986779429873</v>
      </c>
      <c r="P236" s="386">
        <f t="shared" si="182"/>
        <v>30910.588258760945</v>
      </c>
      <c r="Q236" s="386">
        <f t="shared" si="182"/>
        <v>35577.616781638731</v>
      </c>
      <c r="R236" s="386">
        <f t="shared" si="182"/>
        <v>38291.890546392067</v>
      </c>
    </row>
    <row r="237" spans="2:21" outlineLevel="1" x14ac:dyDescent="0.25">
      <c r="B237" s="364"/>
      <c r="C237" s="80"/>
      <c r="D237" s="80"/>
      <c r="E237" s="80"/>
      <c r="F237" s="80"/>
      <c r="G237" s="80"/>
      <c r="H237" s="386"/>
      <c r="I237" s="386"/>
      <c r="J237" s="386"/>
      <c r="K237" s="386"/>
      <c r="L237" s="386"/>
      <c r="M237" s="386"/>
      <c r="N237" s="386"/>
      <c r="O237" s="386"/>
      <c r="P237" s="386"/>
      <c r="Q237" s="386"/>
      <c r="R237" s="386"/>
    </row>
    <row r="238" spans="2:21" outlineLevel="1" x14ac:dyDescent="0.25">
      <c r="B238" s="364"/>
      <c r="C238" s="80"/>
      <c r="D238" s="80"/>
      <c r="E238" s="80"/>
      <c r="F238" s="80"/>
      <c r="G238" s="80"/>
      <c r="H238" s="386"/>
      <c r="I238" s="386"/>
      <c r="J238" s="386"/>
      <c r="K238" s="386"/>
      <c r="L238" s="386"/>
      <c r="M238" s="386"/>
      <c r="N238" s="386"/>
      <c r="O238" s="386"/>
      <c r="P238" s="386"/>
      <c r="Q238" s="386"/>
      <c r="R238" s="386"/>
    </row>
    <row r="239" spans="2:21" outlineLevel="1" x14ac:dyDescent="0.25">
      <c r="B239" s="352" t="s">
        <v>288</v>
      </c>
      <c r="C239" s="353"/>
      <c r="D239" s="353"/>
      <c r="E239" s="353"/>
      <c r="F239" s="353"/>
      <c r="G239" s="353"/>
      <c r="H239" s="353"/>
      <c r="I239" s="353"/>
      <c r="J239" s="353"/>
      <c r="K239" s="353"/>
      <c r="L239" s="353"/>
      <c r="M239" s="353"/>
      <c r="N239" s="353"/>
      <c r="O239" s="353"/>
      <c r="P239" s="353"/>
      <c r="Q239" s="353"/>
      <c r="R239" s="353"/>
    </row>
    <row r="240" spans="2:21" ht="5.4" customHeight="1" outlineLevel="1" x14ac:dyDescent="0.25">
      <c r="B240" s="192"/>
      <c r="C240" s="53"/>
      <c r="D240" s="53"/>
      <c r="E240" s="53"/>
      <c r="F240" s="53"/>
      <c r="G240" s="53"/>
      <c r="H240" s="53"/>
      <c r="I240" s="53"/>
      <c r="J240" s="53"/>
      <c r="K240" s="53"/>
      <c r="L240" s="53"/>
      <c r="M240" s="53"/>
      <c r="N240" s="53"/>
      <c r="O240" s="53"/>
      <c r="P240" s="53"/>
      <c r="Q240" s="53"/>
      <c r="R240" s="53"/>
    </row>
    <row r="241" spans="2:21" outlineLevel="1" x14ac:dyDescent="0.25">
      <c r="B241" s="357" t="s">
        <v>491</v>
      </c>
      <c r="C241" s="358"/>
      <c r="D241" s="358"/>
      <c r="E241" s="358"/>
      <c r="F241" s="358"/>
      <c r="G241" s="358"/>
      <c r="H241" s="358"/>
      <c r="I241" s="358"/>
      <c r="J241" s="358"/>
      <c r="K241" s="358"/>
      <c r="L241" s="358"/>
      <c r="M241" s="358"/>
      <c r="N241" s="358"/>
      <c r="O241" s="358"/>
      <c r="P241" s="358"/>
      <c r="Q241" s="358"/>
      <c r="R241" s="359"/>
    </row>
    <row r="242" spans="2:21" ht="5.4" customHeight="1" outlineLevel="1" x14ac:dyDescent="0.25">
      <c r="B242" s="289"/>
    </row>
    <row r="243" spans="2:21" outlineLevel="1" x14ac:dyDescent="0.25">
      <c r="B243" s="354" t="s">
        <v>386</v>
      </c>
      <c r="C243" s="476"/>
      <c r="D243" s="476"/>
      <c r="E243" s="476"/>
      <c r="F243" s="476"/>
      <c r="G243" s="383">
        <f>F250</f>
        <v>25141</v>
      </c>
      <c r="H243" s="383">
        <f>G250</f>
        <v>37553</v>
      </c>
      <c r="I243" s="383">
        <f t="shared" ref="I243:R243" si="183">H250</f>
        <v>49957.829183163245</v>
      </c>
      <c r="J243" s="383">
        <f t="shared" si="183"/>
        <v>64131.248748537182</v>
      </c>
      <c r="K243" s="383">
        <f t="shared" si="183"/>
        <v>79798.966649955008</v>
      </c>
      <c r="L243" s="383">
        <f t="shared" si="183"/>
        <v>96606.099850725834</v>
      </c>
      <c r="M243" s="383">
        <f t="shared" si="183"/>
        <v>114148.14871816759</v>
      </c>
      <c r="N243" s="383">
        <f t="shared" si="183"/>
        <v>132000.45363500598</v>
      </c>
      <c r="O243" s="383">
        <f t="shared" si="183"/>
        <v>149742.68434281406</v>
      </c>
      <c r="P243" s="383">
        <f t="shared" si="183"/>
        <v>166976.85383327759</v>
      </c>
      <c r="Q243" s="383">
        <f t="shared" si="183"/>
        <v>183338.86428561239</v>
      </c>
      <c r="R243" s="383">
        <f t="shared" si="183"/>
        <v>198504.50758030073</v>
      </c>
    </row>
    <row r="244" spans="2:21" outlineLevel="1" x14ac:dyDescent="0.25">
      <c r="B244" s="354" t="s">
        <v>277</v>
      </c>
      <c r="C244" s="476"/>
      <c r="D244" s="476"/>
      <c r="E244" s="476"/>
      <c r="F244" s="476"/>
      <c r="G244" s="425">
        <f>'Raw Data'!G153</f>
        <v>16217</v>
      </c>
      <c r="H244" s="383">
        <f>H263</f>
        <v>16563.296754400562</v>
      </c>
      <c r="I244" s="383">
        <f t="shared" ref="I244:R244" si="184">I263</f>
        <v>19641.307646369201</v>
      </c>
      <c r="J244" s="383">
        <f t="shared" si="184"/>
        <v>22645.292124014031</v>
      </c>
      <c r="K244" s="383">
        <f t="shared" si="184"/>
        <v>25483.615096464673</v>
      </c>
      <c r="L244" s="383">
        <f t="shared" si="184"/>
        <v>28091.282960502434</v>
      </c>
      <c r="M244" s="383">
        <f t="shared" si="184"/>
        <v>30430.220367748989</v>
      </c>
      <c r="N244" s="383">
        <f t="shared" si="184"/>
        <v>32485.870884341457</v>
      </c>
      <c r="O244" s="383">
        <f t="shared" si="184"/>
        <v>34261.938928925265</v>
      </c>
      <c r="P244" s="383">
        <f t="shared" si="184"/>
        <v>35774.764168710579</v>
      </c>
      <c r="Q244" s="383">
        <f t="shared" si="184"/>
        <v>37048.282511854413</v>
      </c>
      <c r="R244" s="383">
        <f t="shared" si="184"/>
        <v>38110.021990416317</v>
      </c>
    </row>
    <row r="245" spans="2:21" outlineLevel="1" x14ac:dyDescent="0.25">
      <c r="B245" s="202"/>
      <c r="C245" s="23"/>
      <c r="D245" s="23"/>
      <c r="E245" s="23"/>
      <c r="F245" s="23"/>
      <c r="G245" s="23"/>
      <c r="H245" s="23"/>
      <c r="I245" s="23"/>
      <c r="J245" s="23"/>
      <c r="K245" s="23"/>
      <c r="L245" s="23"/>
      <c r="M245" s="23"/>
      <c r="N245" s="23"/>
      <c r="O245" s="23"/>
      <c r="P245" s="23"/>
      <c r="Q245" s="23"/>
      <c r="R245" s="23"/>
    </row>
    <row r="246" spans="2:21" outlineLevel="1" x14ac:dyDescent="0.25">
      <c r="B246" s="354" t="s">
        <v>489</v>
      </c>
      <c r="C246" s="476"/>
      <c r="D246" s="476"/>
      <c r="E246" s="476"/>
      <c r="F246" s="476"/>
      <c r="G246" s="476"/>
      <c r="H246" s="383">
        <f>H258+H257</f>
        <v>-3054.2477876106195</v>
      </c>
      <c r="I246" s="383">
        <f t="shared" ref="I246:R246" si="185">I258+I257</f>
        <v>-3054.2477876106195</v>
      </c>
      <c r="J246" s="383">
        <f t="shared" si="185"/>
        <v>-3054.2477876106195</v>
      </c>
      <c r="K246" s="383">
        <f t="shared" si="185"/>
        <v>-3054.2477876106195</v>
      </c>
      <c r="L246" s="383">
        <f t="shared" si="185"/>
        <v>-3054.2477876106191</v>
      </c>
      <c r="M246" s="383">
        <f t="shared" si="185"/>
        <v>-3054.2477876106191</v>
      </c>
      <c r="N246" s="383">
        <f t="shared" si="185"/>
        <v>-3054.2477876106191</v>
      </c>
      <c r="O246" s="383">
        <f t="shared" si="185"/>
        <v>-3054.2477876106191</v>
      </c>
      <c r="P246" s="383">
        <f t="shared" si="185"/>
        <v>-3054.2477876106191</v>
      </c>
      <c r="Q246" s="383">
        <f t="shared" si="185"/>
        <v>-3054.2477876106191</v>
      </c>
      <c r="R246" s="383">
        <f t="shared" si="185"/>
        <v>-3054.2477876106191</v>
      </c>
      <c r="S246" s="23"/>
      <c r="T246" s="23"/>
      <c r="U246" s="23"/>
    </row>
    <row r="247" spans="2:21" outlineLevel="1" x14ac:dyDescent="0.25">
      <c r="B247" s="202" t="s">
        <v>588</v>
      </c>
      <c r="C247" s="476"/>
      <c r="D247" s="476"/>
      <c r="E247" s="476"/>
      <c r="F247" s="476"/>
      <c r="G247" s="476"/>
      <c r="H247" s="383">
        <f>-H279+H264</f>
        <v>-1104.2197836267042</v>
      </c>
      <c r="I247" s="383">
        <f t="shared" ref="I247:R247" si="186">-I279+I264</f>
        <v>-2413.6402933846512</v>
      </c>
      <c r="J247" s="383">
        <f t="shared" si="186"/>
        <v>-3923.3264349855867</v>
      </c>
      <c r="K247" s="383">
        <f t="shared" si="186"/>
        <v>-5622.2341080832321</v>
      </c>
      <c r="L247" s="383">
        <f t="shared" si="186"/>
        <v>-7494.9863054500611</v>
      </c>
      <c r="M247" s="383">
        <f t="shared" si="186"/>
        <v>-9523.6676632999934</v>
      </c>
      <c r="N247" s="383">
        <f t="shared" si="186"/>
        <v>-11689.392388922757</v>
      </c>
      <c r="O247" s="383">
        <f t="shared" si="186"/>
        <v>-13973.521650851106</v>
      </c>
      <c r="P247" s="383">
        <f t="shared" si="186"/>
        <v>-16358.505928765146</v>
      </c>
      <c r="Q247" s="383">
        <f t="shared" si="186"/>
        <v>-18828.391429555439</v>
      </c>
      <c r="R247" s="383">
        <f t="shared" si="186"/>
        <v>-21369.059562249859</v>
      </c>
    </row>
    <row r="248" spans="2:21" outlineLevel="1" x14ac:dyDescent="0.25">
      <c r="B248" s="368" t="s">
        <v>589</v>
      </c>
      <c r="C248" s="481"/>
      <c r="D248" s="481"/>
      <c r="E248" s="481"/>
      <c r="F248" s="481"/>
      <c r="G248" s="384">
        <f>G250-G244-G243</f>
        <v>-3805</v>
      </c>
      <c r="H248" s="384">
        <f>SUM(H246:H247)</f>
        <v>-4158.4675712373237</v>
      </c>
      <c r="I248" s="384">
        <f t="shared" ref="I248:R248" si="187">SUM(I246:I247)</f>
        <v>-5467.8880809952707</v>
      </c>
      <c r="J248" s="384">
        <f t="shared" si="187"/>
        <v>-6977.5742225962058</v>
      </c>
      <c r="K248" s="384">
        <f t="shared" si="187"/>
        <v>-8676.4818956938507</v>
      </c>
      <c r="L248" s="384">
        <f t="shared" si="187"/>
        <v>-10549.234093060681</v>
      </c>
      <c r="M248" s="384">
        <f t="shared" si="187"/>
        <v>-12577.915450910612</v>
      </c>
      <c r="N248" s="384">
        <f t="shared" si="187"/>
        <v>-14743.640176533376</v>
      </c>
      <c r="O248" s="384">
        <f t="shared" si="187"/>
        <v>-17027.769438461724</v>
      </c>
      <c r="P248" s="384">
        <f t="shared" si="187"/>
        <v>-19412.753716375766</v>
      </c>
      <c r="Q248" s="384">
        <f t="shared" si="187"/>
        <v>-21882.639217166059</v>
      </c>
      <c r="R248" s="384">
        <f t="shared" si="187"/>
        <v>-24423.307349860479</v>
      </c>
    </row>
    <row r="249" spans="2:21" outlineLevel="1" x14ac:dyDescent="0.25">
      <c r="B249" s="349"/>
      <c r="C249" s="23"/>
      <c r="D249" s="23"/>
      <c r="E249" s="23"/>
      <c r="F249" s="23"/>
      <c r="G249" s="23"/>
      <c r="H249" s="351"/>
      <c r="I249" s="351"/>
      <c r="J249" s="383"/>
      <c r="K249" s="383"/>
      <c r="L249" s="383"/>
      <c r="M249" s="383"/>
      <c r="N249" s="383"/>
      <c r="O249" s="383"/>
      <c r="P249" s="383"/>
      <c r="Q249" s="383"/>
      <c r="R249" s="383"/>
      <c r="S249" s="383"/>
      <c r="T249" s="383"/>
      <c r="U249" s="383"/>
    </row>
    <row r="250" spans="2:21" outlineLevel="1" x14ac:dyDescent="0.25">
      <c r="B250" s="361" t="s">
        <v>492</v>
      </c>
      <c r="C250" s="387">
        <f>C70</f>
        <v>0</v>
      </c>
      <c r="D250" s="387">
        <f t="shared" ref="D250:G250" si="188">D70</f>
        <v>0</v>
      </c>
      <c r="E250" s="387">
        <f t="shared" si="188"/>
        <v>0</v>
      </c>
      <c r="F250" s="387">
        <f t="shared" si="188"/>
        <v>25141</v>
      </c>
      <c r="G250" s="387">
        <f t="shared" si="188"/>
        <v>37553</v>
      </c>
      <c r="H250" s="387">
        <f>H243+H244+H248</f>
        <v>49957.829183163245</v>
      </c>
      <c r="I250" s="387">
        <f t="shared" ref="I250:R250" si="189">I243+I244+I248</f>
        <v>64131.248748537182</v>
      </c>
      <c r="J250" s="387">
        <f t="shared" si="189"/>
        <v>79798.966649955008</v>
      </c>
      <c r="K250" s="387">
        <f t="shared" si="189"/>
        <v>96606.099850725834</v>
      </c>
      <c r="L250" s="387">
        <f t="shared" si="189"/>
        <v>114148.14871816759</v>
      </c>
      <c r="M250" s="387">
        <f t="shared" si="189"/>
        <v>132000.45363500598</v>
      </c>
      <c r="N250" s="387">
        <f t="shared" si="189"/>
        <v>149742.68434281406</v>
      </c>
      <c r="O250" s="387">
        <f t="shared" si="189"/>
        <v>166976.85383327759</v>
      </c>
      <c r="P250" s="387">
        <f t="shared" si="189"/>
        <v>183338.86428561239</v>
      </c>
      <c r="Q250" s="387">
        <f t="shared" si="189"/>
        <v>198504.50758030073</v>
      </c>
      <c r="R250" s="387">
        <f t="shared" si="189"/>
        <v>212191.22222085658</v>
      </c>
      <c r="S250" s="383"/>
      <c r="T250" s="383"/>
      <c r="U250" s="383"/>
    </row>
    <row r="251" spans="2:21" outlineLevel="1" x14ac:dyDescent="0.25">
      <c r="B251" s="360"/>
      <c r="C251" s="41"/>
      <c r="D251" s="41"/>
      <c r="E251" s="41"/>
      <c r="F251" s="386"/>
      <c r="G251" s="386"/>
      <c r="H251" s="386"/>
      <c r="I251" s="386"/>
      <c r="J251" s="386"/>
      <c r="K251" s="386"/>
      <c r="L251" s="386"/>
      <c r="M251" s="386"/>
      <c r="N251" s="386"/>
      <c r="O251" s="386"/>
      <c r="P251" s="386"/>
      <c r="Q251" s="386"/>
      <c r="R251" s="386"/>
      <c r="S251" s="383"/>
      <c r="T251" s="383"/>
      <c r="U251" s="383"/>
    </row>
    <row r="252" spans="2:21" outlineLevel="1" x14ac:dyDescent="0.25">
      <c r="B252" s="1"/>
      <c r="C252" s="80"/>
      <c r="D252" s="80"/>
      <c r="E252" s="80"/>
      <c r="F252" s="80"/>
      <c r="G252" s="80"/>
      <c r="H252" s="80"/>
      <c r="I252" s="80"/>
      <c r="J252" s="80"/>
      <c r="K252" s="80"/>
      <c r="L252" s="80"/>
      <c r="M252" s="80"/>
      <c r="N252" s="80"/>
      <c r="O252" s="80"/>
      <c r="P252" s="80"/>
      <c r="Q252" s="80"/>
      <c r="R252" s="80"/>
    </row>
    <row r="253" spans="2:21" outlineLevel="1" x14ac:dyDescent="0.25">
      <c r="B253" s="357" t="s">
        <v>385</v>
      </c>
      <c r="C253" s="358"/>
      <c r="D253" s="358"/>
      <c r="E253" s="358"/>
      <c r="F253" s="358"/>
      <c r="G253" s="358"/>
      <c r="H253" s="358"/>
      <c r="I253" s="358"/>
      <c r="J253" s="358"/>
      <c r="K253" s="358"/>
      <c r="L253" s="358"/>
      <c r="M253" s="358"/>
      <c r="N253" s="358"/>
      <c r="O253" s="358"/>
      <c r="P253" s="358"/>
      <c r="Q253" s="358"/>
      <c r="R253" s="359"/>
    </row>
    <row r="254" spans="2:21" ht="5.4" customHeight="1" outlineLevel="1" x14ac:dyDescent="0.25">
      <c r="C254" s="80"/>
      <c r="D254" s="80"/>
      <c r="E254" s="80"/>
      <c r="F254" s="80"/>
      <c r="G254" s="80"/>
      <c r="H254" s="80"/>
      <c r="I254" s="80"/>
      <c r="J254" s="80"/>
      <c r="K254" s="80"/>
      <c r="L254" s="80"/>
      <c r="M254" s="80"/>
      <c r="N254" s="80"/>
      <c r="O254" s="80"/>
      <c r="P254" s="80"/>
      <c r="Q254" s="80"/>
      <c r="R254" s="80"/>
    </row>
    <row r="255" spans="2:21" outlineLevel="1" x14ac:dyDescent="0.25">
      <c r="B255" s="362" t="s">
        <v>493</v>
      </c>
      <c r="C255" s="239"/>
      <c r="D255" s="239"/>
      <c r="E255" s="239"/>
      <c r="F255" s="239"/>
      <c r="G255" s="239"/>
      <c r="H255" s="239"/>
      <c r="I255" s="239"/>
      <c r="J255" s="239"/>
      <c r="K255" s="239"/>
      <c r="L255" s="239"/>
      <c r="M255" s="239"/>
      <c r="N255" s="239"/>
      <c r="O255" s="239"/>
      <c r="P255" s="239"/>
      <c r="Q255" s="239"/>
      <c r="R255" s="239"/>
    </row>
    <row r="256" spans="2:21" outlineLevel="1" x14ac:dyDescent="0.25">
      <c r="B256" s="354" t="s">
        <v>494</v>
      </c>
      <c r="C256" s="476"/>
      <c r="D256" s="476"/>
      <c r="E256" s="476"/>
      <c r="F256" s="476"/>
      <c r="G256" s="476"/>
      <c r="H256" s="383">
        <f>G284</f>
        <v>34513</v>
      </c>
      <c r="I256" s="383">
        <f>H259</f>
        <v>31458.75221238938</v>
      </c>
      <c r="J256" s="383">
        <f t="shared" ref="J256:R256" si="190">I259</f>
        <v>28404.504424778759</v>
      </c>
      <c r="K256" s="383">
        <f t="shared" si="190"/>
        <v>25350.256637168139</v>
      </c>
      <c r="L256" s="383">
        <f t="shared" si="190"/>
        <v>22296.008849557522</v>
      </c>
      <c r="M256" s="383">
        <f t="shared" si="190"/>
        <v>19241.761061946905</v>
      </c>
      <c r="N256" s="383">
        <f t="shared" si="190"/>
        <v>16187.513274336285</v>
      </c>
      <c r="O256" s="383">
        <f t="shared" si="190"/>
        <v>13133.265486725664</v>
      </c>
      <c r="P256" s="383">
        <f t="shared" si="190"/>
        <v>10079.017699115044</v>
      </c>
      <c r="Q256" s="383">
        <f t="shared" si="190"/>
        <v>7024.7699115044252</v>
      </c>
      <c r="R256" s="383">
        <f t="shared" si="190"/>
        <v>3970.5221238938057</v>
      </c>
      <c r="S256" s="383"/>
      <c r="T256" s="383"/>
      <c r="U256" s="383"/>
    </row>
    <row r="257" spans="2:21" outlineLevel="1" x14ac:dyDescent="0.25">
      <c r="B257" s="354" t="s">
        <v>388</v>
      </c>
      <c r="C257" s="476"/>
      <c r="D257" s="476"/>
      <c r="E257" s="476"/>
      <c r="F257" s="476"/>
      <c r="G257" s="476"/>
      <c r="H257" s="383">
        <f>H256*'Control Panel'!$N$45</f>
        <v>862.82500000000005</v>
      </c>
      <c r="I257" s="383">
        <f>I256*'Control Panel'!$N$45</f>
        <v>786.46880530973453</v>
      </c>
      <c r="J257" s="383">
        <f>J256*'Control Panel'!$N$45</f>
        <v>710.11261061946902</v>
      </c>
      <c r="K257" s="383">
        <f>K256*'Control Panel'!$N$45</f>
        <v>633.75641592920351</v>
      </c>
      <c r="L257" s="383">
        <f>L256*'Control Panel'!$N$45</f>
        <v>557.40022123893812</v>
      </c>
      <c r="M257" s="383">
        <f>M256*'Control Panel'!$N$45</f>
        <v>481.04402654867266</v>
      </c>
      <c r="N257" s="383">
        <f>N256*'Control Panel'!$N$45</f>
        <v>404.68783185840715</v>
      </c>
      <c r="O257" s="383">
        <f>O256*'Control Panel'!$N$45</f>
        <v>328.33163716814164</v>
      </c>
      <c r="P257" s="383">
        <f>P256*'Control Panel'!$N$45</f>
        <v>251.9754424778761</v>
      </c>
      <c r="Q257" s="383">
        <f>Q256*'Control Panel'!$N$45</f>
        <v>175.61924778761065</v>
      </c>
      <c r="R257" s="383">
        <f>R256*'Control Panel'!$N$45</f>
        <v>99.26305309734515</v>
      </c>
      <c r="S257" s="383"/>
      <c r="T257" s="383"/>
      <c r="U257" s="383"/>
    </row>
    <row r="258" spans="2:21" outlineLevel="1" x14ac:dyDescent="0.25">
      <c r="B258" s="354" t="s">
        <v>495</v>
      </c>
      <c r="C258" s="476"/>
      <c r="D258" s="476"/>
      <c r="E258" s="476"/>
      <c r="F258" s="476"/>
      <c r="G258" s="476"/>
      <c r="H258" s="383">
        <f>IF($H$256/'Control Panel'!$N$46&lt;'Financial Statements'!H256,-'Financial Statements'!$H$256/'Control Panel'!$N$46-'Financial Statements'!H257,-'Financial Statements'!H256-'Financial Statements'!H257)</f>
        <v>-3917.0727876106193</v>
      </c>
      <c r="I258" s="383">
        <f>IF($H$256/'Control Panel'!$N$46&lt;'Financial Statements'!I256,-'Financial Statements'!$H$256/'Control Panel'!$N$46-'Financial Statements'!I257,-'Financial Statements'!I256-'Financial Statements'!I257)</f>
        <v>-3840.7165929203538</v>
      </c>
      <c r="J258" s="383">
        <f>IF($H$256/'Control Panel'!$N$46&lt;'Financial Statements'!J256,-'Financial Statements'!$H$256/'Control Panel'!$N$46-'Financial Statements'!J257,-'Financial Statements'!J256-'Financial Statements'!J257)</f>
        <v>-3764.3603982300883</v>
      </c>
      <c r="K258" s="383">
        <f>IF($H$256/'Control Panel'!$N$46&lt;'Financial Statements'!K256,-'Financial Statements'!$H$256/'Control Panel'!$N$46-'Financial Statements'!K257,-'Financial Statements'!K256-'Financial Statements'!K257)</f>
        <v>-3688.0042035398228</v>
      </c>
      <c r="L258" s="383">
        <f>IF($H$256/'Control Panel'!$N$46&lt;'Financial Statements'!L256,-'Financial Statements'!$H$256/'Control Panel'!$N$46-'Financial Statements'!L257,-'Financial Statements'!L256-'Financial Statements'!L257)</f>
        <v>-3611.6480088495573</v>
      </c>
      <c r="M258" s="383">
        <f>IF($H$256/'Control Panel'!$N$46&lt;'Financial Statements'!M256,-'Financial Statements'!$H$256/'Control Panel'!$N$46-'Financial Statements'!M257,-'Financial Statements'!M256-'Financial Statements'!M257)</f>
        <v>-3535.2918141592918</v>
      </c>
      <c r="N258" s="383">
        <f>IF($H$256/'Control Panel'!$N$46&lt;'Financial Statements'!N256,-'Financial Statements'!$H$256/'Control Panel'!$N$46-'Financial Statements'!N257,-'Financial Statements'!N256-'Financial Statements'!N257)</f>
        <v>-3458.9356194690263</v>
      </c>
      <c r="O258" s="383">
        <f>IF($H$256/'Control Panel'!$N$46&lt;'Financial Statements'!O256,-'Financial Statements'!$H$256/'Control Panel'!$N$46-'Financial Statements'!O257,-'Financial Statements'!O256-'Financial Statements'!O257)</f>
        <v>-3382.5794247787608</v>
      </c>
      <c r="P258" s="383">
        <f>IF($H$256/'Control Panel'!$N$46&lt;'Financial Statements'!P256,-'Financial Statements'!$H$256/'Control Panel'!$N$46-'Financial Statements'!P257,-'Financial Statements'!P256-'Financial Statements'!P257)</f>
        <v>-3306.2232300884953</v>
      </c>
      <c r="Q258" s="383">
        <f>IF($H$256/'Control Panel'!$N$46&lt;'Financial Statements'!Q256,-'Financial Statements'!$H$256/'Control Panel'!$N$46-'Financial Statements'!Q257,-'Financial Statements'!Q256-'Financial Statements'!Q257)</f>
        <v>-3229.8670353982297</v>
      </c>
      <c r="R258" s="383">
        <f>IF($H$256/'Control Panel'!$N$46&lt;'Financial Statements'!R256,-'Financial Statements'!$H$256/'Control Panel'!$N$46-'Financial Statements'!R257,-'Financial Statements'!R256-'Financial Statements'!R257)</f>
        <v>-3153.5108407079642</v>
      </c>
      <c r="S258" s="383"/>
      <c r="T258" s="383"/>
      <c r="U258" s="383"/>
    </row>
    <row r="259" spans="2:21" outlineLevel="1" x14ac:dyDescent="0.25">
      <c r="B259" s="356" t="s">
        <v>496</v>
      </c>
      <c r="C259" s="384"/>
      <c r="D259" s="384"/>
      <c r="E259" s="384"/>
      <c r="F259" s="384"/>
      <c r="G259" s="384"/>
      <c r="H259" s="384">
        <f>SUM(H256:H258)</f>
        <v>31458.75221238938</v>
      </c>
      <c r="I259" s="384">
        <f>SUM(I256:I258)</f>
        <v>28404.504424778759</v>
      </c>
      <c r="J259" s="384">
        <f t="shared" ref="J259:R259" si="191">SUM(J256:J258)</f>
        <v>25350.256637168139</v>
      </c>
      <c r="K259" s="384">
        <f t="shared" si="191"/>
        <v>22296.008849557522</v>
      </c>
      <c r="L259" s="384">
        <f t="shared" si="191"/>
        <v>19241.761061946905</v>
      </c>
      <c r="M259" s="384">
        <f t="shared" si="191"/>
        <v>16187.513274336285</v>
      </c>
      <c r="N259" s="384">
        <f t="shared" si="191"/>
        <v>13133.265486725664</v>
      </c>
      <c r="O259" s="384">
        <f t="shared" si="191"/>
        <v>10079.017699115044</v>
      </c>
      <c r="P259" s="384">
        <f t="shared" si="191"/>
        <v>7024.7699115044252</v>
      </c>
      <c r="Q259" s="384">
        <f t="shared" si="191"/>
        <v>3970.5221238938057</v>
      </c>
      <c r="R259" s="384">
        <f t="shared" si="191"/>
        <v>916.27433628318659</v>
      </c>
      <c r="S259" s="383"/>
      <c r="T259" s="383"/>
      <c r="U259" s="383"/>
    </row>
    <row r="260" spans="2:21" outlineLevel="1" x14ac:dyDescent="0.25">
      <c r="B260" s="354"/>
      <c r="C260" s="80"/>
      <c r="D260" s="80"/>
      <c r="E260" s="80"/>
      <c r="F260" s="80"/>
      <c r="G260" s="80"/>
      <c r="H260" s="80"/>
      <c r="I260" s="80"/>
      <c r="J260" s="80"/>
      <c r="K260" s="80"/>
      <c r="L260" s="80"/>
      <c r="M260" s="80"/>
      <c r="N260" s="80"/>
      <c r="O260" s="80"/>
      <c r="P260" s="80"/>
      <c r="Q260" s="80"/>
      <c r="R260" s="80"/>
    </row>
    <row r="261" spans="2:21" outlineLevel="1" x14ac:dyDescent="0.25">
      <c r="B261" s="372" t="s">
        <v>497</v>
      </c>
      <c r="C261" s="80"/>
      <c r="D261" s="80"/>
      <c r="E261" s="80"/>
      <c r="F261" s="80"/>
      <c r="G261" s="80"/>
      <c r="H261" s="80"/>
      <c r="I261" s="80"/>
      <c r="J261" s="80"/>
      <c r="K261" s="80"/>
      <c r="L261" s="80"/>
      <c r="M261" s="80"/>
      <c r="N261" s="80"/>
      <c r="O261" s="80"/>
      <c r="P261" s="80"/>
      <c r="Q261" s="80"/>
      <c r="R261" s="80"/>
    </row>
    <row r="262" spans="2:21" outlineLevel="1" x14ac:dyDescent="0.25">
      <c r="B262" s="356" t="s">
        <v>498</v>
      </c>
      <c r="C262" s="481"/>
      <c r="D262" s="481"/>
      <c r="E262" s="481"/>
      <c r="F262" s="481"/>
      <c r="G262" s="481"/>
      <c r="H262" s="384">
        <v>0</v>
      </c>
      <c r="I262" s="384">
        <f>H280</f>
        <v>15459.076970773858</v>
      </c>
      <c r="J262" s="384">
        <f t="shared" ref="J262:R262" si="192">I280</f>
        <v>32686.744323758408</v>
      </c>
      <c r="K262" s="384">
        <f t="shared" si="192"/>
        <v>51408.710012786847</v>
      </c>
      <c r="L262" s="384">
        <f t="shared" si="192"/>
        <v>71270.091001168286</v>
      </c>
      <c r="M262" s="384">
        <f t="shared" si="192"/>
        <v>91866.387656220657</v>
      </c>
      <c r="N262" s="384">
        <f t="shared" si="192"/>
        <v>112772.94036066964</v>
      </c>
      <c r="O262" s="384">
        <f t="shared" si="192"/>
        <v>133569.41885608836</v>
      </c>
      <c r="P262" s="384">
        <f t="shared" si="192"/>
        <v>153857.8361341625</v>
      </c>
      <c r="Q262" s="384">
        <f t="shared" si="192"/>
        <v>173274.09437410792</v>
      </c>
      <c r="R262" s="384">
        <f t="shared" si="192"/>
        <v>191493.98545640687</v>
      </c>
      <c r="S262" s="383"/>
      <c r="T262" s="383"/>
      <c r="U262" s="383"/>
    </row>
    <row r="263" spans="2:21" outlineLevel="1" x14ac:dyDescent="0.25">
      <c r="B263" s="354" t="s">
        <v>277</v>
      </c>
      <c r="C263" s="476"/>
      <c r="D263" s="476"/>
      <c r="E263" s="476"/>
      <c r="F263" s="476"/>
      <c r="G263" s="476"/>
      <c r="H263" s="383">
        <f>H32*'Control Panel'!$N$44</f>
        <v>16563.296754400562</v>
      </c>
      <c r="I263" s="383">
        <f>I32*'Control Panel'!$N$44</f>
        <v>19641.307646369201</v>
      </c>
      <c r="J263" s="383">
        <f>J32*'Control Panel'!$N$44</f>
        <v>22645.292124014031</v>
      </c>
      <c r="K263" s="383">
        <f>K32*'Control Panel'!$N$44</f>
        <v>25483.615096464673</v>
      </c>
      <c r="L263" s="383">
        <f>L32*'Control Panel'!$N$44</f>
        <v>28091.282960502434</v>
      </c>
      <c r="M263" s="383">
        <f>M32*'Control Panel'!$N$44</f>
        <v>30430.220367748989</v>
      </c>
      <c r="N263" s="383">
        <f>N32*'Control Panel'!$N$44</f>
        <v>32485.870884341457</v>
      </c>
      <c r="O263" s="383">
        <f>O32*'Control Panel'!$N$44</f>
        <v>34261.938928925265</v>
      </c>
      <c r="P263" s="383">
        <f>P32*'Control Panel'!$N$44</f>
        <v>35774.764168710579</v>
      </c>
      <c r="Q263" s="383">
        <f>Q32*'Control Panel'!$N$44</f>
        <v>37048.282511854413</v>
      </c>
      <c r="R263" s="383">
        <f>R32*'Control Panel'!$N$44</f>
        <v>38110.021990416317</v>
      </c>
      <c r="S263" s="383"/>
      <c r="T263" s="383"/>
      <c r="U263" s="383"/>
    </row>
    <row r="264" spans="2:21" outlineLevel="1" x14ac:dyDescent="0.25">
      <c r="B264" s="354" t="s">
        <v>388</v>
      </c>
      <c r="C264" s="476"/>
      <c r="D264" s="476"/>
      <c r="E264" s="476"/>
      <c r="F264" s="476"/>
      <c r="G264" s="476"/>
      <c r="H264" s="383">
        <f>H262*'Control Panel'!$N$45</f>
        <v>0</v>
      </c>
      <c r="I264" s="383">
        <f>I262*'Control Panel'!$N$45</f>
        <v>386.47692426934645</v>
      </c>
      <c r="J264" s="383">
        <f>J262*'Control Panel'!$N$45</f>
        <v>817.1686080939603</v>
      </c>
      <c r="K264" s="383">
        <f>K262*'Control Panel'!$N$45</f>
        <v>1285.2177503196713</v>
      </c>
      <c r="L264" s="383">
        <f>L262*'Control Panel'!$N$45</f>
        <v>1781.7522750292073</v>
      </c>
      <c r="M264" s="383">
        <f>M262*'Control Panel'!$N$45</f>
        <v>2296.6596914055167</v>
      </c>
      <c r="N264" s="383">
        <f>N262*'Control Panel'!$N$45</f>
        <v>2819.3235090167414</v>
      </c>
      <c r="O264" s="383">
        <f>O262*'Control Panel'!$N$45</f>
        <v>3339.2354714022094</v>
      </c>
      <c r="P264" s="383">
        <f>P262*'Control Panel'!$N$45</f>
        <v>3846.4459033540625</v>
      </c>
      <c r="Q264" s="383">
        <f>Q262*'Control Panel'!$N$45</f>
        <v>4331.8523593526979</v>
      </c>
      <c r="R264" s="383">
        <f>R262*'Control Panel'!$N$45</f>
        <v>4787.349636410172</v>
      </c>
      <c r="S264" s="383"/>
      <c r="T264" s="383"/>
      <c r="U264" s="383"/>
    </row>
    <row r="265" spans="2:21" outlineLevel="1" x14ac:dyDescent="0.25">
      <c r="B265" s="360" t="s">
        <v>502</v>
      </c>
      <c r="C265" s="80"/>
      <c r="D265" s="80"/>
      <c r="E265" s="80"/>
      <c r="F265" s="80"/>
      <c r="G265" s="80"/>
      <c r="H265" s="80"/>
      <c r="I265" s="80"/>
      <c r="J265" s="80"/>
      <c r="K265" s="80"/>
      <c r="M265" s="80"/>
      <c r="N265" s="80"/>
      <c r="O265" s="80"/>
      <c r="P265" s="80"/>
      <c r="Q265" s="80"/>
      <c r="R265" s="80"/>
      <c r="T265" s="80"/>
    </row>
    <row r="266" spans="2:21" outlineLevel="1" x14ac:dyDescent="0.25">
      <c r="B266" s="349">
        <f>$H$139</f>
        <v>2021</v>
      </c>
      <c r="C266" s="476"/>
      <c r="D266" s="476"/>
      <c r="E266" s="476"/>
      <c r="F266" s="476"/>
      <c r="G266" s="476"/>
      <c r="H266" s="383">
        <f>-H$263/'Control Panel'!$N$47</f>
        <v>-1104.2197836267042</v>
      </c>
      <c r="I266" s="383">
        <f>IF(I$139&gt;$B266+'Control Panel'!$N$47-1,0,'Financial Statements'!H266)</f>
        <v>-1104.2197836267042</v>
      </c>
      <c r="J266" s="383">
        <f>IF(J$139&gt;$B266+'Control Panel'!$N$47-1,0,'Financial Statements'!I266)</f>
        <v>-1104.2197836267042</v>
      </c>
      <c r="K266" s="383">
        <f>IF(K$139&gt;$B266+'Control Panel'!$N$47-1,0,'Financial Statements'!J266)</f>
        <v>-1104.2197836267042</v>
      </c>
      <c r="L266" s="383">
        <f>IF(L$139&gt;$B266+'Control Panel'!$N$47-1,0,'Financial Statements'!K266)</f>
        <v>-1104.2197836267042</v>
      </c>
      <c r="M266" s="383">
        <f>IF(M$139&gt;$B266+'Control Panel'!$N$47-1,0,'Financial Statements'!L266)</f>
        <v>-1104.2197836267042</v>
      </c>
      <c r="N266" s="383">
        <f>IF(N$139&gt;$B266+'Control Panel'!$N$47-1,0,'Financial Statements'!M266)</f>
        <v>-1104.2197836267042</v>
      </c>
      <c r="O266" s="383">
        <f>IF(O$139&gt;$B266+'Control Panel'!$N$47-1,0,'Financial Statements'!N266)</f>
        <v>-1104.2197836267042</v>
      </c>
      <c r="P266" s="383">
        <f>IF(P$139&gt;$B266+'Control Panel'!$N$47-1,0,'Financial Statements'!O266)</f>
        <v>-1104.2197836267042</v>
      </c>
      <c r="Q266" s="383">
        <f>IF(Q$139&gt;$B266+'Control Panel'!$N$47-1,0,'Financial Statements'!P266)</f>
        <v>-1104.2197836267042</v>
      </c>
      <c r="R266" s="383">
        <f>IF(R$139&gt;$B266+'Control Panel'!$N$47-1,0,'Financial Statements'!Q266)</f>
        <v>-1104.2197836267042</v>
      </c>
      <c r="S266" s="383"/>
      <c r="T266" s="383"/>
      <c r="U266" s="383"/>
    </row>
    <row r="267" spans="2:21" outlineLevel="1" x14ac:dyDescent="0.25">
      <c r="B267" s="349">
        <f>+B266+1</f>
        <v>2022</v>
      </c>
      <c r="C267" s="476"/>
      <c r="D267" s="476"/>
      <c r="E267" s="476"/>
      <c r="F267" s="476"/>
      <c r="G267" s="476"/>
      <c r="H267" s="476"/>
      <c r="I267" s="383">
        <f>-I$263/'Control Panel'!$N$47</f>
        <v>-1309.4205097579468</v>
      </c>
      <c r="J267" s="383">
        <f>IF(J$139&gt;$B267+'Control Panel'!$N$47-1,0,'Financial Statements'!I267)</f>
        <v>-1309.4205097579468</v>
      </c>
      <c r="K267" s="383">
        <f>IF(K$139&gt;$B267+'Control Panel'!$N$47-1,0,'Financial Statements'!J267)</f>
        <v>-1309.4205097579468</v>
      </c>
      <c r="L267" s="383">
        <f>IF(L$139&gt;$B267+'Control Panel'!$N$47-1,0,'Financial Statements'!K267)</f>
        <v>-1309.4205097579468</v>
      </c>
      <c r="M267" s="383">
        <f>IF(M$139&gt;$B267+'Control Panel'!$N$47-1,0,'Financial Statements'!L267)</f>
        <v>-1309.4205097579468</v>
      </c>
      <c r="N267" s="383">
        <f>IF(N$139&gt;$B267+'Control Panel'!$N$47-1,0,'Financial Statements'!M267)</f>
        <v>-1309.4205097579468</v>
      </c>
      <c r="O267" s="383">
        <f>IF(O$139&gt;$B267+'Control Panel'!$N$47-1,0,'Financial Statements'!N267)</f>
        <v>-1309.4205097579468</v>
      </c>
      <c r="P267" s="383">
        <f>IF(P$139&gt;$B267+'Control Panel'!$N$47-1,0,'Financial Statements'!O267)</f>
        <v>-1309.4205097579468</v>
      </c>
      <c r="Q267" s="383">
        <f>IF(Q$139&gt;$B267+'Control Panel'!$N$47-1,0,'Financial Statements'!P267)</f>
        <v>-1309.4205097579468</v>
      </c>
      <c r="R267" s="383">
        <f>IF(R$139&gt;$B267+'Control Panel'!$N$47-1,0,'Financial Statements'!Q267)</f>
        <v>-1309.4205097579468</v>
      </c>
      <c r="S267" s="383"/>
      <c r="T267" s="383"/>
      <c r="U267" s="383"/>
    </row>
    <row r="268" spans="2:21" outlineLevel="1" x14ac:dyDescent="0.25">
      <c r="B268" s="349">
        <f t="shared" ref="B268:B276" si="193">+B267+1</f>
        <v>2023</v>
      </c>
      <c r="C268" s="476"/>
      <c r="D268" s="476"/>
      <c r="E268" s="476"/>
      <c r="F268" s="476"/>
      <c r="G268" s="476"/>
      <c r="H268" s="476"/>
      <c r="I268" s="476"/>
      <c r="J268" s="383">
        <f>-J$263/'Control Panel'!$N$47</f>
        <v>-1509.6861416009353</v>
      </c>
      <c r="K268" s="383">
        <f>IF(K$139&gt;$B268+'Control Panel'!$N$47-1,0,'Financial Statements'!J268)</f>
        <v>-1509.6861416009353</v>
      </c>
      <c r="L268" s="383">
        <f>IF(L$139&gt;$B268+'Control Panel'!$N$47-1,0,'Financial Statements'!K268)</f>
        <v>-1509.6861416009353</v>
      </c>
      <c r="M268" s="383">
        <f>IF(M$139&gt;$B268+'Control Panel'!$N$47-1,0,'Financial Statements'!L268)</f>
        <v>-1509.6861416009353</v>
      </c>
      <c r="N268" s="383">
        <f>IF(N$139&gt;$B268+'Control Panel'!$N$47-1,0,'Financial Statements'!M268)</f>
        <v>-1509.6861416009353</v>
      </c>
      <c r="O268" s="383">
        <f>IF(O$139&gt;$B268+'Control Panel'!$N$47-1,0,'Financial Statements'!N268)</f>
        <v>-1509.6861416009353</v>
      </c>
      <c r="P268" s="383">
        <f>IF(P$139&gt;$B268+'Control Panel'!$N$47-1,0,'Financial Statements'!O268)</f>
        <v>-1509.6861416009353</v>
      </c>
      <c r="Q268" s="383">
        <f>IF(Q$139&gt;$B268+'Control Panel'!$N$47-1,0,'Financial Statements'!P268)</f>
        <v>-1509.6861416009353</v>
      </c>
      <c r="R268" s="383">
        <f>IF(R$139&gt;$B268+'Control Panel'!$N$47-1,0,'Financial Statements'!Q268)</f>
        <v>-1509.6861416009353</v>
      </c>
      <c r="S268" s="383"/>
      <c r="T268" s="383"/>
      <c r="U268" s="383"/>
    </row>
    <row r="269" spans="2:21" outlineLevel="1" x14ac:dyDescent="0.25">
      <c r="B269" s="349">
        <f t="shared" si="193"/>
        <v>2024</v>
      </c>
      <c r="C269" s="476"/>
      <c r="D269" s="476"/>
      <c r="E269" s="476"/>
      <c r="F269" s="476"/>
      <c r="G269" s="476"/>
      <c r="H269" s="476"/>
      <c r="I269" s="476"/>
      <c r="J269" s="476"/>
      <c r="K269" s="383">
        <f>-K$263/'Control Panel'!$N$47</f>
        <v>-1698.9076730976449</v>
      </c>
      <c r="L269" s="383">
        <f>IF(L$139&gt;$B269+'Control Panel'!$N$47-1,0,'Financial Statements'!K269)</f>
        <v>-1698.9076730976449</v>
      </c>
      <c r="M269" s="383">
        <f>IF(M$139&gt;$B269+'Control Panel'!$N$47-1,0,'Financial Statements'!L269)</f>
        <v>-1698.9076730976449</v>
      </c>
      <c r="N269" s="383">
        <f>IF(N$139&gt;$B269+'Control Panel'!$N$47-1,0,'Financial Statements'!M269)</f>
        <v>-1698.9076730976449</v>
      </c>
      <c r="O269" s="383">
        <f>IF(O$139&gt;$B269+'Control Panel'!$N$47-1,0,'Financial Statements'!N269)</f>
        <v>-1698.9076730976449</v>
      </c>
      <c r="P269" s="383">
        <f>IF(P$139&gt;$B269+'Control Panel'!$N$47-1,0,'Financial Statements'!O269)</f>
        <v>-1698.9076730976449</v>
      </c>
      <c r="Q269" s="383">
        <f>IF(Q$139&gt;$B269+'Control Panel'!$N$47-1,0,'Financial Statements'!P269)</f>
        <v>-1698.9076730976449</v>
      </c>
      <c r="R269" s="383">
        <f>IF(R$139&gt;$B269+'Control Panel'!$N$47-1,0,'Financial Statements'!Q269)</f>
        <v>-1698.9076730976449</v>
      </c>
      <c r="S269" s="383"/>
      <c r="T269" s="383"/>
      <c r="U269" s="383"/>
    </row>
    <row r="270" spans="2:21" outlineLevel="1" x14ac:dyDescent="0.25">
      <c r="B270" s="349">
        <f t="shared" si="193"/>
        <v>2025</v>
      </c>
      <c r="C270" s="476"/>
      <c r="D270" s="476"/>
      <c r="E270" s="476"/>
      <c r="F270" s="476"/>
      <c r="G270" s="476"/>
      <c r="H270" s="476"/>
      <c r="I270" s="476"/>
      <c r="J270" s="476"/>
      <c r="K270" s="476"/>
      <c r="L270" s="383">
        <f>-L$263/'Control Panel'!$N$47</f>
        <v>-1872.752197366829</v>
      </c>
      <c r="M270" s="383">
        <f>IF(M$139&gt;$B270+'Control Panel'!$N$47-1,0,'Financial Statements'!L270)</f>
        <v>-1872.752197366829</v>
      </c>
      <c r="N270" s="383">
        <f>IF(N$139&gt;$B270+'Control Panel'!$N$47-1,0,'Financial Statements'!M270)</f>
        <v>-1872.752197366829</v>
      </c>
      <c r="O270" s="383">
        <f>IF(O$139&gt;$B270+'Control Panel'!$N$47-1,0,'Financial Statements'!N270)</f>
        <v>-1872.752197366829</v>
      </c>
      <c r="P270" s="383">
        <f>IF(P$139&gt;$B270+'Control Panel'!$N$47-1,0,'Financial Statements'!O270)</f>
        <v>-1872.752197366829</v>
      </c>
      <c r="Q270" s="383">
        <f>IF(Q$139&gt;$B270+'Control Panel'!$N$47-1,0,'Financial Statements'!P270)</f>
        <v>-1872.752197366829</v>
      </c>
      <c r="R270" s="383">
        <f>IF(R$139&gt;$B270+'Control Panel'!$N$47-1,0,'Financial Statements'!Q270)</f>
        <v>-1872.752197366829</v>
      </c>
      <c r="S270" s="383"/>
      <c r="T270" s="383"/>
      <c r="U270" s="383"/>
    </row>
    <row r="271" spans="2:21" outlineLevel="1" x14ac:dyDescent="0.25">
      <c r="B271" s="349">
        <f t="shared" si="193"/>
        <v>2026</v>
      </c>
      <c r="C271" s="476"/>
      <c r="D271" s="476"/>
      <c r="E271" s="476"/>
      <c r="F271" s="476"/>
      <c r="G271" s="476"/>
      <c r="H271" s="476"/>
      <c r="I271" s="476"/>
      <c r="J271" s="476"/>
      <c r="K271" s="476"/>
      <c r="L271" s="476"/>
      <c r="M271" s="383">
        <f>-M$263/'Control Panel'!$N$47</f>
        <v>-2028.6813578499325</v>
      </c>
      <c r="N271" s="383">
        <f>IF(N$139&gt;$B271+'Control Panel'!$N$47-1,0,'Financial Statements'!M271)</f>
        <v>-2028.6813578499325</v>
      </c>
      <c r="O271" s="383">
        <f>IF(O$139&gt;$B271+'Control Panel'!$N$47-1,0,'Financial Statements'!N271)</f>
        <v>-2028.6813578499325</v>
      </c>
      <c r="P271" s="383">
        <f>IF(P$139&gt;$B271+'Control Panel'!$N$47-1,0,'Financial Statements'!O271)</f>
        <v>-2028.6813578499325</v>
      </c>
      <c r="Q271" s="383">
        <f>IF(Q$139&gt;$B271+'Control Panel'!$N$47-1,0,'Financial Statements'!P271)</f>
        <v>-2028.6813578499325</v>
      </c>
      <c r="R271" s="383">
        <f>IF(R$139&gt;$B271+'Control Panel'!$N$47-1,0,'Financial Statements'!Q271)</f>
        <v>-2028.6813578499325</v>
      </c>
      <c r="S271" s="383"/>
      <c r="T271" s="383"/>
      <c r="U271" s="383"/>
    </row>
    <row r="272" spans="2:21" outlineLevel="1" x14ac:dyDescent="0.25">
      <c r="B272" s="349">
        <f t="shared" si="193"/>
        <v>2027</v>
      </c>
      <c r="C272" s="476"/>
      <c r="D272" s="476"/>
      <c r="E272" s="476"/>
      <c r="F272" s="476"/>
      <c r="G272" s="476"/>
      <c r="H272" s="476"/>
      <c r="I272" s="476"/>
      <c r="J272" s="476"/>
      <c r="K272" s="476"/>
      <c r="L272" s="476"/>
      <c r="M272" s="476"/>
      <c r="N272" s="383">
        <f>-N$263/'Control Panel'!$N$47</f>
        <v>-2165.7247256227638</v>
      </c>
      <c r="O272" s="383">
        <f>IF(O$139&gt;$B272+'Control Panel'!$N$47-1,0,'Financial Statements'!N272)</f>
        <v>-2165.7247256227638</v>
      </c>
      <c r="P272" s="383">
        <f>IF(P$139&gt;$B272+'Control Panel'!$N$47-1,0,'Financial Statements'!O272)</f>
        <v>-2165.7247256227638</v>
      </c>
      <c r="Q272" s="383">
        <f>IF(Q$139&gt;$B272+'Control Panel'!$N$47-1,0,'Financial Statements'!P272)</f>
        <v>-2165.7247256227638</v>
      </c>
      <c r="R272" s="383">
        <f>IF(R$139&gt;$B272+'Control Panel'!$N$47-1,0,'Financial Statements'!Q272)</f>
        <v>-2165.7247256227638</v>
      </c>
      <c r="S272" s="383"/>
      <c r="T272" s="383"/>
      <c r="U272" s="383"/>
    </row>
    <row r="273" spans="2:21" outlineLevel="1" x14ac:dyDescent="0.25">
      <c r="B273" s="349">
        <f t="shared" si="193"/>
        <v>2028</v>
      </c>
      <c r="C273" s="476"/>
      <c r="D273" s="476"/>
      <c r="E273" s="476"/>
      <c r="F273" s="476"/>
      <c r="G273" s="476"/>
      <c r="H273" s="476"/>
      <c r="I273" s="476"/>
      <c r="J273" s="476"/>
      <c r="K273" s="476"/>
      <c r="L273" s="476"/>
      <c r="M273" s="476"/>
      <c r="N273" s="476"/>
      <c r="O273" s="383">
        <f>-O$263/'Control Panel'!$N$47</f>
        <v>-2284.1292619283508</v>
      </c>
      <c r="P273" s="383">
        <f>IF(P$139&gt;$B273+'Control Panel'!$N$47-1,0,'Financial Statements'!O273)</f>
        <v>-2284.1292619283508</v>
      </c>
      <c r="Q273" s="383">
        <f>IF(Q$139&gt;$B273+'Control Panel'!$N$47-1,0,'Financial Statements'!P273)</f>
        <v>-2284.1292619283508</v>
      </c>
      <c r="R273" s="383">
        <f>IF(R$139&gt;$B273+'Control Panel'!$N$47-1,0,'Financial Statements'!Q273)</f>
        <v>-2284.1292619283508</v>
      </c>
      <c r="S273" s="383"/>
      <c r="T273" s="383"/>
      <c r="U273" s="383"/>
    </row>
    <row r="274" spans="2:21" outlineLevel="1" x14ac:dyDescent="0.25">
      <c r="B274" s="349">
        <f t="shared" si="193"/>
        <v>2029</v>
      </c>
      <c r="C274" s="476"/>
      <c r="D274" s="476"/>
      <c r="E274" s="476"/>
      <c r="F274" s="476"/>
      <c r="G274" s="476"/>
      <c r="H274" s="476"/>
      <c r="I274" s="476"/>
      <c r="J274" s="476"/>
      <c r="K274" s="476"/>
      <c r="L274" s="476"/>
      <c r="M274" s="476"/>
      <c r="N274" s="476"/>
      <c r="O274" s="476"/>
      <c r="P274" s="383">
        <f>-P$263/'Control Panel'!$N$47</f>
        <v>-2384.9842779140386</v>
      </c>
      <c r="Q274" s="383">
        <f>IF(Q$139&gt;$B274+'Control Panel'!$N$47-1,0,'Financial Statements'!P274)</f>
        <v>-2384.9842779140386</v>
      </c>
      <c r="R274" s="383">
        <f>IF(R$139&gt;$B274+'Control Panel'!$N$47-1,0,'Financial Statements'!Q274)</f>
        <v>-2384.9842779140386</v>
      </c>
      <c r="S274" s="383"/>
      <c r="T274" s="383"/>
      <c r="U274" s="383"/>
    </row>
    <row r="275" spans="2:21" outlineLevel="1" x14ac:dyDescent="0.25">
      <c r="B275" s="349">
        <f t="shared" si="193"/>
        <v>2030</v>
      </c>
      <c r="C275" s="476"/>
      <c r="D275" s="476"/>
      <c r="E275" s="476"/>
      <c r="F275" s="476"/>
      <c r="G275" s="476"/>
      <c r="H275" s="476"/>
      <c r="I275" s="476"/>
      <c r="J275" s="476"/>
      <c r="K275" s="476"/>
      <c r="L275" s="476"/>
      <c r="M275" s="476"/>
      <c r="N275" s="476"/>
      <c r="O275" s="476"/>
      <c r="P275" s="476"/>
      <c r="Q275" s="383">
        <f>-Q$263/'Control Panel'!$N$47</f>
        <v>-2469.8855007902944</v>
      </c>
      <c r="R275" s="383">
        <f>IF(R$139&gt;$B275+'Control Panel'!$N$47-1,0,'Financial Statements'!Q275)</f>
        <v>-2469.8855007902944</v>
      </c>
      <c r="S275" s="383"/>
      <c r="T275" s="383"/>
      <c r="U275" s="383"/>
    </row>
    <row r="276" spans="2:21" outlineLevel="1" x14ac:dyDescent="0.25">
      <c r="B276" s="349">
        <f t="shared" si="193"/>
        <v>2031</v>
      </c>
      <c r="C276" s="483"/>
      <c r="D276" s="483"/>
      <c r="E276" s="483"/>
      <c r="F276" s="483"/>
      <c r="G276" s="483"/>
      <c r="H276" s="483"/>
      <c r="I276" s="483"/>
      <c r="J276" s="483"/>
      <c r="K276" s="483"/>
      <c r="L276" s="483"/>
      <c r="M276" s="483"/>
      <c r="N276" s="483"/>
      <c r="O276" s="483"/>
      <c r="P276" s="483"/>
      <c r="Q276" s="483"/>
      <c r="R276" s="383">
        <f>-R$263/'Control Panel'!$N$47</f>
        <v>-2540.6681326944213</v>
      </c>
      <c r="S276" s="383"/>
      <c r="T276" s="383"/>
      <c r="U276" s="383"/>
    </row>
    <row r="277" spans="2:21" outlineLevel="1" x14ac:dyDescent="0.25">
      <c r="B277" s="350" t="s">
        <v>499</v>
      </c>
      <c r="C277" s="383"/>
      <c r="D277" s="383"/>
      <c r="E277" s="383"/>
      <c r="F277" s="383"/>
      <c r="G277" s="383"/>
      <c r="H277" s="383">
        <f>SUM(H266:H276)</f>
        <v>-1104.2197836267042</v>
      </c>
      <c r="I277" s="383">
        <f t="shared" ref="I277:R277" si="194">SUM(I266:I276)</f>
        <v>-2413.6402933846512</v>
      </c>
      <c r="J277" s="383">
        <f t="shared" si="194"/>
        <v>-3923.3264349855863</v>
      </c>
      <c r="K277" s="383">
        <f t="shared" si="194"/>
        <v>-5622.2341080832311</v>
      </c>
      <c r="L277" s="383">
        <f t="shared" si="194"/>
        <v>-7494.9863054500602</v>
      </c>
      <c r="M277" s="383">
        <f t="shared" si="194"/>
        <v>-9523.6676632999934</v>
      </c>
      <c r="N277" s="383">
        <f t="shared" si="194"/>
        <v>-11689.392388922757</v>
      </c>
      <c r="O277" s="383">
        <f t="shared" si="194"/>
        <v>-13973.521650851108</v>
      </c>
      <c r="P277" s="383">
        <f t="shared" si="194"/>
        <v>-16358.505928765146</v>
      </c>
      <c r="Q277" s="383">
        <f t="shared" si="194"/>
        <v>-18828.391429555439</v>
      </c>
      <c r="R277" s="383">
        <f t="shared" si="194"/>
        <v>-21369.059562249859</v>
      </c>
      <c r="S277" s="383"/>
      <c r="T277" s="383"/>
      <c r="U277" s="383"/>
    </row>
    <row r="278" spans="2:21" outlineLevel="1" x14ac:dyDescent="0.25">
      <c r="C278" s="80"/>
      <c r="D278" s="80"/>
      <c r="E278" s="80"/>
      <c r="F278" s="80"/>
      <c r="G278" s="80"/>
      <c r="H278" s="80"/>
      <c r="I278" s="80"/>
      <c r="J278" s="80"/>
      <c r="K278" s="80"/>
      <c r="L278" s="80"/>
      <c r="M278" s="80"/>
      <c r="N278" s="80"/>
      <c r="O278" s="80"/>
      <c r="P278" s="80"/>
      <c r="Q278" s="80"/>
      <c r="R278" s="80"/>
    </row>
    <row r="279" spans="2:21" outlineLevel="1" x14ac:dyDescent="0.25">
      <c r="B279" s="349" t="s">
        <v>500</v>
      </c>
      <c r="C279" s="383"/>
      <c r="D279" s="383"/>
      <c r="E279" s="383"/>
      <c r="F279" s="383"/>
      <c r="G279" s="383"/>
      <c r="H279" s="383">
        <f>-H277+H264</f>
        <v>1104.2197836267042</v>
      </c>
      <c r="I279" s="383">
        <f t="shared" ref="I279:R279" si="195">-I277+I264</f>
        <v>2800.1172176539976</v>
      </c>
      <c r="J279" s="383">
        <f t="shared" si="195"/>
        <v>4740.495043079547</v>
      </c>
      <c r="K279" s="383">
        <f t="shared" si="195"/>
        <v>6907.4518584029029</v>
      </c>
      <c r="L279" s="383">
        <f t="shared" si="195"/>
        <v>9276.7385804792684</v>
      </c>
      <c r="M279" s="383">
        <f t="shared" si="195"/>
        <v>11820.327354705511</v>
      </c>
      <c r="N279" s="383">
        <f t="shared" si="195"/>
        <v>14508.715897939499</v>
      </c>
      <c r="O279" s="383">
        <f t="shared" si="195"/>
        <v>17312.757122253315</v>
      </c>
      <c r="P279" s="383">
        <f t="shared" si="195"/>
        <v>20204.951832119208</v>
      </c>
      <c r="Q279" s="383">
        <f t="shared" si="195"/>
        <v>23160.243788908138</v>
      </c>
      <c r="R279" s="383">
        <f t="shared" si="195"/>
        <v>26156.409198660032</v>
      </c>
      <c r="S279" s="383"/>
      <c r="T279" s="383"/>
      <c r="U279" s="383"/>
    </row>
    <row r="280" spans="2:21" outlineLevel="1" x14ac:dyDescent="0.25">
      <c r="B280" s="356" t="s">
        <v>501</v>
      </c>
      <c r="C280" s="384"/>
      <c r="D280" s="384"/>
      <c r="E280" s="384"/>
      <c r="F280" s="384"/>
      <c r="G280" s="384"/>
      <c r="H280" s="384">
        <f>H262+H263+H264-H279</f>
        <v>15459.076970773858</v>
      </c>
      <c r="I280" s="384">
        <f t="shared" ref="I280:R280" si="196">I262+I263+I264-I279</f>
        <v>32686.744323758408</v>
      </c>
      <c r="J280" s="384">
        <f t="shared" si="196"/>
        <v>51408.710012786847</v>
      </c>
      <c r="K280" s="384">
        <f t="shared" si="196"/>
        <v>71270.091001168286</v>
      </c>
      <c r="L280" s="384">
        <f t="shared" si="196"/>
        <v>91866.387656220657</v>
      </c>
      <c r="M280" s="384">
        <f t="shared" si="196"/>
        <v>112772.94036066964</v>
      </c>
      <c r="N280" s="384">
        <f t="shared" si="196"/>
        <v>133569.41885608836</v>
      </c>
      <c r="O280" s="384">
        <f t="shared" si="196"/>
        <v>153857.8361341625</v>
      </c>
      <c r="P280" s="384">
        <f t="shared" si="196"/>
        <v>173274.09437410792</v>
      </c>
      <c r="Q280" s="384">
        <f t="shared" si="196"/>
        <v>191493.98545640687</v>
      </c>
      <c r="R280" s="384">
        <f t="shared" si="196"/>
        <v>208234.94788457331</v>
      </c>
      <c r="S280" s="383"/>
      <c r="T280" s="383"/>
      <c r="U280" s="383"/>
    </row>
    <row r="281" spans="2:21" ht="5.4" customHeight="1" outlineLevel="1" x14ac:dyDescent="0.25">
      <c r="B281" s="354"/>
      <c r="C281" s="80"/>
      <c r="D281" s="80"/>
      <c r="E281" s="80"/>
      <c r="F281" s="80"/>
      <c r="G281" s="80"/>
      <c r="H281" s="80"/>
      <c r="I281" s="80"/>
      <c r="J281" s="80"/>
      <c r="K281" s="80"/>
      <c r="L281" s="80"/>
      <c r="M281" s="80"/>
      <c r="N281" s="80"/>
      <c r="O281" s="80"/>
      <c r="P281" s="80"/>
      <c r="Q281" s="80"/>
      <c r="R281" s="80"/>
    </row>
    <row r="282" spans="2:21" outlineLevel="1" x14ac:dyDescent="0.25">
      <c r="B282" s="356" t="s">
        <v>506</v>
      </c>
      <c r="C282" s="487"/>
      <c r="D282" s="487"/>
      <c r="E282" s="428">
        <f>'Raw Data'!E156</f>
        <v>20865.193986420902</v>
      </c>
      <c r="F282" s="428">
        <f>'Raw Data'!F156</f>
        <v>25835</v>
      </c>
      <c r="G282" s="428">
        <f>'Raw Data'!G156</f>
        <v>39099</v>
      </c>
      <c r="H282" s="384">
        <f>H280+H259</f>
        <v>46917.829183163238</v>
      </c>
      <c r="I282" s="384">
        <f t="shared" ref="I282:R282" si="197">I280+I259</f>
        <v>61091.248748537168</v>
      </c>
      <c r="J282" s="384">
        <f t="shared" si="197"/>
        <v>76758.966649954993</v>
      </c>
      <c r="K282" s="384">
        <f t="shared" si="197"/>
        <v>93566.099850725805</v>
      </c>
      <c r="L282" s="384">
        <f t="shared" si="197"/>
        <v>111108.14871816756</v>
      </c>
      <c r="M282" s="384">
        <f t="shared" si="197"/>
        <v>128960.45363500592</v>
      </c>
      <c r="N282" s="384">
        <f t="shared" si="197"/>
        <v>146702.68434281403</v>
      </c>
      <c r="O282" s="384">
        <f t="shared" si="197"/>
        <v>163936.85383327754</v>
      </c>
      <c r="P282" s="384">
        <f t="shared" si="197"/>
        <v>180298.86428561236</v>
      </c>
      <c r="Q282" s="384">
        <f t="shared" si="197"/>
        <v>195464.50758030068</v>
      </c>
      <c r="R282" s="384">
        <f t="shared" si="197"/>
        <v>209151.22222085649</v>
      </c>
      <c r="S282" s="383"/>
      <c r="T282" s="383"/>
    </row>
    <row r="283" spans="2:21" outlineLevel="1" x14ac:dyDescent="0.25">
      <c r="B283" s="354" t="s">
        <v>511</v>
      </c>
      <c r="C283" s="484"/>
      <c r="D283" s="484"/>
      <c r="E283" s="484"/>
      <c r="F283" s="425">
        <f>-'Raw Data'!F160</f>
        <v>-3139</v>
      </c>
      <c r="G283" s="425">
        <f>-'Raw Data'!G160</f>
        <v>-4586</v>
      </c>
      <c r="H283" s="485"/>
      <c r="I283" s="485"/>
      <c r="J283" s="485"/>
      <c r="K283" s="485"/>
      <c r="L283" s="485"/>
      <c r="M283" s="485"/>
      <c r="N283" s="485"/>
      <c r="O283" s="485"/>
      <c r="P283" s="485"/>
      <c r="Q283" s="485"/>
      <c r="R283" s="485"/>
    </row>
    <row r="284" spans="2:21" outlineLevel="1" x14ac:dyDescent="0.25">
      <c r="B284" s="361" t="s">
        <v>514</v>
      </c>
      <c r="C284" s="387"/>
      <c r="D284" s="387"/>
      <c r="E284" s="387">
        <f>SUM(E282:E283)</f>
        <v>20865.193986420902</v>
      </c>
      <c r="F284" s="387">
        <f t="shared" ref="F284:G284" si="198">SUM(F282:F283)</f>
        <v>22696</v>
      </c>
      <c r="G284" s="387">
        <f t="shared" si="198"/>
        <v>34513</v>
      </c>
      <c r="H284" s="387">
        <f t="shared" ref="H284" si="199">SUM(H282:H283)</f>
        <v>46917.829183163238</v>
      </c>
      <c r="I284" s="387">
        <f t="shared" ref="I284" si="200">SUM(I282:I283)</f>
        <v>61091.248748537168</v>
      </c>
      <c r="J284" s="387">
        <f t="shared" ref="J284" si="201">SUM(J282:J283)</f>
        <v>76758.966649954993</v>
      </c>
      <c r="K284" s="387">
        <f t="shared" ref="K284" si="202">SUM(K282:K283)</f>
        <v>93566.099850725805</v>
      </c>
      <c r="L284" s="387">
        <f t="shared" ref="L284" si="203">SUM(L282:L283)</f>
        <v>111108.14871816756</v>
      </c>
      <c r="M284" s="387">
        <f t="shared" ref="M284" si="204">SUM(M282:M283)</f>
        <v>128960.45363500592</v>
      </c>
      <c r="N284" s="387">
        <f t="shared" ref="N284" si="205">SUM(N282:N283)</f>
        <v>146702.68434281403</v>
      </c>
      <c r="O284" s="387">
        <f t="shared" ref="O284" si="206">SUM(O282:O283)</f>
        <v>163936.85383327754</v>
      </c>
      <c r="P284" s="387">
        <f t="shared" ref="P284" si="207">SUM(P282:P283)</f>
        <v>180298.86428561236</v>
      </c>
      <c r="Q284" s="387">
        <f t="shared" ref="Q284" si="208">SUM(Q282:Q283)</f>
        <v>195464.50758030068</v>
      </c>
      <c r="R284" s="387">
        <f t="shared" ref="R284" si="209">SUM(R282:R283)</f>
        <v>209151.22222085649</v>
      </c>
      <c r="S284" s="383"/>
      <c r="T284" s="383"/>
    </row>
    <row r="285" spans="2:21" outlineLevel="1" x14ac:dyDescent="0.25">
      <c r="B285" s="364" t="s">
        <v>503</v>
      </c>
      <c r="C285" s="486"/>
      <c r="D285" s="486"/>
      <c r="E285" s="429">
        <f>'Raw Data'!D157</f>
        <v>2200</v>
      </c>
      <c r="F285" s="429">
        <f>'Raw Data'!E157</f>
        <v>3400</v>
      </c>
      <c r="G285" s="429">
        <f>'Raw Data'!F157</f>
        <v>3669</v>
      </c>
      <c r="H285" s="429">
        <f>-H258+H279</f>
        <v>5021.2925712373235</v>
      </c>
      <c r="I285" s="429">
        <f t="shared" ref="I285:R285" si="210">-I258+I279</f>
        <v>6640.8338105743514</v>
      </c>
      <c r="J285" s="429">
        <f t="shared" si="210"/>
        <v>8504.8554413096354</v>
      </c>
      <c r="K285" s="429">
        <f t="shared" si="210"/>
        <v>10595.456061942725</v>
      </c>
      <c r="L285" s="429">
        <f t="shared" si="210"/>
        <v>12888.386589328826</v>
      </c>
      <c r="M285" s="429">
        <f t="shared" si="210"/>
        <v>15355.619168864803</v>
      </c>
      <c r="N285" s="429">
        <f t="shared" si="210"/>
        <v>17967.651517408525</v>
      </c>
      <c r="O285" s="429">
        <f t="shared" si="210"/>
        <v>20695.336547032075</v>
      </c>
      <c r="P285" s="429">
        <f t="shared" si="210"/>
        <v>23511.175062207702</v>
      </c>
      <c r="Q285" s="429">
        <f t="shared" si="210"/>
        <v>26390.110824306368</v>
      </c>
      <c r="R285" s="429">
        <f t="shared" si="210"/>
        <v>29309.920039367997</v>
      </c>
      <c r="S285" s="383"/>
      <c r="T285" s="383"/>
    </row>
    <row r="286" spans="2:21" outlineLevel="1" x14ac:dyDescent="0.25">
      <c r="B286" s="364"/>
      <c r="C286" s="80"/>
      <c r="D286" s="80"/>
      <c r="E286" s="80"/>
      <c r="F286" s="80"/>
      <c r="G286" s="80"/>
      <c r="H286" s="365"/>
      <c r="I286" s="365"/>
      <c r="J286" s="365"/>
      <c r="K286" s="365"/>
      <c r="L286" s="365"/>
      <c r="M286" s="365"/>
      <c r="N286" s="365"/>
      <c r="O286" s="365"/>
      <c r="P286" s="365"/>
      <c r="Q286" s="365"/>
      <c r="R286" s="365"/>
    </row>
    <row r="287" spans="2:21" outlineLevel="1" x14ac:dyDescent="0.25">
      <c r="B287" s="352" t="s">
        <v>393</v>
      </c>
      <c r="C287" s="353"/>
      <c r="D287" s="353"/>
      <c r="E287" s="353"/>
      <c r="F287" s="353"/>
      <c r="G287" s="353"/>
      <c r="H287" s="353"/>
      <c r="I287" s="353"/>
      <c r="J287" s="353"/>
      <c r="K287" s="353"/>
      <c r="L287" s="353"/>
      <c r="M287" s="353"/>
      <c r="N287" s="353"/>
      <c r="O287" s="353"/>
      <c r="P287" s="353"/>
      <c r="Q287" s="353"/>
      <c r="R287" s="353"/>
    </row>
    <row r="288" spans="2:21" ht="5.4" customHeight="1" outlineLevel="1" x14ac:dyDescent="0.25">
      <c r="B288" s="192"/>
      <c r="C288" s="53"/>
      <c r="D288" s="53"/>
      <c r="E288" s="53"/>
      <c r="F288" s="53"/>
      <c r="G288" s="53"/>
      <c r="H288" s="53"/>
      <c r="I288" s="53"/>
      <c r="J288" s="53"/>
      <c r="K288" s="53"/>
      <c r="L288" s="53"/>
      <c r="M288" s="53"/>
      <c r="N288" s="53"/>
      <c r="O288" s="53"/>
      <c r="P288" s="53"/>
      <c r="Q288" s="53"/>
      <c r="R288" s="53"/>
    </row>
    <row r="289" spans="2:21" outlineLevel="1" x14ac:dyDescent="0.25">
      <c r="B289" t="str">
        <f>B63&amp;" at the Beginning of the period"</f>
        <v>Cash and Cash Equivalents at the Beginning of the period</v>
      </c>
      <c r="C289" s="476"/>
      <c r="D289" s="476"/>
      <c r="E289" s="476"/>
      <c r="F289" s="476"/>
      <c r="G289" s="476"/>
      <c r="H289" s="383">
        <f>G63</f>
        <v>42122</v>
      </c>
      <c r="I289" s="383">
        <f t="shared" ref="I289:R289" si="211">H63</f>
        <v>52624.088465156732</v>
      </c>
      <c r="J289" s="383">
        <f t="shared" si="211"/>
        <v>78534.451204107667</v>
      </c>
      <c r="K289" s="383">
        <f t="shared" si="211"/>
        <v>106992.37776137773</v>
      </c>
      <c r="L289" s="383">
        <f t="shared" si="211"/>
        <v>137625.35458783072</v>
      </c>
      <c r="M289" s="383">
        <f t="shared" si="211"/>
        <v>172988.63707946462</v>
      </c>
      <c r="N289" s="383">
        <f t="shared" si="211"/>
        <v>210643.68400877833</v>
      </c>
      <c r="O289" s="383">
        <f t="shared" si="211"/>
        <v>250796.23904064944</v>
      </c>
      <c r="P289" s="383">
        <f t="shared" si="211"/>
        <v>295075.35945545079</v>
      </c>
      <c r="Q289" s="383">
        <f t="shared" si="211"/>
        <v>344635.75990896695</v>
      </c>
      <c r="R289" s="383">
        <f t="shared" si="211"/>
        <v>399750.95980456215</v>
      </c>
      <c r="S289" s="383"/>
      <c r="T289" s="383"/>
      <c r="U289" s="383"/>
    </row>
    <row r="290" spans="2:21" outlineLevel="1" x14ac:dyDescent="0.25">
      <c r="B290" t="str">
        <f>B115</f>
        <v>Net Cash Provided by (used in) Operating Activities</v>
      </c>
      <c r="C290" s="476"/>
      <c r="D290" s="476"/>
      <c r="E290" s="476"/>
      <c r="F290" s="476"/>
      <c r="G290" s="476"/>
      <c r="H290" s="383">
        <f>H115</f>
        <v>44148.110352315685</v>
      </c>
      <c r="I290" s="383">
        <f t="shared" ref="I290:R290" si="212">I115</f>
        <v>67613.485572703765</v>
      </c>
      <c r="J290" s="383">
        <f t="shared" si="212"/>
        <v>78653.698438804655</v>
      </c>
      <c r="K290" s="383">
        <f t="shared" si="212"/>
        <v>89821.982103372124</v>
      </c>
      <c r="L290" s="383">
        <f t="shared" si="212"/>
        <v>101315.17372285672</v>
      </c>
      <c r="M290" s="383">
        <f t="shared" si="212"/>
        <v>112821.42715925685</v>
      </c>
      <c r="N290" s="383">
        <f t="shared" si="212"/>
        <v>120492.85800211894</v>
      </c>
      <c r="O290" s="383">
        <f t="shared" si="212"/>
        <v>131300.77351528002</v>
      </c>
      <c r="P290" s="383">
        <f t="shared" si="212"/>
        <v>143599.62912374848</v>
      </c>
      <c r="Q290" s="383">
        <f t="shared" si="212"/>
        <v>155935.23168686434</v>
      </c>
      <c r="R290" s="383">
        <f t="shared" si="212"/>
        <v>155633.42952355507</v>
      </c>
      <c r="S290" s="383"/>
      <c r="T290" s="383"/>
      <c r="U290" s="383"/>
    </row>
    <row r="291" spans="2:21" outlineLevel="1" x14ac:dyDescent="0.25">
      <c r="B291" t="str">
        <f>B122</f>
        <v>Net Cash Provided by (used in) Investing Activities</v>
      </c>
      <c r="C291" s="476"/>
      <c r="D291" s="476"/>
      <c r="E291" s="476"/>
      <c r="F291" s="476"/>
      <c r="G291" s="476"/>
      <c r="H291" s="383">
        <f>H122</f>
        <v>-27491.614965507968</v>
      </c>
      <c r="I291" s="383">
        <f t="shared" ref="I291:R291" si="213">I122</f>
        <v>-32600.470500512474</v>
      </c>
      <c r="J291" s="383">
        <f t="shared" si="213"/>
        <v>-37586.457641015353</v>
      </c>
      <c r="K291" s="383">
        <f t="shared" si="213"/>
        <v>-42297.481265321185</v>
      </c>
      <c r="L291" s="383">
        <f t="shared" si="213"/>
        <v>-46625.665559731555</v>
      </c>
      <c r="M291" s="383">
        <f t="shared" si="213"/>
        <v>-50507.813394302109</v>
      </c>
      <c r="N291" s="383">
        <f t="shared" si="213"/>
        <v>-53919.76412752756</v>
      </c>
      <c r="O291" s="383">
        <f t="shared" si="213"/>
        <v>-56867.666321048804</v>
      </c>
      <c r="P291" s="383">
        <f t="shared" si="213"/>
        <v>-59378.640411471373</v>
      </c>
      <c r="Q291" s="383">
        <f t="shared" si="213"/>
        <v>-61492.415009630415</v>
      </c>
      <c r="R291" s="383">
        <f t="shared" si="213"/>
        <v>-63254.680902170687</v>
      </c>
      <c r="S291" s="383"/>
      <c r="T291" s="383"/>
      <c r="U291" s="383"/>
    </row>
    <row r="292" spans="2:21" outlineLevel="1" x14ac:dyDescent="0.25">
      <c r="B292" s="11" t="s">
        <v>457</v>
      </c>
      <c r="C292" s="390">
        <f t="shared" ref="C292:G292" si="214">MIN(0,SUM(C289:C291))</f>
        <v>0</v>
      </c>
      <c r="D292" s="390">
        <f t="shared" si="214"/>
        <v>0</v>
      </c>
      <c r="E292" s="390">
        <f t="shared" si="214"/>
        <v>0</v>
      </c>
      <c r="F292" s="390">
        <f t="shared" si="214"/>
        <v>0</v>
      </c>
      <c r="G292" s="390">
        <f t="shared" si="214"/>
        <v>0</v>
      </c>
      <c r="H292" s="390">
        <f>MIN(0,SUM(H289:H291))</f>
        <v>0</v>
      </c>
      <c r="I292" s="390">
        <f t="shared" ref="I292:R292" si="215">MIN(0,SUM(I289:I291))</f>
        <v>0</v>
      </c>
      <c r="J292" s="390">
        <f t="shared" si="215"/>
        <v>0</v>
      </c>
      <c r="K292" s="390">
        <f t="shared" si="215"/>
        <v>0</v>
      </c>
      <c r="L292" s="390">
        <f t="shared" si="215"/>
        <v>0</v>
      </c>
      <c r="M292" s="390">
        <f t="shared" si="215"/>
        <v>0</v>
      </c>
      <c r="N292" s="390">
        <f t="shared" si="215"/>
        <v>0</v>
      </c>
      <c r="O292" s="390">
        <f t="shared" si="215"/>
        <v>0</v>
      </c>
      <c r="P292" s="390">
        <f t="shared" si="215"/>
        <v>0</v>
      </c>
      <c r="Q292" s="390">
        <f t="shared" si="215"/>
        <v>0</v>
      </c>
      <c r="R292" s="390">
        <f t="shared" si="215"/>
        <v>0</v>
      </c>
    </row>
    <row r="293" spans="2:21" outlineLevel="1" x14ac:dyDescent="0.25">
      <c r="B293" s="1"/>
      <c r="C293" s="23"/>
      <c r="D293" s="23"/>
      <c r="E293" s="23"/>
      <c r="F293" s="23"/>
      <c r="G293" s="23"/>
      <c r="H293" s="23"/>
      <c r="I293" s="23"/>
      <c r="J293" s="23"/>
      <c r="K293" s="23"/>
      <c r="L293" s="23"/>
      <c r="M293" s="23"/>
      <c r="N293" s="23"/>
      <c r="O293" s="23"/>
      <c r="P293" s="23"/>
      <c r="Q293" s="23"/>
      <c r="R293" s="23"/>
    </row>
    <row r="294" spans="2:21" outlineLevel="1" x14ac:dyDescent="0.25">
      <c r="B294" t="s">
        <v>394</v>
      </c>
      <c r="C294" s="476"/>
      <c r="D294" s="476"/>
      <c r="E294" s="476"/>
      <c r="F294" s="476"/>
      <c r="G294" s="476"/>
      <c r="H294" s="383">
        <f>IFERROR(H$292*-'Control Panel'!$G$46,"0")</f>
        <v>0</v>
      </c>
      <c r="I294" s="383">
        <f>IFERROR(I$292*-'Control Panel'!$G$46,"0")</f>
        <v>0</v>
      </c>
      <c r="J294" s="383">
        <f>IFERROR(J$292*-'Control Panel'!$G$46,"0")</f>
        <v>0</v>
      </c>
      <c r="K294" s="383">
        <f>IFERROR(K$292*-'Control Panel'!$G$46,"0")</f>
        <v>0</v>
      </c>
      <c r="L294" s="383">
        <f>IFERROR(L$292*-'Control Panel'!$G$46,"0")</f>
        <v>0</v>
      </c>
      <c r="M294" s="383">
        <f>IFERROR(M$292*-'Control Panel'!$G$46,"0")</f>
        <v>0</v>
      </c>
      <c r="N294" s="383">
        <f>IFERROR(N$292*-'Control Panel'!$G$46,"0")</f>
        <v>0</v>
      </c>
      <c r="O294" s="383">
        <f>IFERROR(O$292*-'Control Panel'!$G$46,"0")</f>
        <v>0</v>
      </c>
      <c r="P294" s="383">
        <f>IFERROR(P$292*-'Control Panel'!$G$46,"0")</f>
        <v>0</v>
      </c>
      <c r="Q294" s="383">
        <f>IFERROR(Q$292*-'Control Panel'!$G$46,"0")</f>
        <v>0</v>
      </c>
      <c r="R294" s="383">
        <f>IFERROR(R$292*-'Control Panel'!$G$46,"0")</f>
        <v>0</v>
      </c>
      <c r="S294" s="383"/>
      <c r="T294" s="383"/>
      <c r="U294" s="383"/>
    </row>
    <row r="295" spans="2:21" outlineLevel="1" x14ac:dyDescent="0.25">
      <c r="B295" t="s">
        <v>622</v>
      </c>
      <c r="C295" s="476"/>
      <c r="D295" s="479"/>
      <c r="E295" s="479"/>
      <c r="F295" s="479"/>
      <c r="G295" s="479"/>
      <c r="H295" s="383">
        <f>IFERROR(H$292*-'Control Panel'!$G$47,"0")</f>
        <v>0</v>
      </c>
      <c r="I295" s="383">
        <f>IFERROR(I$292*-'Control Panel'!$G$47,"0")</f>
        <v>0</v>
      </c>
      <c r="J295" s="383">
        <f>IFERROR(J$292*-'Control Panel'!$G$47,"0")</f>
        <v>0</v>
      </c>
      <c r="K295" s="383">
        <f>IFERROR(K$292*-'Control Panel'!$G$47,"0")</f>
        <v>0</v>
      </c>
      <c r="L295" s="383">
        <f>IFERROR(L$292*-'Control Panel'!$G$47,"0")</f>
        <v>0</v>
      </c>
      <c r="M295" s="383">
        <f>IFERROR(M$292*-'Control Panel'!$G$47,"0")</f>
        <v>0</v>
      </c>
      <c r="N295" s="383">
        <f>IFERROR(N$292*-'Control Panel'!$G$47,"0")</f>
        <v>0</v>
      </c>
      <c r="O295" s="383">
        <f>IFERROR(O$292*-'Control Panel'!$G$47,"0")</f>
        <v>0</v>
      </c>
      <c r="P295" s="383">
        <f>IFERROR(P$292*-'Control Panel'!$G$47,"0")</f>
        <v>0</v>
      </c>
      <c r="Q295" s="383">
        <f>IFERROR(Q$292*-'Control Panel'!$G$47,"0")</f>
        <v>0</v>
      </c>
      <c r="R295" s="383">
        <f>IFERROR(R$292*-'Control Panel'!$G$47,"0")</f>
        <v>0</v>
      </c>
      <c r="S295" s="383"/>
      <c r="T295" s="383"/>
      <c r="U295" s="383"/>
    </row>
    <row r="296" spans="2:21" outlineLevel="1" x14ac:dyDescent="0.25">
      <c r="B296" t="s">
        <v>395</v>
      </c>
      <c r="C296" s="476"/>
      <c r="D296" s="479"/>
      <c r="E296" s="479"/>
      <c r="F296" s="479"/>
      <c r="G296" s="479"/>
      <c r="H296" s="383">
        <f>H295/Comps!$D$10</f>
        <v>0</v>
      </c>
      <c r="I296" s="383">
        <f>I295/Comps!$D$10</f>
        <v>0</v>
      </c>
      <c r="J296" s="383">
        <f>J295/Comps!$D$10</f>
        <v>0</v>
      </c>
      <c r="K296" s="383">
        <f>K295/Comps!$D$10</f>
        <v>0</v>
      </c>
      <c r="L296" s="383">
        <f>L295/Comps!$D$10</f>
        <v>0</v>
      </c>
      <c r="M296" s="383">
        <f>M295/Comps!$D$10</f>
        <v>0</v>
      </c>
      <c r="N296" s="383">
        <f>N295/Comps!$D$10</f>
        <v>0</v>
      </c>
      <c r="O296" s="383">
        <f>O295/Comps!$D$10</f>
        <v>0</v>
      </c>
      <c r="P296" s="383">
        <f>P295/Comps!$D$10</f>
        <v>0</v>
      </c>
      <c r="Q296" s="383">
        <f>Q295/Comps!$D$10</f>
        <v>0</v>
      </c>
      <c r="R296" s="383">
        <f>R295/Comps!$D$10</f>
        <v>0</v>
      </c>
      <c r="S296" s="383"/>
      <c r="T296" s="383"/>
      <c r="U296" s="383"/>
    </row>
    <row r="297" spans="2:21" outlineLevel="1" x14ac:dyDescent="0.25">
      <c r="C297" s="240"/>
      <c r="D297" s="240"/>
      <c r="E297" s="240"/>
      <c r="F297" s="240"/>
      <c r="G297" s="240"/>
      <c r="H297" s="383"/>
      <c r="I297" s="383"/>
      <c r="J297" s="383"/>
      <c r="K297" s="383"/>
      <c r="L297" s="383"/>
      <c r="M297" s="383"/>
      <c r="N297" s="383"/>
      <c r="O297" s="383"/>
      <c r="P297" s="383"/>
      <c r="Q297" s="383"/>
      <c r="R297" s="383"/>
      <c r="S297" s="383"/>
      <c r="T297" s="383"/>
      <c r="U297" s="383"/>
    </row>
    <row r="298" spans="2:21" outlineLevel="1" x14ac:dyDescent="0.25">
      <c r="C298" s="240"/>
      <c r="D298" s="240"/>
      <c r="E298" s="240"/>
      <c r="F298" s="240"/>
      <c r="G298" s="240"/>
      <c r="H298" s="240"/>
      <c r="I298" s="240"/>
      <c r="J298" s="240"/>
      <c r="K298" s="240"/>
      <c r="L298" s="240"/>
      <c r="M298" s="240"/>
      <c r="N298" s="240"/>
      <c r="O298" s="240"/>
      <c r="P298" s="240"/>
      <c r="Q298" s="240"/>
      <c r="R298" s="240"/>
    </row>
    <row r="299" spans="2:21" outlineLevel="1" x14ac:dyDescent="0.25">
      <c r="B299" s="352" t="s">
        <v>392</v>
      </c>
      <c r="C299" s="353"/>
      <c r="D299" s="353"/>
      <c r="E299" s="353"/>
      <c r="F299" s="353"/>
      <c r="G299" s="353"/>
      <c r="H299" s="353"/>
      <c r="I299" s="353"/>
      <c r="J299" s="353"/>
      <c r="K299" s="353"/>
      <c r="L299" s="353"/>
      <c r="M299" s="353"/>
      <c r="N299" s="353"/>
      <c r="O299" s="353"/>
      <c r="P299" s="353"/>
      <c r="Q299" s="353"/>
      <c r="R299" s="353"/>
    </row>
    <row r="300" spans="2:21" ht="5.4" customHeight="1" outlineLevel="1" x14ac:dyDescent="0.25">
      <c r="B300" s="192"/>
      <c r="C300" s="53"/>
      <c r="D300" s="53"/>
      <c r="E300" s="53"/>
      <c r="F300" s="53"/>
      <c r="G300" s="53"/>
      <c r="H300" s="53"/>
      <c r="I300" s="53"/>
      <c r="J300" s="53"/>
      <c r="K300" s="53"/>
      <c r="L300" s="53"/>
      <c r="M300" s="53"/>
      <c r="N300" s="53"/>
      <c r="O300" s="53"/>
      <c r="P300" s="53"/>
      <c r="Q300" s="53"/>
      <c r="R300" s="53"/>
    </row>
    <row r="301" spans="2:21" outlineLevel="1" x14ac:dyDescent="0.25">
      <c r="B301" t="s">
        <v>95</v>
      </c>
      <c r="C301" s="476"/>
      <c r="D301" s="383">
        <f>C304</f>
        <v>7694</v>
      </c>
      <c r="E301" s="383">
        <f t="shared" ref="E301:R301" si="216">D304</f>
        <v>24743</v>
      </c>
      <c r="F301" s="383">
        <f t="shared" si="216"/>
        <v>23494.999999999996</v>
      </c>
      <c r="G301" s="383">
        <f t="shared" si="216"/>
        <v>23414</v>
      </c>
      <c r="H301" s="383">
        <f t="shared" si="216"/>
        <v>31816</v>
      </c>
      <c r="I301" s="383">
        <f t="shared" si="216"/>
        <v>30661</v>
      </c>
      <c r="J301" s="383">
        <f t="shared" si="216"/>
        <v>29032</v>
      </c>
      <c r="K301" s="383">
        <f t="shared" si="216"/>
        <v>26749</v>
      </c>
      <c r="L301" s="383">
        <f t="shared" si="216"/>
        <v>23394</v>
      </c>
      <c r="M301" s="383">
        <f t="shared" si="216"/>
        <v>21143</v>
      </c>
      <c r="N301" s="383">
        <f t="shared" si="216"/>
        <v>17393</v>
      </c>
      <c r="O301" s="383">
        <f t="shared" si="216"/>
        <v>13643</v>
      </c>
      <c r="P301" s="383">
        <f t="shared" si="216"/>
        <v>9893</v>
      </c>
      <c r="Q301" s="383">
        <f t="shared" si="216"/>
        <v>6143</v>
      </c>
      <c r="R301" s="383">
        <f t="shared" si="216"/>
        <v>2393</v>
      </c>
      <c r="S301" s="383"/>
    </row>
    <row r="302" spans="2:21" outlineLevel="1" x14ac:dyDescent="0.25">
      <c r="B302" s="8" t="s">
        <v>277</v>
      </c>
      <c r="C302" s="476"/>
      <c r="D302" s="425">
        <f>'Raw Data'!D83</f>
        <v>18350</v>
      </c>
      <c r="E302" s="425">
        <f>'Raw Data'!E83</f>
        <v>-580.00000000000216</v>
      </c>
      <c r="F302" s="425">
        <f>'Raw Data'!F83</f>
        <v>2603.0000000000018</v>
      </c>
      <c r="G302" s="425">
        <f>'Raw Data'!G83</f>
        <v>16132</v>
      </c>
      <c r="H302" s="488"/>
      <c r="I302" s="488"/>
      <c r="J302" s="488"/>
      <c r="K302" s="488"/>
      <c r="L302" s="488"/>
      <c r="M302" s="488"/>
      <c r="N302" s="488"/>
      <c r="O302" s="488"/>
      <c r="P302" s="488"/>
      <c r="Q302" s="488"/>
      <c r="R302" s="488"/>
    </row>
    <row r="303" spans="2:21" outlineLevel="1" x14ac:dyDescent="0.25">
      <c r="B303" s="8" t="s">
        <v>396</v>
      </c>
      <c r="C303" s="476"/>
      <c r="D303" s="425">
        <f>'Raw Data'!D111</f>
        <v>-1301</v>
      </c>
      <c r="E303" s="425">
        <f>'Raw Data'!E111</f>
        <v>-668</v>
      </c>
      <c r="F303" s="425">
        <f>'Raw Data'!F111</f>
        <v>-2684</v>
      </c>
      <c r="G303" s="425">
        <f>'Raw Data'!G111</f>
        <v>-7730</v>
      </c>
      <c r="H303" s="383">
        <f>-G320</f>
        <v>-1155</v>
      </c>
      <c r="I303" s="425">
        <f>-'Raw Data'!C164</f>
        <v>-1629</v>
      </c>
      <c r="J303" s="425">
        <f>-'Raw Data'!D164</f>
        <v>-2283</v>
      </c>
      <c r="K303" s="425">
        <f>-'Raw Data'!E164</f>
        <v>-3355</v>
      </c>
      <c r="L303" s="425">
        <f>-'Raw Data'!F164</f>
        <v>-2251</v>
      </c>
      <c r="M303" s="425">
        <f>-'Raw Data'!$G$164/6</f>
        <v>-3750</v>
      </c>
      <c r="N303" s="425">
        <f>-'Raw Data'!$G$164/6</f>
        <v>-3750</v>
      </c>
      <c r="O303" s="425">
        <f>-'Raw Data'!$G$164/6</f>
        <v>-3750</v>
      </c>
      <c r="P303" s="425">
        <f>-'Raw Data'!$G$164/6</f>
        <v>-3750</v>
      </c>
      <c r="Q303" s="425">
        <f>-'Raw Data'!$G$164/6</f>
        <v>-3750</v>
      </c>
      <c r="R303" s="425">
        <f>-MAX(Q303,R301)</f>
        <v>-2393</v>
      </c>
      <c r="S303" s="383"/>
    </row>
    <row r="304" spans="2:21" outlineLevel="1" x14ac:dyDescent="0.25">
      <c r="B304" s="13" t="s">
        <v>98</v>
      </c>
      <c r="C304" s="384">
        <f>C319</f>
        <v>7694</v>
      </c>
      <c r="D304" s="384">
        <f>SUM(D301:D303)</f>
        <v>24743</v>
      </c>
      <c r="E304" s="384">
        <f t="shared" ref="E304:R304" si="217">SUM(E301:E303)</f>
        <v>23494.999999999996</v>
      </c>
      <c r="F304" s="384">
        <f t="shared" si="217"/>
        <v>23414</v>
      </c>
      <c r="G304" s="384">
        <f t="shared" si="217"/>
        <v>31816</v>
      </c>
      <c r="H304" s="384">
        <f t="shared" si="217"/>
        <v>30661</v>
      </c>
      <c r="I304" s="384">
        <f t="shared" si="217"/>
        <v>29032</v>
      </c>
      <c r="J304" s="384">
        <f t="shared" si="217"/>
        <v>26749</v>
      </c>
      <c r="K304" s="384">
        <f t="shared" si="217"/>
        <v>23394</v>
      </c>
      <c r="L304" s="384">
        <f t="shared" si="217"/>
        <v>21143</v>
      </c>
      <c r="M304" s="384">
        <f t="shared" si="217"/>
        <v>17393</v>
      </c>
      <c r="N304" s="384">
        <f t="shared" si="217"/>
        <v>13643</v>
      </c>
      <c r="O304" s="384">
        <f t="shared" si="217"/>
        <v>9893</v>
      </c>
      <c r="P304" s="384">
        <f t="shared" si="217"/>
        <v>6143</v>
      </c>
      <c r="Q304" s="384">
        <f t="shared" si="217"/>
        <v>2393</v>
      </c>
      <c r="R304" s="384">
        <f t="shared" si="217"/>
        <v>0</v>
      </c>
    </row>
    <row r="305" spans="2:21" outlineLevel="1" x14ac:dyDescent="0.25">
      <c r="C305" s="383"/>
      <c r="D305" s="383"/>
      <c r="E305" s="383"/>
      <c r="F305" s="383"/>
      <c r="G305" s="383"/>
      <c r="H305" s="383"/>
      <c r="I305" s="383"/>
      <c r="J305" s="383"/>
      <c r="K305" s="383"/>
      <c r="L305" s="383"/>
      <c r="M305" s="383"/>
      <c r="N305" s="383"/>
      <c r="O305" s="383"/>
      <c r="P305" s="383"/>
      <c r="Q305" s="383"/>
      <c r="R305" s="383"/>
    </row>
    <row r="306" spans="2:21" outlineLevel="1" x14ac:dyDescent="0.25">
      <c r="C306" s="23"/>
      <c r="D306" s="23"/>
      <c r="E306" s="23"/>
      <c r="F306" s="23"/>
      <c r="G306" s="23"/>
      <c r="H306" s="23"/>
      <c r="I306" s="23"/>
      <c r="J306" s="23"/>
      <c r="K306" s="23"/>
      <c r="L306" s="23"/>
      <c r="M306" s="23"/>
      <c r="N306" s="23"/>
      <c r="O306" s="23"/>
      <c r="P306" s="23"/>
      <c r="Q306" s="23"/>
      <c r="R306" s="23"/>
    </row>
    <row r="307" spans="2:21" outlineLevel="1" x14ac:dyDescent="0.25">
      <c r="B307" s="352" t="s">
        <v>280</v>
      </c>
      <c r="C307" s="353"/>
      <c r="D307" s="353"/>
      <c r="E307" s="353"/>
      <c r="F307" s="353"/>
      <c r="G307" s="353"/>
      <c r="H307" s="353"/>
      <c r="I307" s="353"/>
      <c r="J307" s="353"/>
      <c r="K307" s="353"/>
      <c r="L307" s="353"/>
      <c r="M307" s="353"/>
      <c r="N307" s="353"/>
      <c r="O307" s="353"/>
      <c r="P307" s="353"/>
      <c r="Q307" s="353"/>
      <c r="R307" s="353"/>
      <c r="T307" s="23"/>
      <c r="U307" s="23"/>
    </row>
    <row r="308" spans="2:21" ht="5.4" customHeight="1" outlineLevel="1" x14ac:dyDescent="0.25">
      <c r="B308" s="192"/>
      <c r="C308" s="53"/>
      <c r="D308" s="53"/>
      <c r="E308" s="53"/>
      <c r="F308" s="53"/>
      <c r="G308" s="53"/>
      <c r="H308" s="53"/>
      <c r="I308" s="53"/>
      <c r="J308" s="53"/>
      <c r="K308" s="53"/>
      <c r="L308" s="53"/>
      <c r="M308" s="53"/>
      <c r="N308" s="53"/>
      <c r="O308" s="53"/>
      <c r="P308" s="53"/>
      <c r="Q308" s="53"/>
      <c r="R308" s="53"/>
      <c r="T308" s="23"/>
      <c r="U308" s="23"/>
    </row>
    <row r="309" spans="2:21" outlineLevel="1" x14ac:dyDescent="0.25">
      <c r="B309" t="s">
        <v>95</v>
      </c>
      <c r="C309" s="476"/>
      <c r="D309" s="476"/>
      <c r="E309" s="476"/>
      <c r="F309" s="476"/>
      <c r="G309" s="476"/>
      <c r="H309" s="383">
        <v>0</v>
      </c>
      <c r="I309" s="383">
        <v>0</v>
      </c>
      <c r="J309" s="383">
        <v>0</v>
      </c>
      <c r="K309" s="383">
        <v>0</v>
      </c>
      <c r="L309" s="383">
        <v>0</v>
      </c>
      <c r="M309" s="383">
        <v>0</v>
      </c>
      <c r="N309" s="383">
        <v>0</v>
      </c>
      <c r="O309" s="383">
        <v>0</v>
      </c>
      <c r="P309" s="383">
        <v>0</v>
      </c>
      <c r="Q309" s="383">
        <v>0</v>
      </c>
      <c r="R309" s="383">
        <v>0</v>
      </c>
      <c r="S309" s="23"/>
      <c r="T309" s="241"/>
      <c r="U309" s="241"/>
    </row>
    <row r="310" spans="2:21" outlineLevel="1" x14ac:dyDescent="0.25">
      <c r="B310" s="8" t="s">
        <v>277</v>
      </c>
      <c r="C310" s="476"/>
      <c r="D310" s="479"/>
      <c r="E310" s="479"/>
      <c r="F310" s="479"/>
      <c r="G310" s="479"/>
      <c r="H310" s="383">
        <f>H294</f>
        <v>0</v>
      </c>
      <c r="I310" s="383">
        <f t="shared" ref="I310:R310" si="218">I294</f>
        <v>0</v>
      </c>
      <c r="J310" s="383">
        <f t="shared" si="218"/>
        <v>0</v>
      </c>
      <c r="K310" s="383">
        <f t="shared" si="218"/>
        <v>0</v>
      </c>
      <c r="L310" s="383">
        <f t="shared" si="218"/>
        <v>0</v>
      </c>
      <c r="M310" s="383">
        <f t="shared" si="218"/>
        <v>0</v>
      </c>
      <c r="N310" s="383">
        <f t="shared" si="218"/>
        <v>0</v>
      </c>
      <c r="O310" s="383">
        <f t="shared" si="218"/>
        <v>0</v>
      </c>
      <c r="P310" s="383">
        <f t="shared" si="218"/>
        <v>0</v>
      </c>
      <c r="Q310" s="383">
        <f t="shared" si="218"/>
        <v>0</v>
      </c>
      <c r="R310" s="383">
        <f t="shared" si="218"/>
        <v>0</v>
      </c>
      <c r="S310" s="241"/>
      <c r="T310" s="242"/>
      <c r="U310" s="242"/>
    </row>
    <row r="311" spans="2:21" outlineLevel="1" x14ac:dyDescent="0.25">
      <c r="B311" s="8" t="s">
        <v>100</v>
      </c>
      <c r="C311" s="476"/>
      <c r="D311" s="479"/>
      <c r="E311" s="479"/>
      <c r="F311" s="479"/>
      <c r="G311" s="479"/>
      <c r="H311" s="383">
        <f>-SUM($H294:H294)/'Control Panel'!$G$49</f>
        <v>0</v>
      </c>
      <c r="I311" s="383">
        <f>-SUM($H294:I294)/'Control Panel'!$G$49</f>
        <v>0</v>
      </c>
      <c r="J311" s="383">
        <f>-SUM($H294:J294)/'Control Panel'!$G$49</f>
        <v>0</v>
      </c>
      <c r="K311" s="383">
        <f>-SUM($H294:K294)/'Control Panel'!$G$49</f>
        <v>0</v>
      </c>
      <c r="L311" s="383">
        <f>-SUM($H294:L294)/'Control Panel'!$G$49</f>
        <v>0</v>
      </c>
      <c r="M311" s="383">
        <f>-SUM($H294:M294)/'Control Panel'!$G$49</f>
        <v>0</v>
      </c>
      <c r="N311" s="383">
        <f>-SUM($H294:N294)/'Control Panel'!$G$49</f>
        <v>0</v>
      </c>
      <c r="O311" s="383">
        <f>-SUM($H294:O294)/'Control Panel'!$G$49</f>
        <v>0</v>
      </c>
      <c r="P311" s="383">
        <f>-SUM($H294:P294)/'Control Panel'!$G$49</f>
        <v>0</v>
      </c>
      <c r="Q311" s="383">
        <f>-SUM($H294:Q294)/'Control Panel'!$G$49</f>
        <v>0</v>
      </c>
      <c r="R311" s="383">
        <f>-SUM($H294:R294)/'Control Panel'!$G$49</f>
        <v>0</v>
      </c>
      <c r="S311" s="242"/>
      <c r="T311" s="23"/>
      <c r="U311" s="23"/>
    </row>
    <row r="312" spans="2:21" outlineLevel="1" x14ac:dyDescent="0.25">
      <c r="B312" s="13" t="s">
        <v>98</v>
      </c>
      <c r="C312" s="384"/>
      <c r="D312" s="384"/>
      <c r="E312" s="384"/>
      <c r="F312" s="384"/>
      <c r="G312" s="384">
        <v>0</v>
      </c>
      <c r="H312" s="384">
        <v>0</v>
      </c>
      <c r="I312" s="384">
        <v>0</v>
      </c>
      <c r="J312" s="384">
        <v>0</v>
      </c>
      <c r="K312" s="384">
        <v>0</v>
      </c>
      <c r="L312" s="384">
        <v>0</v>
      </c>
      <c r="M312" s="384">
        <v>0</v>
      </c>
      <c r="N312" s="384">
        <v>0</v>
      </c>
      <c r="O312" s="384">
        <v>0</v>
      </c>
      <c r="P312" s="384">
        <v>0</v>
      </c>
      <c r="Q312" s="384">
        <v>0</v>
      </c>
      <c r="R312" s="384">
        <v>0</v>
      </c>
      <c r="S312" s="23"/>
    </row>
    <row r="313" spans="2:21" outlineLevel="1" x14ac:dyDescent="0.25">
      <c r="C313" s="383"/>
      <c r="D313" s="383"/>
      <c r="E313" s="383"/>
      <c r="F313" s="383"/>
      <c r="G313" s="383"/>
      <c r="H313" s="383"/>
      <c r="I313" s="383"/>
      <c r="J313" s="383"/>
      <c r="K313" s="383"/>
      <c r="L313" s="383"/>
      <c r="M313" s="383"/>
      <c r="N313" s="383"/>
      <c r="O313" s="383"/>
      <c r="P313" s="383"/>
      <c r="Q313" s="383"/>
      <c r="R313" s="383"/>
      <c r="S313" s="23"/>
    </row>
    <row r="314" spans="2:21" outlineLevel="1" x14ac:dyDescent="0.25">
      <c r="B314" s="352" t="s">
        <v>552</v>
      </c>
      <c r="C314" s="353"/>
      <c r="D314" s="353"/>
      <c r="E314" s="353"/>
      <c r="F314" s="353"/>
      <c r="G314" s="353"/>
      <c r="H314" s="353"/>
      <c r="I314" s="353"/>
      <c r="J314" s="353"/>
      <c r="K314" s="353"/>
      <c r="L314" s="353"/>
      <c r="M314" s="353"/>
      <c r="N314" s="353"/>
      <c r="O314" s="353"/>
      <c r="P314" s="353"/>
      <c r="Q314" s="353"/>
      <c r="R314" s="353"/>
      <c r="S314" s="23"/>
    </row>
    <row r="315" spans="2:21" ht="5.4" customHeight="1" outlineLevel="1" x14ac:dyDescent="0.25">
      <c r="B315" s="192"/>
      <c r="C315" s="53"/>
      <c r="D315" s="53"/>
      <c r="E315" s="53"/>
      <c r="F315" s="53"/>
      <c r="G315" s="53"/>
      <c r="H315" s="53"/>
      <c r="I315" s="53"/>
      <c r="J315" s="53"/>
      <c r="K315" s="53"/>
      <c r="L315" s="53"/>
      <c r="M315" s="53"/>
      <c r="N315" s="53"/>
      <c r="O315" s="53"/>
      <c r="P315" s="53"/>
      <c r="Q315" s="53"/>
      <c r="R315" s="53"/>
      <c r="S315" s="23"/>
    </row>
    <row r="316" spans="2:21" outlineLevel="1" x14ac:dyDescent="0.25">
      <c r="B316" s="1" t="s">
        <v>278</v>
      </c>
      <c r="C316" s="386">
        <f>C321</f>
        <v>8750</v>
      </c>
      <c r="D316" s="386">
        <f t="shared" ref="D316:G316" si="219">D321</f>
        <v>24843</v>
      </c>
      <c r="E316" s="386">
        <f t="shared" si="219"/>
        <v>24866</v>
      </c>
      <c r="F316" s="386">
        <f t="shared" si="219"/>
        <v>24719</v>
      </c>
      <c r="G316" s="386">
        <f t="shared" si="219"/>
        <v>32971</v>
      </c>
      <c r="H316" s="386">
        <f>H312+H304</f>
        <v>30661</v>
      </c>
      <c r="I316" s="386">
        <f t="shared" ref="I316:R316" si="220">I312+I304</f>
        <v>29032</v>
      </c>
      <c r="J316" s="386">
        <f t="shared" si="220"/>
        <v>26749</v>
      </c>
      <c r="K316" s="386">
        <f t="shared" si="220"/>
        <v>23394</v>
      </c>
      <c r="L316" s="386">
        <f t="shared" si="220"/>
        <v>21143</v>
      </c>
      <c r="M316" s="386">
        <f t="shared" si="220"/>
        <v>17393</v>
      </c>
      <c r="N316" s="386">
        <f t="shared" si="220"/>
        <v>13643</v>
      </c>
      <c r="O316" s="386">
        <f t="shared" si="220"/>
        <v>9893</v>
      </c>
      <c r="P316" s="386">
        <f t="shared" si="220"/>
        <v>6143</v>
      </c>
      <c r="Q316" s="386">
        <f t="shared" si="220"/>
        <v>2393</v>
      </c>
      <c r="R316" s="386">
        <f t="shared" si="220"/>
        <v>0</v>
      </c>
      <c r="S316" s="23"/>
    </row>
    <row r="317" spans="2:21" outlineLevel="1" x14ac:dyDescent="0.25">
      <c r="B317" s="1" t="s">
        <v>436</v>
      </c>
      <c r="C317" s="571">
        <f>C125</f>
        <v>267</v>
      </c>
      <c r="D317" s="571">
        <f t="shared" ref="D317:G317" si="221">D125</f>
        <v>14927</v>
      </c>
      <c r="E317" s="571">
        <f t="shared" si="221"/>
        <v>100</v>
      </c>
      <c r="F317" s="571">
        <f t="shared" si="221"/>
        <v>-411</v>
      </c>
      <c r="G317" s="571">
        <f t="shared" si="221"/>
        <v>9591</v>
      </c>
      <c r="H317" s="386">
        <f>H303+H310+H311</f>
        <v>-1155</v>
      </c>
      <c r="I317" s="386">
        <f t="shared" ref="I317:R317" si="222">I303+I310+I311</f>
        <v>-1629</v>
      </c>
      <c r="J317" s="386">
        <f t="shared" si="222"/>
        <v>-2283</v>
      </c>
      <c r="K317" s="386">
        <f t="shared" si="222"/>
        <v>-3355</v>
      </c>
      <c r="L317" s="386">
        <f t="shared" si="222"/>
        <v>-2251</v>
      </c>
      <c r="M317" s="386">
        <f t="shared" si="222"/>
        <v>-3750</v>
      </c>
      <c r="N317" s="386">
        <f t="shared" si="222"/>
        <v>-3750</v>
      </c>
      <c r="O317" s="386">
        <f t="shared" si="222"/>
        <v>-3750</v>
      </c>
      <c r="P317" s="386">
        <f t="shared" si="222"/>
        <v>-3750</v>
      </c>
      <c r="Q317" s="386">
        <f t="shared" si="222"/>
        <v>-3750</v>
      </c>
      <c r="R317" s="386">
        <f t="shared" si="222"/>
        <v>-2393</v>
      </c>
      <c r="S317" s="23"/>
    </row>
    <row r="318" spans="2:21" outlineLevel="1" x14ac:dyDescent="0.25">
      <c r="C318" s="23"/>
      <c r="D318" s="23"/>
      <c r="E318" s="26"/>
      <c r="F318" s="26"/>
      <c r="G318" s="26"/>
      <c r="H318" s="23"/>
      <c r="I318" s="23"/>
      <c r="J318" s="23"/>
      <c r="K318" s="23"/>
      <c r="L318" s="23"/>
      <c r="M318" s="23"/>
      <c r="N318" s="23"/>
      <c r="O318" s="23"/>
      <c r="P318" s="23"/>
      <c r="Q318" s="23"/>
      <c r="R318" s="23"/>
    </row>
    <row r="319" spans="2:21" outlineLevel="1" x14ac:dyDescent="0.25">
      <c r="B319" t="s">
        <v>99</v>
      </c>
      <c r="C319" s="383">
        <f>C82</f>
        <v>7694</v>
      </c>
      <c r="D319" s="383">
        <f t="shared" ref="D319:G319" si="223">D82</f>
        <v>24743</v>
      </c>
      <c r="E319" s="383">
        <f t="shared" si="223"/>
        <v>23495</v>
      </c>
      <c r="F319" s="383">
        <f t="shared" si="223"/>
        <v>23414</v>
      </c>
      <c r="G319" s="383">
        <f t="shared" si="223"/>
        <v>31816</v>
      </c>
      <c r="H319" s="489"/>
      <c r="I319" s="489"/>
      <c r="J319" s="489"/>
      <c r="K319" s="489"/>
      <c r="L319" s="489"/>
      <c r="M319" s="489"/>
      <c r="N319" s="489"/>
      <c r="O319" s="489"/>
      <c r="P319" s="489"/>
      <c r="Q319" s="489"/>
      <c r="R319" s="489"/>
    </row>
    <row r="320" spans="2:21" outlineLevel="1" x14ac:dyDescent="0.25">
      <c r="B320" t="s">
        <v>437</v>
      </c>
      <c r="C320" s="425">
        <f>'Raw Data'!C81</f>
        <v>1056</v>
      </c>
      <c r="D320" s="425">
        <f>'Raw Data'!D81</f>
        <v>100</v>
      </c>
      <c r="E320" s="425">
        <f>'Raw Data'!E81</f>
        <v>1371</v>
      </c>
      <c r="F320" s="425">
        <f>'Raw Data'!F81</f>
        <v>1305</v>
      </c>
      <c r="G320" s="425">
        <f>'Raw Data'!G81</f>
        <v>1155</v>
      </c>
      <c r="H320" s="489"/>
      <c r="I320" s="489"/>
      <c r="J320" s="489"/>
      <c r="K320" s="489"/>
      <c r="L320" s="489"/>
      <c r="M320" s="489"/>
      <c r="N320" s="489"/>
      <c r="O320" s="489"/>
      <c r="P320" s="489"/>
      <c r="Q320" s="489"/>
      <c r="R320" s="489"/>
    </row>
    <row r="321" spans="2:19" outlineLevel="1" x14ac:dyDescent="0.25">
      <c r="B321" s="11" t="s">
        <v>278</v>
      </c>
      <c r="C321" s="387">
        <f>SUM(C319:C320)</f>
        <v>8750</v>
      </c>
      <c r="D321" s="387">
        <f t="shared" ref="D321:G321" si="224">SUM(D319:D320)</f>
        <v>24843</v>
      </c>
      <c r="E321" s="387">
        <f t="shared" si="224"/>
        <v>24866</v>
      </c>
      <c r="F321" s="387">
        <f t="shared" si="224"/>
        <v>24719</v>
      </c>
      <c r="G321" s="387">
        <f t="shared" si="224"/>
        <v>32971</v>
      </c>
      <c r="H321" s="387"/>
      <c r="I321" s="387"/>
      <c r="J321" s="387"/>
      <c r="K321" s="387"/>
      <c r="L321" s="387"/>
      <c r="M321" s="387"/>
      <c r="N321" s="387"/>
      <c r="O321" s="387"/>
      <c r="P321" s="387"/>
      <c r="Q321" s="387"/>
      <c r="R321" s="387"/>
    </row>
    <row r="322" spans="2:19" outlineLevel="1" x14ac:dyDescent="0.25">
      <c r="B322" s="1"/>
      <c r="C322" s="25"/>
      <c r="D322" s="25"/>
      <c r="E322" s="25"/>
      <c r="F322" s="25"/>
      <c r="G322" s="25"/>
      <c r="H322" s="25"/>
      <c r="I322" s="25"/>
      <c r="J322" s="25"/>
      <c r="K322" s="25"/>
      <c r="L322" s="25"/>
      <c r="M322" s="25"/>
      <c r="N322" s="25"/>
      <c r="O322" s="25"/>
      <c r="P322" s="25"/>
      <c r="Q322" s="25"/>
      <c r="R322" s="25"/>
    </row>
    <row r="323" spans="2:19" outlineLevel="1" x14ac:dyDescent="0.25">
      <c r="B323" t="s">
        <v>292</v>
      </c>
      <c r="C323" s="383">
        <f>-C45</f>
        <v>484</v>
      </c>
      <c r="D323" s="383">
        <f t="shared" ref="D323:G323" si="225">-D45</f>
        <v>848</v>
      </c>
      <c r="E323" s="383">
        <f t="shared" si="225"/>
        <v>1417</v>
      </c>
      <c r="F323" s="383">
        <f t="shared" si="225"/>
        <v>1600</v>
      </c>
      <c r="G323" s="383">
        <f t="shared" si="225"/>
        <v>1647</v>
      </c>
      <c r="H323" s="383">
        <f>(AVERAGE(G304:H304)+AVERAGE(G312:H312))*'Control Panel'!$F$22</f>
        <v>936.27743717886085</v>
      </c>
      <c r="I323" s="383">
        <f>(AVERAGE(H304:I304)+AVERAGE(H312:I312))*'Control Panel'!$F$22</f>
        <v>894.55654172763957</v>
      </c>
      <c r="J323" s="383">
        <f>(AVERAGE(I304:J304)+AVERAGE(I312:J312))*'Control Panel'!$F$22</f>
        <v>835.93149036083742</v>
      </c>
      <c r="K323" s="383">
        <f>(AVERAGE(J304:K304)+AVERAGE(J312:K312))*'Control Panel'!$F$22</f>
        <v>751.44068269058403</v>
      </c>
      <c r="L323" s="383">
        <f>(AVERAGE(K304:L304)+AVERAGE(K312:L312))*'Control Panel'!$F$22</f>
        <v>667.42942554275851</v>
      </c>
      <c r="M323" s="383">
        <f>(AVERAGE(L304:M304)+AVERAGE(L312:M312))*'Control Panel'!$F$22</f>
        <v>577.49871663371448</v>
      </c>
      <c r="N323" s="383">
        <f>(AVERAGE(M304:N304)+AVERAGE(M312:N312))*'Control Panel'!$F$22</f>
        <v>465.1040629396918</v>
      </c>
      <c r="O323" s="383">
        <f>(AVERAGE(N304:O304)+AVERAGE(N312:O312))*'Control Panel'!$F$22</f>
        <v>352.70940924566912</v>
      </c>
      <c r="P323" s="383">
        <f>(AVERAGE(O304:P304)+AVERAGE(O312:P312))*'Control Panel'!$F$22</f>
        <v>240.31475555164641</v>
      </c>
      <c r="Q323" s="383">
        <f>(AVERAGE(P304:Q304)+AVERAGE(P312:Q312))*'Control Panel'!$F$22</f>
        <v>127.92010185762371</v>
      </c>
      <c r="R323" s="383">
        <f>(AVERAGE(Q304:R304)+AVERAGE(Q312:R312))*'Control Panel'!$F$22</f>
        <v>35.861387505306176</v>
      </c>
    </row>
    <row r="324" spans="2:19" outlineLevel="1" x14ac:dyDescent="0.25">
      <c r="B324" t="s">
        <v>293</v>
      </c>
      <c r="C324" s="23"/>
      <c r="D324" s="373">
        <f>D323/((AVERAGE(D301,D304)+AVERAGE(C231:D231)))</f>
        <v>2.6750366713458779E-2</v>
      </c>
      <c r="E324" s="373">
        <f t="shared" ref="E324:G324" si="226">E323/((AVERAGE(E301,E304)+AVERAGE(D231:E231)))</f>
        <v>3.0816071331484805E-2</v>
      </c>
      <c r="F324" s="373">
        <f t="shared" si="226"/>
        <v>3.2549765539970098E-2</v>
      </c>
      <c r="G324" s="373">
        <f t="shared" si="226"/>
        <v>2.977142702204387E-2</v>
      </c>
      <c r="H324" s="490"/>
      <c r="I324" s="490"/>
      <c r="J324" s="490"/>
      <c r="K324" s="490"/>
      <c r="L324" s="490"/>
      <c r="M324" s="490"/>
      <c r="N324" s="490"/>
      <c r="O324" s="490"/>
      <c r="P324" s="490"/>
      <c r="Q324" s="490"/>
      <c r="R324" s="490"/>
    </row>
    <row r="325" spans="2:19" outlineLevel="1" x14ac:dyDescent="0.25">
      <c r="C325" s="23"/>
      <c r="D325" s="373"/>
      <c r="E325" s="373"/>
      <c r="F325" s="373"/>
      <c r="G325" s="373"/>
      <c r="H325" s="87"/>
      <c r="I325" s="87"/>
      <c r="J325" s="87"/>
      <c r="K325" s="87"/>
      <c r="L325" s="87"/>
      <c r="M325" s="87"/>
      <c r="N325" s="87"/>
      <c r="O325" s="87"/>
      <c r="P325" s="87"/>
      <c r="Q325" s="87"/>
      <c r="R325" s="87"/>
    </row>
    <row r="326" spans="2:19" outlineLevel="1" x14ac:dyDescent="0.25"/>
    <row r="327" spans="2:19" x14ac:dyDescent="0.25">
      <c r="B327" s="218" t="s">
        <v>274</v>
      </c>
      <c r="C327" s="218"/>
      <c r="D327" s="218"/>
      <c r="E327" s="218"/>
      <c r="F327" s="218"/>
      <c r="G327" s="218"/>
      <c r="H327" s="218"/>
      <c r="I327" s="218"/>
      <c r="J327" s="218"/>
      <c r="K327" s="218"/>
      <c r="L327" s="218"/>
      <c r="M327" s="218"/>
      <c r="N327" s="218"/>
      <c r="O327" s="218"/>
      <c r="P327" s="218"/>
      <c r="Q327" s="218"/>
      <c r="R327" s="218"/>
    </row>
    <row r="328" spans="2:19" ht="5.4" customHeight="1" outlineLevel="1" x14ac:dyDescent="0.25"/>
    <row r="329" spans="2:19" outlineLevel="1" x14ac:dyDescent="0.25">
      <c r="B329" t="s">
        <v>123</v>
      </c>
      <c r="C329" s="383">
        <f>C43</f>
        <v>4186</v>
      </c>
      <c r="D329" s="383">
        <f t="shared" ref="D329:R329" si="227">D43</f>
        <v>4106</v>
      </c>
      <c r="E329" s="383">
        <f t="shared" si="227"/>
        <v>12421</v>
      </c>
      <c r="F329" s="383">
        <f t="shared" si="227"/>
        <v>14541</v>
      </c>
      <c r="G329" s="383">
        <f t="shared" si="227"/>
        <v>22899</v>
      </c>
      <c r="H329" s="383">
        <f t="shared" si="227"/>
        <v>20648.463863608486</v>
      </c>
      <c r="I329" s="383">
        <f t="shared" si="227"/>
        <v>24485.634543879074</v>
      </c>
      <c r="J329" s="383">
        <f t="shared" si="227"/>
        <v>28230.520954672364</v>
      </c>
      <c r="K329" s="383">
        <f t="shared" si="227"/>
        <v>31768.887150660739</v>
      </c>
      <c r="L329" s="383">
        <f t="shared" si="227"/>
        <v>35019.709523602272</v>
      </c>
      <c r="M329" s="383">
        <f t="shared" si="227"/>
        <v>37935.521831314662</v>
      </c>
      <c r="N329" s="383">
        <f t="shared" si="227"/>
        <v>40498.177444955567</v>
      </c>
      <c r="O329" s="383">
        <f t="shared" si="227"/>
        <v>42712.294440001133</v>
      </c>
      <c r="P329" s="383">
        <f t="shared" si="227"/>
        <v>44598.242494838778</v>
      </c>
      <c r="Q329" s="383">
        <f t="shared" si="227"/>
        <v>46185.861063651973</v>
      </c>
      <c r="R329" s="383">
        <f t="shared" si="227"/>
        <v>47509.467685010517</v>
      </c>
      <c r="S329" s="23"/>
    </row>
    <row r="330" spans="2:19" outlineLevel="1" x14ac:dyDescent="0.25">
      <c r="B330" t="s">
        <v>124</v>
      </c>
      <c r="C330" s="383">
        <f>C105</f>
        <v>8116</v>
      </c>
      <c r="D330" s="383">
        <f t="shared" ref="D330:R330" si="228">D105</f>
        <v>11478</v>
      </c>
      <c r="E330" s="383">
        <f t="shared" si="228"/>
        <v>15341</v>
      </c>
      <c r="F330" s="383">
        <f t="shared" si="228"/>
        <v>21789</v>
      </c>
      <c r="G330" s="383">
        <f t="shared" si="228"/>
        <v>25251</v>
      </c>
      <c r="H330" s="383">
        <f t="shared" si="228"/>
        <v>18083.839385943713</v>
      </c>
      <c r="I330" s="383">
        <f t="shared" si="228"/>
        <v>23818.13184758434</v>
      </c>
      <c r="J330" s="383">
        <f t="shared" si="228"/>
        <v>30429.439518964755</v>
      </c>
      <c r="K330" s="383">
        <f t="shared" si="228"/>
        <v>37869.397416575586</v>
      </c>
      <c r="L330" s="383">
        <f t="shared" si="228"/>
        <v>46070.665632442062</v>
      </c>
      <c r="M330" s="383">
        <f t="shared" si="228"/>
        <v>54954.78813602202</v>
      </c>
      <c r="N330" s="383">
        <f t="shared" si="228"/>
        <v>60361.639781660488</v>
      </c>
      <c r="O330" s="383">
        <f t="shared" si="228"/>
        <v>69345.080156926575</v>
      </c>
      <c r="P330" s="383">
        <f t="shared" si="228"/>
        <v>79789.545677404793</v>
      </c>
      <c r="Q330" s="383">
        <f t="shared" si="228"/>
        <v>90605.815701245621</v>
      </c>
      <c r="R330" s="383">
        <f t="shared" si="228"/>
        <v>88744.996059665224</v>
      </c>
      <c r="S330" s="23"/>
    </row>
    <row r="331" spans="2:19" outlineLevel="1" x14ac:dyDescent="0.25">
      <c r="B331" s="11" t="s">
        <v>125</v>
      </c>
      <c r="C331" s="387">
        <f>SUM(C329:C330)</f>
        <v>12302</v>
      </c>
      <c r="D331" s="387">
        <f t="shared" ref="D331:R331" si="229">SUM(D329:D330)</f>
        <v>15584</v>
      </c>
      <c r="E331" s="387">
        <f t="shared" si="229"/>
        <v>27762</v>
      </c>
      <c r="F331" s="387">
        <f t="shared" si="229"/>
        <v>36330</v>
      </c>
      <c r="G331" s="387">
        <f t="shared" si="229"/>
        <v>48150</v>
      </c>
      <c r="H331" s="387">
        <f t="shared" si="229"/>
        <v>38732.303249552198</v>
      </c>
      <c r="I331" s="387">
        <f t="shared" si="229"/>
        <v>48303.766391463418</v>
      </c>
      <c r="J331" s="387">
        <f t="shared" si="229"/>
        <v>58659.960473637118</v>
      </c>
      <c r="K331" s="387">
        <f t="shared" si="229"/>
        <v>69638.284567236318</v>
      </c>
      <c r="L331" s="387">
        <f t="shared" si="229"/>
        <v>81090.375156044334</v>
      </c>
      <c r="M331" s="387">
        <f t="shared" si="229"/>
        <v>92890.309967336681</v>
      </c>
      <c r="N331" s="387">
        <f t="shared" si="229"/>
        <v>100859.81722661605</v>
      </c>
      <c r="O331" s="387">
        <f t="shared" si="229"/>
        <v>112057.37459692771</v>
      </c>
      <c r="P331" s="387">
        <f t="shared" si="229"/>
        <v>124387.78817224357</v>
      </c>
      <c r="Q331" s="387">
        <f t="shared" si="229"/>
        <v>136791.67676489759</v>
      </c>
      <c r="R331" s="387">
        <f t="shared" si="229"/>
        <v>136254.46374467574</v>
      </c>
      <c r="S331" s="23"/>
    </row>
    <row r="332" spans="2:19" outlineLevel="1" x14ac:dyDescent="0.25">
      <c r="B332" s="1"/>
      <c r="C332" s="355"/>
      <c r="D332" s="355"/>
      <c r="E332" s="355"/>
      <c r="F332" s="355"/>
      <c r="G332" s="355"/>
      <c r="H332" s="355"/>
      <c r="I332" s="355"/>
      <c r="J332" s="355"/>
      <c r="K332" s="355"/>
      <c r="L332" s="355"/>
      <c r="M332" s="355"/>
      <c r="N332" s="355"/>
      <c r="O332" s="355"/>
      <c r="P332" s="355"/>
      <c r="Q332" s="355"/>
      <c r="R332" s="355"/>
      <c r="S332" s="23"/>
    </row>
    <row r="333" spans="2:19" outlineLevel="1" x14ac:dyDescent="0.25">
      <c r="B333" t="s">
        <v>126</v>
      </c>
      <c r="C333" s="383">
        <f>C106</f>
        <v>2975</v>
      </c>
      <c r="D333" s="383">
        <f t="shared" ref="D333:R333" si="230">D106</f>
        <v>4215</v>
      </c>
      <c r="E333" s="383">
        <f t="shared" si="230"/>
        <v>5418</v>
      </c>
      <c r="F333" s="383">
        <f t="shared" si="230"/>
        <v>6864</v>
      </c>
      <c r="G333" s="383">
        <f t="shared" si="230"/>
        <v>9208</v>
      </c>
      <c r="H333" s="383">
        <f t="shared" si="230"/>
        <v>11081.772900603593</v>
      </c>
      <c r="I333" s="383">
        <f t="shared" si="230"/>
        <v>13141.134523845558</v>
      </c>
      <c r="J333" s="383">
        <f t="shared" si="230"/>
        <v>15150.968331197584</v>
      </c>
      <c r="K333" s="383">
        <f t="shared" si="230"/>
        <v>17049.965316257792</v>
      </c>
      <c r="L333" s="383">
        <f t="shared" si="230"/>
        <v>18794.641119508797</v>
      </c>
      <c r="M333" s="383">
        <f t="shared" si="230"/>
        <v>20359.521201062995</v>
      </c>
      <c r="N333" s="383">
        <f t="shared" si="230"/>
        <v>21734.866491657627</v>
      </c>
      <c r="O333" s="383">
        <f t="shared" si="230"/>
        <v>22923.155454775304</v>
      </c>
      <c r="P333" s="383">
        <f t="shared" si="230"/>
        <v>23935.320242630583</v>
      </c>
      <c r="Q333" s="383">
        <f t="shared" si="230"/>
        <v>24787.375317941813</v>
      </c>
      <c r="R333" s="383">
        <f t="shared" si="230"/>
        <v>25497.738475439564</v>
      </c>
      <c r="S333" s="23"/>
    </row>
    <row r="334" spans="2:19" outlineLevel="1" x14ac:dyDescent="0.25">
      <c r="B334" s="11" t="s">
        <v>127</v>
      </c>
      <c r="C334" s="387">
        <f>C331+C333</f>
        <v>15277</v>
      </c>
      <c r="D334" s="387">
        <f t="shared" ref="D334:R334" si="231">D331+D333</f>
        <v>19799</v>
      </c>
      <c r="E334" s="387">
        <f t="shared" si="231"/>
        <v>33180</v>
      </c>
      <c r="F334" s="387">
        <f t="shared" si="231"/>
        <v>43194</v>
      </c>
      <c r="G334" s="387">
        <f t="shared" si="231"/>
        <v>57358</v>
      </c>
      <c r="H334" s="387">
        <f t="shared" si="231"/>
        <v>49814.076150155794</v>
      </c>
      <c r="I334" s="387">
        <f t="shared" si="231"/>
        <v>61444.900915308972</v>
      </c>
      <c r="J334" s="387">
        <f t="shared" si="231"/>
        <v>73810.928804834708</v>
      </c>
      <c r="K334" s="387">
        <f t="shared" si="231"/>
        <v>86688.249883494107</v>
      </c>
      <c r="L334" s="387">
        <f t="shared" si="231"/>
        <v>99885.016275553135</v>
      </c>
      <c r="M334" s="387">
        <f t="shared" si="231"/>
        <v>113249.83116839967</v>
      </c>
      <c r="N334" s="387">
        <f t="shared" si="231"/>
        <v>122594.68371827368</v>
      </c>
      <c r="O334" s="387">
        <f t="shared" si="231"/>
        <v>134980.53005170301</v>
      </c>
      <c r="P334" s="387">
        <f t="shared" si="231"/>
        <v>148323.10841487415</v>
      </c>
      <c r="Q334" s="387">
        <f t="shared" si="231"/>
        <v>161579.05208283942</v>
      </c>
      <c r="R334" s="387">
        <f t="shared" si="231"/>
        <v>161752.20222011532</v>
      </c>
      <c r="S334" s="23"/>
    </row>
    <row r="335" spans="2:19" outlineLevel="1" x14ac:dyDescent="0.25">
      <c r="C335" s="355"/>
      <c r="D335" s="355"/>
      <c r="E335" s="355"/>
      <c r="F335" s="355"/>
      <c r="G335" s="355"/>
      <c r="H335" s="355"/>
      <c r="I335" s="355"/>
      <c r="J335" s="355"/>
      <c r="K335" s="355"/>
      <c r="L335" s="355"/>
      <c r="M335" s="355"/>
      <c r="N335" s="355"/>
      <c r="O335" s="355"/>
      <c r="P335" s="355"/>
      <c r="Q335" s="355"/>
      <c r="R335" s="355"/>
      <c r="S335" s="23"/>
    </row>
    <row r="336" spans="2:19" outlineLevel="1" x14ac:dyDescent="0.25">
      <c r="B336" s="1" t="s">
        <v>128</v>
      </c>
      <c r="C336" s="355"/>
      <c r="D336" s="355"/>
      <c r="E336" s="355"/>
      <c r="F336" s="355"/>
      <c r="G336" s="355"/>
      <c r="H336" s="355"/>
      <c r="I336" s="355"/>
      <c r="J336" s="355"/>
      <c r="K336" s="355"/>
      <c r="L336" s="355"/>
      <c r="M336" s="355"/>
      <c r="N336" s="355"/>
      <c r="O336" s="355"/>
      <c r="P336" s="355"/>
      <c r="Q336" s="355"/>
      <c r="R336" s="355"/>
      <c r="S336" s="23"/>
    </row>
    <row r="337" spans="2:19" outlineLevel="1" x14ac:dyDescent="0.25">
      <c r="B337" t="s">
        <v>129</v>
      </c>
      <c r="C337" s="383">
        <f>C43</f>
        <v>4186</v>
      </c>
      <c r="D337" s="383">
        <f t="shared" ref="D337:R337" si="232">D43</f>
        <v>4106</v>
      </c>
      <c r="E337" s="383">
        <f t="shared" si="232"/>
        <v>12421</v>
      </c>
      <c r="F337" s="383">
        <f t="shared" si="232"/>
        <v>14541</v>
      </c>
      <c r="G337" s="383">
        <f t="shared" si="232"/>
        <v>22899</v>
      </c>
      <c r="H337" s="383">
        <f t="shared" si="232"/>
        <v>20648.463863608486</v>
      </c>
      <c r="I337" s="383">
        <f t="shared" si="232"/>
        <v>24485.634543879074</v>
      </c>
      <c r="J337" s="383">
        <f t="shared" si="232"/>
        <v>28230.520954672364</v>
      </c>
      <c r="K337" s="383">
        <f t="shared" si="232"/>
        <v>31768.887150660739</v>
      </c>
      <c r="L337" s="383">
        <f t="shared" si="232"/>
        <v>35019.709523602272</v>
      </c>
      <c r="M337" s="383">
        <f t="shared" si="232"/>
        <v>37935.521831314662</v>
      </c>
      <c r="N337" s="383">
        <f t="shared" si="232"/>
        <v>40498.177444955567</v>
      </c>
      <c r="O337" s="383">
        <f t="shared" si="232"/>
        <v>42712.294440001133</v>
      </c>
      <c r="P337" s="383">
        <f t="shared" si="232"/>
        <v>44598.242494838778</v>
      </c>
      <c r="Q337" s="383">
        <f t="shared" si="232"/>
        <v>46185.861063651973</v>
      </c>
      <c r="R337" s="383">
        <f t="shared" si="232"/>
        <v>47509.467685010517</v>
      </c>
      <c r="S337" s="23"/>
    </row>
    <row r="338" spans="2:19" outlineLevel="1" x14ac:dyDescent="0.25">
      <c r="B338" s="7" t="s">
        <v>130</v>
      </c>
      <c r="C338" s="383">
        <f t="shared" ref="C338:R338" si="233">_TaxRate*-C337</f>
        <v>-1347.8920000000001</v>
      </c>
      <c r="D338" s="383">
        <f t="shared" si="233"/>
        <v>-1322.1320000000001</v>
      </c>
      <c r="E338" s="383">
        <f t="shared" si="233"/>
        <v>-3999.5619999999999</v>
      </c>
      <c r="F338" s="383">
        <f t="shared" si="233"/>
        <v>-4682.2020000000002</v>
      </c>
      <c r="G338" s="383">
        <f t="shared" si="233"/>
        <v>-7373.4780000000001</v>
      </c>
      <c r="H338" s="383">
        <f t="shared" si="233"/>
        <v>-6648.8053640819326</v>
      </c>
      <c r="I338" s="383">
        <f t="shared" si="233"/>
        <v>-7884.3743231290618</v>
      </c>
      <c r="J338" s="383">
        <f t="shared" si="233"/>
        <v>-9090.2277474045004</v>
      </c>
      <c r="K338" s="383">
        <f t="shared" si="233"/>
        <v>-10229.581662512759</v>
      </c>
      <c r="L338" s="383">
        <f t="shared" si="233"/>
        <v>-11276.346466599933</v>
      </c>
      <c r="M338" s="383">
        <f t="shared" si="233"/>
        <v>-12215.238029683322</v>
      </c>
      <c r="N338" s="383">
        <f t="shared" si="233"/>
        <v>-13040.413137275693</v>
      </c>
      <c r="O338" s="383">
        <f t="shared" si="233"/>
        <v>-13753.358809680365</v>
      </c>
      <c r="P338" s="383">
        <f t="shared" si="233"/>
        <v>-14360.634083338087</v>
      </c>
      <c r="Q338" s="383">
        <f t="shared" si="233"/>
        <v>-14871.847262495936</v>
      </c>
      <c r="R338" s="383">
        <f t="shared" si="233"/>
        <v>-15298.048594573387</v>
      </c>
      <c r="S338" s="23"/>
    </row>
    <row r="339" spans="2:19" outlineLevel="1" x14ac:dyDescent="0.25">
      <c r="B339" s="11" t="s">
        <v>131</v>
      </c>
      <c r="C339" s="387">
        <f>SUM(C337:C338)</f>
        <v>2838.1080000000002</v>
      </c>
      <c r="D339" s="387">
        <f t="shared" ref="D339:R339" si="234">SUM(D337:D338)</f>
        <v>2783.8679999999999</v>
      </c>
      <c r="E339" s="387">
        <f t="shared" si="234"/>
        <v>8421.4380000000001</v>
      </c>
      <c r="F339" s="387">
        <f t="shared" si="234"/>
        <v>9858.7979999999989</v>
      </c>
      <c r="G339" s="387">
        <f t="shared" si="234"/>
        <v>15525.522000000001</v>
      </c>
      <c r="H339" s="387">
        <f t="shared" si="234"/>
        <v>13999.658499526553</v>
      </c>
      <c r="I339" s="387">
        <f t="shared" si="234"/>
        <v>16601.260220750013</v>
      </c>
      <c r="J339" s="387">
        <f t="shared" si="234"/>
        <v>19140.293207267863</v>
      </c>
      <c r="K339" s="387">
        <f t="shared" si="234"/>
        <v>21539.30548814798</v>
      </c>
      <c r="L339" s="387">
        <f t="shared" si="234"/>
        <v>23743.363057002338</v>
      </c>
      <c r="M339" s="387">
        <f t="shared" si="234"/>
        <v>25720.28380163134</v>
      </c>
      <c r="N339" s="387">
        <f t="shared" si="234"/>
        <v>27457.764307679874</v>
      </c>
      <c r="O339" s="387">
        <f t="shared" si="234"/>
        <v>28958.935630320768</v>
      </c>
      <c r="P339" s="387">
        <f t="shared" si="234"/>
        <v>30237.608411500689</v>
      </c>
      <c r="Q339" s="387">
        <f t="shared" si="234"/>
        <v>31314.013801156038</v>
      </c>
      <c r="R339" s="387">
        <f t="shared" si="234"/>
        <v>32211.419090437128</v>
      </c>
      <c r="S339" s="23"/>
    </row>
    <row r="340" spans="2:19" outlineLevel="1" x14ac:dyDescent="0.25">
      <c r="B340" s="7" t="s">
        <v>132</v>
      </c>
      <c r="C340" s="383">
        <f>C330</f>
        <v>8116</v>
      </c>
      <c r="D340" s="383">
        <f t="shared" ref="D340:R340" si="235">D330</f>
        <v>11478</v>
      </c>
      <c r="E340" s="383">
        <f t="shared" si="235"/>
        <v>15341</v>
      </c>
      <c r="F340" s="383">
        <f t="shared" si="235"/>
        <v>21789</v>
      </c>
      <c r="G340" s="383">
        <f t="shared" si="235"/>
        <v>25251</v>
      </c>
      <c r="H340" s="383">
        <f t="shared" si="235"/>
        <v>18083.839385943713</v>
      </c>
      <c r="I340" s="383">
        <f t="shared" si="235"/>
        <v>23818.13184758434</v>
      </c>
      <c r="J340" s="383">
        <f t="shared" si="235"/>
        <v>30429.439518964755</v>
      </c>
      <c r="K340" s="383">
        <f t="shared" si="235"/>
        <v>37869.397416575586</v>
      </c>
      <c r="L340" s="383">
        <f t="shared" si="235"/>
        <v>46070.665632442062</v>
      </c>
      <c r="M340" s="383">
        <f t="shared" si="235"/>
        <v>54954.78813602202</v>
      </c>
      <c r="N340" s="383">
        <f t="shared" si="235"/>
        <v>60361.639781660488</v>
      </c>
      <c r="O340" s="383">
        <f t="shared" si="235"/>
        <v>69345.080156926575</v>
      </c>
      <c r="P340" s="383">
        <f t="shared" si="235"/>
        <v>79789.545677404793</v>
      </c>
      <c r="Q340" s="383">
        <f t="shared" si="235"/>
        <v>90605.815701245621</v>
      </c>
      <c r="R340" s="383">
        <f t="shared" si="235"/>
        <v>88744.996059665224</v>
      </c>
      <c r="S340" s="23"/>
    </row>
    <row r="341" spans="2:19" outlineLevel="1" x14ac:dyDescent="0.25">
      <c r="B341" s="7" t="s">
        <v>133</v>
      </c>
      <c r="C341" s="383">
        <f>C333</f>
        <v>2975</v>
      </c>
      <c r="D341" s="383">
        <f t="shared" ref="D341:R341" si="236">D333</f>
        <v>4215</v>
      </c>
      <c r="E341" s="383">
        <f t="shared" si="236"/>
        <v>5418</v>
      </c>
      <c r="F341" s="383">
        <f t="shared" si="236"/>
        <v>6864</v>
      </c>
      <c r="G341" s="383">
        <f t="shared" si="236"/>
        <v>9208</v>
      </c>
      <c r="H341" s="383">
        <f t="shared" si="236"/>
        <v>11081.772900603593</v>
      </c>
      <c r="I341" s="383">
        <f t="shared" si="236"/>
        <v>13141.134523845558</v>
      </c>
      <c r="J341" s="383">
        <f t="shared" si="236"/>
        <v>15150.968331197584</v>
      </c>
      <c r="K341" s="383">
        <f t="shared" si="236"/>
        <v>17049.965316257792</v>
      </c>
      <c r="L341" s="383">
        <f t="shared" si="236"/>
        <v>18794.641119508797</v>
      </c>
      <c r="M341" s="383">
        <f t="shared" si="236"/>
        <v>20359.521201062995</v>
      </c>
      <c r="N341" s="383">
        <f t="shared" si="236"/>
        <v>21734.866491657627</v>
      </c>
      <c r="O341" s="383">
        <f t="shared" si="236"/>
        <v>22923.155454775304</v>
      </c>
      <c r="P341" s="383">
        <f t="shared" si="236"/>
        <v>23935.320242630583</v>
      </c>
      <c r="Q341" s="383">
        <f t="shared" si="236"/>
        <v>24787.375317941813</v>
      </c>
      <c r="R341" s="383">
        <f t="shared" si="236"/>
        <v>25497.738475439564</v>
      </c>
      <c r="S341" s="23"/>
    </row>
    <row r="342" spans="2:19" outlineLevel="1" x14ac:dyDescent="0.25">
      <c r="B342" s="7" t="s">
        <v>134</v>
      </c>
      <c r="C342" s="383">
        <f>C107</f>
        <v>-106</v>
      </c>
      <c r="D342" s="383">
        <f t="shared" ref="D342:R342" si="237">D107</f>
        <v>-119</v>
      </c>
      <c r="E342" s="383">
        <f t="shared" si="237"/>
        <v>934</v>
      </c>
      <c r="F342" s="383">
        <f t="shared" si="237"/>
        <v>711</v>
      </c>
      <c r="G342" s="383">
        <f t="shared" si="237"/>
        <v>-3207</v>
      </c>
      <c r="H342" s="383">
        <f t="shared" si="237"/>
        <v>-1690.9599999999991</v>
      </c>
      <c r="I342" s="383">
        <f t="shared" si="237"/>
        <v>-1758.5984000000026</v>
      </c>
      <c r="J342" s="383">
        <f t="shared" si="237"/>
        <v>-1828.9423360000001</v>
      </c>
      <c r="K342" s="383">
        <f t="shared" si="237"/>
        <v>-1902.1000294400001</v>
      </c>
      <c r="L342" s="383">
        <f t="shared" si="237"/>
        <v>-1978.1840306176018</v>
      </c>
      <c r="M342" s="383">
        <f t="shared" si="237"/>
        <v>-2057.3113918423041</v>
      </c>
      <c r="N342" s="383">
        <f t="shared" si="237"/>
        <v>-2139.6038475159949</v>
      </c>
      <c r="O342" s="383">
        <f t="shared" si="237"/>
        <v>-2225.1880014166381</v>
      </c>
      <c r="P342" s="383">
        <f t="shared" si="237"/>
        <v>-2314.1955214733025</v>
      </c>
      <c r="Q342" s="383">
        <f t="shared" si="237"/>
        <v>-2406.7633423322332</v>
      </c>
      <c r="R342" s="383">
        <f t="shared" si="237"/>
        <v>-2503.0338760255254</v>
      </c>
      <c r="S342" s="23"/>
    </row>
    <row r="343" spans="2:19" outlineLevel="1" x14ac:dyDescent="0.25">
      <c r="B343" s="7" t="s">
        <v>135</v>
      </c>
      <c r="C343" s="383">
        <f>C118+C119</f>
        <v>-6737</v>
      </c>
      <c r="D343" s="383">
        <f t="shared" ref="D343:R343" si="238">D118+D119</f>
        <v>-10058</v>
      </c>
      <c r="E343" s="383">
        <f t="shared" si="238"/>
        <v>-11323</v>
      </c>
      <c r="F343" s="383">
        <f t="shared" si="238"/>
        <v>-12689</v>
      </c>
      <c r="G343" s="383">
        <f t="shared" si="238"/>
        <v>-35044</v>
      </c>
      <c r="H343" s="383">
        <f t="shared" si="238"/>
        <v>-27491.614965507968</v>
      </c>
      <c r="I343" s="383">
        <f t="shared" si="238"/>
        <v>-32600.470500512474</v>
      </c>
      <c r="J343" s="383">
        <f t="shared" si="238"/>
        <v>-37586.457641015353</v>
      </c>
      <c r="K343" s="383">
        <f t="shared" si="238"/>
        <v>-42297.481265321185</v>
      </c>
      <c r="L343" s="383">
        <f t="shared" si="238"/>
        <v>-46625.665559731555</v>
      </c>
      <c r="M343" s="383">
        <f t="shared" si="238"/>
        <v>-50507.813394302109</v>
      </c>
      <c r="N343" s="383">
        <f t="shared" si="238"/>
        <v>-53919.76412752756</v>
      </c>
      <c r="O343" s="383">
        <f t="shared" si="238"/>
        <v>-56867.666321048804</v>
      </c>
      <c r="P343" s="383">
        <f t="shared" si="238"/>
        <v>-59378.640411471373</v>
      </c>
      <c r="Q343" s="383">
        <f t="shared" si="238"/>
        <v>-61492.415009630415</v>
      </c>
      <c r="R343" s="383">
        <f t="shared" si="238"/>
        <v>-63254.680902170687</v>
      </c>
      <c r="S343" s="23"/>
    </row>
    <row r="344" spans="2:19" outlineLevel="1" x14ac:dyDescent="0.25">
      <c r="B344" s="7" t="s">
        <v>136</v>
      </c>
      <c r="C344" s="383">
        <f>SUM(C110:C114)</f>
        <v>3916</v>
      </c>
      <c r="D344" s="383">
        <f t="shared" ref="D344:R344" si="239">SUM(D110:D114)</f>
        <v>-242</v>
      </c>
      <c r="E344" s="383">
        <f t="shared" si="239"/>
        <v>-1043</v>
      </c>
      <c r="F344" s="383">
        <f t="shared" si="239"/>
        <v>-2438</v>
      </c>
      <c r="G344" s="383">
        <f t="shared" si="239"/>
        <v>13481</v>
      </c>
      <c r="H344" s="383">
        <f t="shared" si="239"/>
        <v>1558.1220269309306</v>
      </c>
      <c r="I344" s="383">
        <f t="shared" si="239"/>
        <v>14634.21662918507</v>
      </c>
      <c r="J344" s="383">
        <f t="shared" si="239"/>
        <v>14216.507918901134</v>
      </c>
      <c r="K344" s="383">
        <f t="shared" si="239"/>
        <v>13293.940170720562</v>
      </c>
      <c r="L344" s="383">
        <f t="shared" si="239"/>
        <v>12246.514962373021</v>
      </c>
      <c r="M344" s="383">
        <f t="shared" si="239"/>
        <v>10833.458722754025</v>
      </c>
      <c r="N344" s="383">
        <f t="shared" si="239"/>
        <v>9418.4152057336541</v>
      </c>
      <c r="O344" s="383">
        <f t="shared" si="239"/>
        <v>7948.7241523721641</v>
      </c>
      <c r="P344" s="383">
        <f t="shared" si="239"/>
        <v>6803.5157612966941</v>
      </c>
      <c r="Q344" s="383">
        <f t="shared" si="239"/>
        <v>5542.4214742155636</v>
      </c>
      <c r="R344" s="383">
        <f t="shared" si="239"/>
        <v>4500.1978145345274</v>
      </c>
      <c r="S344" s="23"/>
    </row>
    <row r="345" spans="2:19" outlineLevel="1" x14ac:dyDescent="0.25">
      <c r="B345" s="18" t="s">
        <v>128</v>
      </c>
      <c r="C345" s="387">
        <f>SUM(C339:C344)</f>
        <v>11002.108</v>
      </c>
      <c r="D345" s="387">
        <f t="shared" ref="D345:R345" si="240">SUM(D339:D344)</f>
        <v>8057.8680000000022</v>
      </c>
      <c r="E345" s="387">
        <f t="shared" si="240"/>
        <v>17748.438000000002</v>
      </c>
      <c r="F345" s="387">
        <f t="shared" si="240"/>
        <v>24095.797999999995</v>
      </c>
      <c r="G345" s="387">
        <f t="shared" si="240"/>
        <v>25214.521999999997</v>
      </c>
      <c r="H345" s="387">
        <f t="shared" si="240"/>
        <v>15540.817847496823</v>
      </c>
      <c r="I345" s="387">
        <f t="shared" si="240"/>
        <v>33835.674320852508</v>
      </c>
      <c r="J345" s="387">
        <f t="shared" si="240"/>
        <v>39521.808999315981</v>
      </c>
      <c r="K345" s="387">
        <f t="shared" si="240"/>
        <v>45553.027096940736</v>
      </c>
      <c r="L345" s="387">
        <f t="shared" si="240"/>
        <v>52251.335180977068</v>
      </c>
      <c r="M345" s="387">
        <f t="shared" si="240"/>
        <v>59302.927075325955</v>
      </c>
      <c r="N345" s="387">
        <f t="shared" si="240"/>
        <v>62913.317811688074</v>
      </c>
      <c r="O345" s="387">
        <f t="shared" si="240"/>
        <v>70083.041071929358</v>
      </c>
      <c r="P345" s="387">
        <f t="shared" si="240"/>
        <v>79073.154159888101</v>
      </c>
      <c r="Q345" s="387">
        <f t="shared" si="240"/>
        <v>88350.44794259638</v>
      </c>
      <c r="R345" s="387">
        <f t="shared" si="240"/>
        <v>85196.636661880242</v>
      </c>
      <c r="S345" s="23"/>
    </row>
  </sheetData>
  <pageMargins left="0.7" right="0.7" top="0.75" bottom="0.75" header="0.3" footer="0.3"/>
  <pageSetup scale="32" fitToWidth="0" fitToHeight="3" orientation="portrait" r:id="rId1"/>
  <rowBreaks count="2" manualBreakCount="2">
    <brk id="95" max="18" man="1"/>
    <brk id="251" max="18" man="1"/>
  </rowBreaks>
  <customProperties>
    <customPr name="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8D417-4163-4C61-A7F0-12A7F9C058F9}">
  <dimension ref="A1:Q164"/>
  <sheetViews>
    <sheetView showGridLines="0" topLeftCell="B3" zoomScale="85" zoomScaleNormal="85" workbookViewId="0">
      <selection activeCell="F13" sqref="F13"/>
    </sheetView>
  </sheetViews>
  <sheetFormatPr defaultColWidth="12.75" defaultRowHeight="15.6" x14ac:dyDescent="0.3"/>
  <cols>
    <col min="1" max="1" width="3.375" style="69" customWidth="1"/>
    <col min="2" max="2" width="65.75" style="69" customWidth="1"/>
    <col min="3" max="7" width="12.75" style="69"/>
    <col min="8" max="8" width="5.75" style="69" customWidth="1"/>
    <col min="9" max="9" width="45.125" style="69" bestFit="1" customWidth="1"/>
    <col min="10" max="14" width="12.75" style="69"/>
    <col min="15" max="15" width="14.125" style="69" bestFit="1" customWidth="1"/>
    <col min="16" max="16384" width="12.75" style="69"/>
  </cols>
  <sheetData>
    <row r="1" spans="1:17" x14ac:dyDescent="0.3">
      <c r="A1" s="2" t="s">
        <v>76</v>
      </c>
      <c r="B1" s="2"/>
      <c r="C1" s="2"/>
      <c r="D1" s="2"/>
      <c r="E1" s="2"/>
      <c r="F1" s="2"/>
      <c r="G1" s="2"/>
      <c r="H1" s="2"/>
      <c r="I1" s="2"/>
      <c r="J1" s="2"/>
      <c r="K1" s="2"/>
      <c r="L1" s="2"/>
      <c r="M1" s="2"/>
      <c r="N1" s="2"/>
      <c r="O1" s="2"/>
      <c r="P1" s="2"/>
    </row>
    <row r="2" spans="1:17" s="117" customFormat="1" ht="20.100000000000001" customHeight="1" x14ac:dyDescent="0.3">
      <c r="A2" s="70" t="s">
        <v>296</v>
      </c>
      <c r="B2" s="116"/>
      <c r="C2" s="116"/>
      <c r="D2" s="116"/>
      <c r="E2" s="116"/>
      <c r="F2" s="116"/>
      <c r="G2" s="116"/>
      <c r="H2" s="116"/>
      <c r="I2" s="116"/>
      <c r="J2" s="116"/>
      <c r="K2" s="116"/>
      <c r="L2" s="116"/>
      <c r="M2" s="116"/>
      <c r="N2" s="116"/>
      <c r="O2" s="116"/>
      <c r="P2" s="116"/>
    </row>
    <row r="3" spans="1:17" x14ac:dyDescent="0.3">
      <c r="A3" s="71" t="s">
        <v>214</v>
      </c>
      <c r="B3" s="72"/>
      <c r="C3" s="72"/>
      <c r="D3" s="72"/>
      <c r="E3" s="72"/>
      <c r="F3" s="72"/>
      <c r="G3" s="72"/>
      <c r="H3" s="549"/>
      <c r="I3" s="549"/>
      <c r="J3" s="549"/>
      <c r="K3" s="549"/>
      <c r="L3" s="549"/>
      <c r="M3" s="549"/>
      <c r="N3" s="549"/>
      <c r="O3" s="549"/>
      <c r="P3" s="549"/>
    </row>
    <row r="4" spans="1:17" x14ac:dyDescent="0.3">
      <c r="A4" s="412" t="s">
        <v>321</v>
      </c>
      <c r="I4" s="491"/>
      <c r="J4" s="491"/>
      <c r="K4" s="491"/>
      <c r="L4" s="491"/>
      <c r="M4" s="491"/>
      <c r="N4" s="491"/>
      <c r="O4" s="491"/>
      <c r="P4" s="491"/>
    </row>
    <row r="5" spans="1:17" x14ac:dyDescent="0.3">
      <c r="B5" s="124"/>
      <c r="C5" s="142">
        <v>2016</v>
      </c>
      <c r="D5" s="142">
        <f>C5+1</f>
        <v>2017</v>
      </c>
      <c r="E5" s="142">
        <f>D5+1</f>
        <v>2018</v>
      </c>
      <c r="F5" s="142">
        <f>E5+1</f>
        <v>2019</v>
      </c>
      <c r="G5" s="142">
        <f>F5+1</f>
        <v>2020</v>
      </c>
      <c r="I5" s="492" t="s">
        <v>398</v>
      </c>
      <c r="J5" s="142">
        <f>C5</f>
        <v>2016</v>
      </c>
      <c r="K5" s="142">
        <f t="shared" ref="K5:N5" si="0">D5</f>
        <v>2017</v>
      </c>
      <c r="L5" s="142">
        <f t="shared" si="0"/>
        <v>2018</v>
      </c>
      <c r="M5" s="142">
        <f t="shared" si="0"/>
        <v>2019</v>
      </c>
      <c r="N5" s="142">
        <f t="shared" si="0"/>
        <v>2020</v>
      </c>
      <c r="O5" s="142" t="s">
        <v>625</v>
      </c>
      <c r="P5" s="112"/>
    </row>
    <row r="6" spans="1:17" ht="5.25" customHeight="1" x14ac:dyDescent="0.3">
      <c r="I6"/>
      <c r="J6" s="59"/>
      <c r="K6" s="59"/>
      <c r="L6" s="59"/>
      <c r="M6" s="59"/>
      <c r="N6" s="59"/>
    </row>
    <row r="7" spans="1:17" x14ac:dyDescent="0.3">
      <c r="B7" s="218" t="s">
        <v>102</v>
      </c>
      <c r="C7" s="218"/>
      <c r="D7" s="218"/>
      <c r="E7" s="219"/>
      <c r="F7" s="219"/>
      <c r="G7" s="219"/>
      <c r="I7" s="218" t="s">
        <v>482</v>
      </c>
      <c r="J7" s="218"/>
      <c r="K7" s="218"/>
      <c r="L7" s="219"/>
      <c r="M7" s="219"/>
      <c r="N7" s="219"/>
      <c r="O7" s="219"/>
      <c r="P7" s="286"/>
    </row>
    <row r="8" spans="1:17" x14ac:dyDescent="0.3">
      <c r="B8" t="s">
        <v>103</v>
      </c>
      <c r="C8" s="449">
        <v>91431</v>
      </c>
      <c r="D8" s="449">
        <v>108354</v>
      </c>
      <c r="E8" s="449">
        <v>122987</v>
      </c>
      <c r="F8" s="449">
        <v>141247</v>
      </c>
      <c r="G8" s="449">
        <v>197346</v>
      </c>
      <c r="I8" s="69" t="str">
        <f t="shared" ref="I8:I13" si="1">B8</f>
        <v>Online Stores</v>
      </c>
      <c r="J8" s="562"/>
      <c r="K8" s="343">
        <f>IFERROR(D8/C8-1,"na")</f>
        <v>0.18509039603635524</v>
      </c>
      <c r="L8" s="343">
        <f t="shared" ref="L8:L13" si="2">IFERROR(E8/D8-1,"na")</f>
        <v>0.13504808313490968</v>
      </c>
      <c r="M8" s="343">
        <f t="shared" ref="M8:M13" si="3">IFERROR(F8/E8-1,"na")</f>
        <v>0.14847097660728359</v>
      </c>
      <c r="N8" s="343">
        <f t="shared" ref="N8:N13" si="4">IFERROR(G8/F8-1,"na")</f>
        <v>0.39716949740525465</v>
      </c>
      <c r="O8" s="423">
        <f>IFERROR(AVERAGE(J8:N8),0)</f>
        <v>0.21644473829595079</v>
      </c>
      <c r="P8" s="423"/>
      <c r="Q8" s="423"/>
    </row>
    <row r="9" spans="1:17" x14ac:dyDescent="0.3">
      <c r="B9" t="s">
        <v>104</v>
      </c>
      <c r="C9" s="449">
        <v>0</v>
      </c>
      <c r="D9" s="449">
        <v>5798</v>
      </c>
      <c r="E9" s="449">
        <v>17224</v>
      </c>
      <c r="F9" s="449">
        <v>17192</v>
      </c>
      <c r="G9" s="449">
        <v>16227</v>
      </c>
      <c r="I9" s="69" t="str">
        <f t="shared" si="1"/>
        <v>Physical Stores</v>
      </c>
      <c r="J9" s="97"/>
      <c r="K9" s="344" t="str">
        <f t="shared" ref="K9:K13" si="5">IFERROR(D9/C9-1,"na")</f>
        <v>na</v>
      </c>
      <c r="L9" s="343">
        <f t="shared" si="2"/>
        <v>1.9706795446705763</v>
      </c>
      <c r="M9" s="343">
        <f t="shared" si="3"/>
        <v>-1.8578727357175806E-3</v>
      </c>
      <c r="N9" s="343">
        <f t="shared" si="4"/>
        <v>-5.6130758492321964E-2</v>
      </c>
      <c r="O9" s="423">
        <f t="shared" ref="O9:O13" si="6">IFERROR(AVERAGE(J9:N9),0)</f>
        <v>0.63756363781417891</v>
      </c>
      <c r="P9" s="423"/>
      <c r="Q9" s="423"/>
    </row>
    <row r="10" spans="1:17" x14ac:dyDescent="0.3">
      <c r="B10" t="s">
        <v>105</v>
      </c>
      <c r="C10" s="449">
        <v>22993</v>
      </c>
      <c r="D10" s="449">
        <v>31881</v>
      </c>
      <c r="E10" s="449">
        <v>42745</v>
      </c>
      <c r="F10" s="449">
        <v>53762</v>
      </c>
      <c r="G10" s="449">
        <v>80461</v>
      </c>
      <c r="I10" s="69" t="str">
        <f t="shared" si="1"/>
        <v>Retail Third-Party Seller Services</v>
      </c>
      <c r="J10" s="97"/>
      <c r="K10" s="343">
        <f t="shared" si="5"/>
        <v>0.38655242900013054</v>
      </c>
      <c r="L10" s="343">
        <f t="shared" si="2"/>
        <v>0.34076722812960702</v>
      </c>
      <c r="M10" s="343">
        <f t="shared" si="3"/>
        <v>0.25773774710492448</v>
      </c>
      <c r="N10" s="343">
        <f t="shared" si="4"/>
        <v>0.49661470927420859</v>
      </c>
      <c r="O10" s="423">
        <f t="shared" si="6"/>
        <v>0.37041802837721766</v>
      </c>
      <c r="P10" s="423"/>
      <c r="Q10" s="423"/>
    </row>
    <row r="11" spans="1:17" x14ac:dyDescent="0.3">
      <c r="B11" t="s">
        <v>254</v>
      </c>
      <c r="C11" s="449">
        <v>6394</v>
      </c>
      <c r="D11" s="449">
        <v>9721</v>
      </c>
      <c r="E11" s="449">
        <v>14168</v>
      </c>
      <c r="F11" s="449">
        <v>19210</v>
      </c>
      <c r="G11" s="449">
        <v>25207</v>
      </c>
      <c r="I11" s="69" t="str">
        <f t="shared" si="1"/>
        <v>Subscription Services</v>
      </c>
      <c r="J11" s="97"/>
      <c r="K11" s="343">
        <f t="shared" si="5"/>
        <v>0.52033156083828591</v>
      </c>
      <c r="L11" s="343">
        <f t="shared" si="2"/>
        <v>0.45746322394815353</v>
      </c>
      <c r="M11" s="343">
        <f t="shared" si="3"/>
        <v>0.35587238848108416</v>
      </c>
      <c r="N11" s="343">
        <f t="shared" si="4"/>
        <v>0.31218115564810001</v>
      </c>
      <c r="O11" s="423">
        <f t="shared" si="6"/>
        <v>0.4114620822289059</v>
      </c>
      <c r="P11" s="423"/>
      <c r="Q11" s="423"/>
    </row>
    <row r="12" spans="1:17" x14ac:dyDescent="0.3">
      <c r="B12" t="s">
        <v>107</v>
      </c>
      <c r="C12" s="449">
        <v>12219</v>
      </c>
      <c r="D12" s="449">
        <v>17459</v>
      </c>
      <c r="E12" s="449">
        <v>25655</v>
      </c>
      <c r="F12" s="449">
        <v>35026</v>
      </c>
      <c r="G12" s="449">
        <v>45370</v>
      </c>
      <c r="I12" s="69" t="str">
        <f t="shared" si="1"/>
        <v>AWS</v>
      </c>
      <c r="J12" s="97"/>
      <c r="K12" s="343">
        <f t="shared" si="5"/>
        <v>0.42884033063262139</v>
      </c>
      <c r="L12" s="343">
        <f t="shared" si="2"/>
        <v>0.46944269431238905</v>
      </c>
      <c r="M12" s="343">
        <f t="shared" si="3"/>
        <v>0.36526992788930035</v>
      </c>
      <c r="N12" s="343">
        <f t="shared" si="4"/>
        <v>0.29532347399074976</v>
      </c>
      <c r="O12" s="423">
        <f t="shared" si="6"/>
        <v>0.38971910670626514</v>
      </c>
      <c r="P12" s="423"/>
      <c r="Q12" s="423"/>
    </row>
    <row r="13" spans="1:17" x14ac:dyDescent="0.3">
      <c r="B13" t="s">
        <v>108</v>
      </c>
      <c r="C13" s="449">
        <v>2950</v>
      </c>
      <c r="D13" s="449">
        <v>4653</v>
      </c>
      <c r="E13" s="449">
        <v>10108</v>
      </c>
      <c r="F13" s="449">
        <v>14085</v>
      </c>
      <c r="G13" s="449">
        <v>21453</v>
      </c>
      <c r="I13" s="69" t="str">
        <f t="shared" si="1"/>
        <v>Other</v>
      </c>
      <c r="J13" s="97"/>
      <c r="K13" s="343">
        <f t="shared" si="5"/>
        <v>0.57728813559322023</v>
      </c>
      <c r="L13" s="343">
        <f t="shared" si="2"/>
        <v>1.1723619170427679</v>
      </c>
      <c r="M13" s="343">
        <f t="shared" si="3"/>
        <v>0.39345073209339132</v>
      </c>
      <c r="N13" s="343">
        <f t="shared" si="4"/>
        <v>0.5231096911608093</v>
      </c>
      <c r="O13" s="423">
        <f t="shared" si="6"/>
        <v>0.66655261897254725</v>
      </c>
      <c r="P13" s="423"/>
      <c r="Q13" s="423"/>
    </row>
    <row r="14" spans="1:17" x14ac:dyDescent="0.3">
      <c r="B14" s="289"/>
      <c r="C14" s="289"/>
      <c r="D14" s="289"/>
      <c r="E14" s="286"/>
      <c r="F14" s="286"/>
      <c r="G14" s="286"/>
      <c r="I14" s="297"/>
      <c r="J14" s="297"/>
      <c r="K14" s="297"/>
      <c r="L14" s="297"/>
      <c r="M14" s="297"/>
      <c r="N14" s="297"/>
      <c r="Q14" s="423"/>
    </row>
    <row r="15" spans="1:17" x14ac:dyDescent="0.3">
      <c r="B15" s="218" t="s">
        <v>297</v>
      </c>
      <c r="C15" s="218"/>
      <c r="D15" s="218"/>
      <c r="E15" s="219"/>
      <c r="F15" s="219"/>
      <c r="G15" s="219"/>
      <c r="I15" s="74" t="s">
        <v>78</v>
      </c>
      <c r="J15" s="74"/>
      <c r="K15" s="74"/>
      <c r="L15" s="74"/>
      <c r="M15" s="74"/>
      <c r="N15" s="74"/>
      <c r="O15" s="74"/>
      <c r="P15" s="297"/>
      <c r="Q15" s="423"/>
    </row>
    <row r="16" spans="1:17" x14ac:dyDescent="0.3">
      <c r="B16" s="69" t="s">
        <v>0</v>
      </c>
      <c r="C16" s="449">
        <v>94665</v>
      </c>
      <c r="D16" s="449">
        <v>118573</v>
      </c>
      <c r="E16" s="449">
        <v>141915</v>
      </c>
      <c r="F16" s="449">
        <v>160408</v>
      </c>
      <c r="G16" s="449">
        <v>215915</v>
      </c>
      <c r="I16" s="7" t="str">
        <f t="shared" ref="I16:I21" si="7">B21</f>
        <v>Cost of Sales</v>
      </c>
      <c r="J16" s="580">
        <f>C21/C$18</f>
        <v>0.64906939633935601</v>
      </c>
      <c r="K16" s="580">
        <f t="shared" ref="K16:N16" si="8">D21/D$18</f>
        <v>0.6293164517108385</v>
      </c>
      <c r="L16" s="580">
        <f t="shared" si="8"/>
        <v>0.59752583871147813</v>
      </c>
      <c r="M16" s="580">
        <f t="shared" si="8"/>
        <v>0.59009988521399392</v>
      </c>
      <c r="N16" s="580">
        <f t="shared" si="8"/>
        <v>0.60432208131294296</v>
      </c>
      <c r="O16" s="422">
        <f>IFERROR(AVERAGE(J16:N16),0)</f>
        <v>0.61406673065772188</v>
      </c>
      <c r="P16" s="423"/>
      <c r="Q16" s="423"/>
    </row>
    <row r="17" spans="2:17" x14ac:dyDescent="0.3">
      <c r="B17" s="69" t="s">
        <v>1</v>
      </c>
      <c r="C17" s="449">
        <v>41322</v>
      </c>
      <c r="D17" s="449">
        <v>59293</v>
      </c>
      <c r="E17" s="449">
        <v>90972</v>
      </c>
      <c r="F17" s="449">
        <v>120114</v>
      </c>
      <c r="G17" s="449">
        <v>170149</v>
      </c>
      <c r="I17" s="7" t="str">
        <f t="shared" si="7"/>
        <v>Fulfillment</v>
      </c>
      <c r="J17" s="580">
        <f t="shared" ref="J17:N17" si="9">C22/C$18</f>
        <v>0.12956385536852788</v>
      </c>
      <c r="K17" s="580">
        <f t="shared" si="9"/>
        <v>0.14195517974205302</v>
      </c>
      <c r="L17" s="580">
        <f t="shared" si="9"/>
        <v>0.14610948657503425</v>
      </c>
      <c r="M17" s="580">
        <f t="shared" si="9"/>
        <v>0.14341834152045116</v>
      </c>
      <c r="N17" s="580">
        <f t="shared" si="9"/>
        <v>0.15157331426913673</v>
      </c>
      <c r="O17" s="422">
        <f t="shared" ref="O17:O23" si="10">IFERROR(AVERAGE(J17:N17),0)</f>
        <v>0.14252403549504061</v>
      </c>
      <c r="P17" s="423"/>
      <c r="Q17" s="423"/>
    </row>
    <row r="18" spans="2:17" x14ac:dyDescent="0.3">
      <c r="B18" s="69" t="s">
        <v>2</v>
      </c>
      <c r="C18" s="449">
        <f>SUM(C16:C17)</f>
        <v>135987</v>
      </c>
      <c r="D18" s="449">
        <f t="shared" ref="D18:G18" si="11">SUM(D16:D17)</f>
        <v>177866</v>
      </c>
      <c r="E18" s="449">
        <f t="shared" si="11"/>
        <v>232887</v>
      </c>
      <c r="F18" s="449">
        <f t="shared" si="11"/>
        <v>280522</v>
      </c>
      <c r="G18" s="449">
        <f t="shared" si="11"/>
        <v>386064</v>
      </c>
      <c r="I18" s="7" t="str">
        <f t="shared" si="7"/>
        <v>Marketing</v>
      </c>
      <c r="J18" s="580">
        <f t="shared" ref="J18:N18" si="12">C23/C$18</f>
        <v>5.3188907763242074E-2</v>
      </c>
      <c r="K18" s="580">
        <f t="shared" si="12"/>
        <v>0.12717438970910686</v>
      </c>
      <c r="L18" s="580">
        <f t="shared" si="12"/>
        <v>0.12382400048091993</v>
      </c>
      <c r="M18" s="580">
        <f t="shared" si="12"/>
        <v>0.12808621070718162</v>
      </c>
      <c r="N18" s="580">
        <f t="shared" si="12"/>
        <v>0.11070703303079282</v>
      </c>
      <c r="O18" s="422">
        <f t="shared" si="10"/>
        <v>0.10859610833824865</v>
      </c>
      <c r="P18" s="423"/>
      <c r="Q18" s="423"/>
    </row>
    <row r="19" spans="2:17" x14ac:dyDescent="0.3">
      <c r="C19" s="143"/>
      <c r="D19" s="143"/>
      <c r="E19" s="143"/>
      <c r="F19" s="143"/>
      <c r="G19" s="143"/>
      <c r="I19" s="7" t="str">
        <f t="shared" si="7"/>
        <v>Technology and Content</v>
      </c>
      <c r="J19" s="580">
        <f t="shared" ref="J19:N19" si="13">C24/C$18</f>
        <v>0.11828336532168517</v>
      </c>
      <c r="K19" s="580">
        <f t="shared" si="13"/>
        <v>5.6610032271485276E-2</v>
      </c>
      <c r="L19" s="580">
        <f t="shared" si="13"/>
        <v>5.9316320790769775E-2</v>
      </c>
      <c r="M19" s="580">
        <f t="shared" si="13"/>
        <v>6.7295969656568824E-2</v>
      </c>
      <c r="N19" s="580">
        <f t="shared" si="13"/>
        <v>5.7006092254134028E-2</v>
      </c>
      <c r="O19" s="422">
        <f t="shared" si="10"/>
        <v>7.1702356058928607E-2</v>
      </c>
      <c r="P19" s="423"/>
      <c r="Q19" s="423"/>
    </row>
    <row r="20" spans="2:17" x14ac:dyDescent="0.3">
      <c r="B20" s="69" t="s">
        <v>3</v>
      </c>
      <c r="I20" s="7" t="str">
        <f t="shared" si="7"/>
        <v>General and Administrative</v>
      </c>
      <c r="J20" s="580">
        <f t="shared" ref="J20:N20" si="14">C25/C$18</f>
        <v>1.7884062447145684E-2</v>
      </c>
      <c r="K20" s="580">
        <f t="shared" si="14"/>
        <v>2.0655999460267842E-2</v>
      </c>
      <c r="L20" s="580">
        <f t="shared" si="14"/>
        <v>1.8618471619283171E-2</v>
      </c>
      <c r="M20" s="580">
        <f t="shared" si="14"/>
        <v>1.8547564896870834E-2</v>
      </c>
      <c r="N20" s="580">
        <f t="shared" si="14"/>
        <v>1.7271747689502258E-2</v>
      </c>
      <c r="O20" s="422">
        <f t="shared" si="10"/>
        <v>1.8595569222613954E-2</v>
      </c>
      <c r="P20" s="423"/>
      <c r="Q20" s="423"/>
    </row>
    <row r="21" spans="2:17" x14ac:dyDescent="0.3">
      <c r="B21" s="69" t="s">
        <v>4</v>
      </c>
      <c r="C21" s="449">
        <v>88265</v>
      </c>
      <c r="D21" s="449">
        <v>111934</v>
      </c>
      <c r="E21" s="449">
        <v>139156</v>
      </c>
      <c r="F21" s="449">
        <v>165536</v>
      </c>
      <c r="G21" s="449">
        <v>233307</v>
      </c>
      <c r="I21" s="7" t="str">
        <f t="shared" si="7"/>
        <v>Other Operating Expense, net</v>
      </c>
      <c r="J21" s="580">
        <f t="shared" ref="J21:N21" si="15">C26/C$18</f>
        <v>1.2280585644215991E-3</v>
      </c>
      <c r="K21" s="580">
        <f t="shared" si="15"/>
        <v>1.2031529353558298E-3</v>
      </c>
      <c r="L21" s="580">
        <f t="shared" si="15"/>
        <v>1.271002675117117E-3</v>
      </c>
      <c r="M21" s="580">
        <f t="shared" si="15"/>
        <v>7.1652134235461028E-4</v>
      </c>
      <c r="N21" s="580">
        <f t="shared" si="15"/>
        <v>-1.9426830784533136E-4</v>
      </c>
      <c r="O21" s="422">
        <f t="shared" si="10"/>
        <v>8.4489344188076482E-4</v>
      </c>
      <c r="P21" s="423"/>
      <c r="Q21" s="423"/>
    </row>
    <row r="22" spans="2:17" x14ac:dyDescent="0.3">
      <c r="B22" s="69" t="s">
        <v>5</v>
      </c>
      <c r="C22" s="449">
        <v>17619</v>
      </c>
      <c r="D22" s="449">
        <v>25249</v>
      </c>
      <c r="E22" s="449">
        <v>34027</v>
      </c>
      <c r="F22" s="449">
        <v>40232</v>
      </c>
      <c r="G22" s="449">
        <v>58517</v>
      </c>
      <c r="I22" s="7"/>
      <c r="J22" s="6"/>
      <c r="K22" s="6"/>
      <c r="L22" s="6"/>
      <c r="M22" s="6"/>
      <c r="N22" s="6"/>
      <c r="Q22" s="423"/>
    </row>
    <row r="23" spans="2:17" x14ac:dyDescent="0.3">
      <c r="B23" s="69" t="s">
        <v>6</v>
      </c>
      <c r="C23" s="449">
        <v>7233</v>
      </c>
      <c r="D23" s="449">
        <v>22620</v>
      </c>
      <c r="E23" s="449">
        <v>28837</v>
      </c>
      <c r="F23" s="449">
        <v>35931</v>
      </c>
      <c r="G23" s="449">
        <v>42740</v>
      </c>
      <c r="I23" s="7" t="s">
        <v>83</v>
      </c>
      <c r="J23" s="6">
        <f>C91/SUM(C22:C26)</f>
        <v>6.8334252113193675E-2</v>
      </c>
      <c r="K23" s="6">
        <f t="shared" ref="K23:N23" si="16">D91/SUM(D22:D26)</f>
        <v>6.8175201371591235E-2</v>
      </c>
      <c r="L23" s="6">
        <f t="shared" si="16"/>
        <v>6.6633870372647896E-2</v>
      </c>
      <c r="M23" s="6">
        <f t="shared" si="16"/>
        <v>6.8335905221763152E-2</v>
      </c>
      <c r="N23" s="6">
        <f t="shared" si="16"/>
        <v>7.0908222828012138E-2</v>
      </c>
      <c r="O23" s="580">
        <f t="shared" si="10"/>
        <v>6.8477490381441616E-2</v>
      </c>
      <c r="P23" s="423"/>
      <c r="Q23" s="423"/>
    </row>
    <row r="24" spans="2:17" x14ac:dyDescent="0.3">
      <c r="B24" s="69" t="s">
        <v>7</v>
      </c>
      <c r="C24" s="449">
        <v>16085</v>
      </c>
      <c r="D24" s="449">
        <v>10069</v>
      </c>
      <c r="E24" s="449">
        <v>13814</v>
      </c>
      <c r="F24" s="449">
        <v>18878</v>
      </c>
      <c r="G24" s="449">
        <v>22008</v>
      </c>
      <c r="I24" s="7"/>
      <c r="J24" s="6"/>
      <c r="K24" s="6"/>
      <c r="L24" s="6"/>
      <c r="M24" s="6"/>
      <c r="N24" s="6"/>
      <c r="O24" s="87"/>
      <c r="Q24" s="423"/>
    </row>
    <row r="25" spans="2:17" x14ac:dyDescent="0.3">
      <c r="B25" s="69" t="s">
        <v>8</v>
      </c>
      <c r="C25" s="449">
        <v>2432</v>
      </c>
      <c r="D25" s="449">
        <v>3674</v>
      </c>
      <c r="E25" s="449">
        <v>4336</v>
      </c>
      <c r="F25" s="449">
        <v>5203</v>
      </c>
      <c r="G25" s="449">
        <v>6668</v>
      </c>
      <c r="I25" s="74" t="s">
        <v>79</v>
      </c>
      <c r="J25" s="74"/>
      <c r="K25" s="74"/>
      <c r="L25" s="74"/>
      <c r="M25" s="74"/>
      <c r="N25" s="74"/>
      <c r="O25" s="74"/>
      <c r="P25" s="297"/>
      <c r="Q25" s="423"/>
    </row>
    <row r="26" spans="2:17" x14ac:dyDescent="0.3">
      <c r="B26" s="69" t="s">
        <v>9</v>
      </c>
      <c r="C26" s="449">
        <v>167</v>
      </c>
      <c r="D26" s="449">
        <v>214</v>
      </c>
      <c r="E26" s="449">
        <v>296</v>
      </c>
      <c r="F26" s="449">
        <v>201</v>
      </c>
      <c r="G26" s="449">
        <v>-75</v>
      </c>
      <c r="I26" s="7" t="s">
        <v>84</v>
      </c>
      <c r="J26" s="20">
        <f>(C47*365)/C21</f>
        <v>47.394380558545286</v>
      </c>
      <c r="K26" s="20">
        <f t="shared" ref="K26:N26" si="17">(D47*365)/D21</f>
        <v>52.326862258116392</v>
      </c>
      <c r="L26" s="20">
        <f t="shared" si="17"/>
        <v>45.046638305211417</v>
      </c>
      <c r="M26" s="20">
        <f t="shared" si="17"/>
        <v>45.195033104581483</v>
      </c>
      <c r="N26" s="20">
        <f t="shared" si="17"/>
        <v>37.226379834295585</v>
      </c>
      <c r="O26" s="20">
        <f t="shared" ref="O26:O27" si="18">IFERROR(AVERAGE(J26:N26),0)</f>
        <v>45.437858812150033</v>
      </c>
      <c r="P26" s="242"/>
      <c r="Q26" s="423"/>
    </row>
    <row r="27" spans="2:17" x14ac:dyDescent="0.3">
      <c r="B27" s="69" t="s">
        <v>10</v>
      </c>
      <c r="C27" s="449">
        <v>131801</v>
      </c>
      <c r="D27" s="449">
        <v>173760</v>
      </c>
      <c r="E27" s="449">
        <v>220466</v>
      </c>
      <c r="F27" s="449">
        <v>265981</v>
      </c>
      <c r="G27" s="449">
        <v>363165</v>
      </c>
      <c r="I27" s="7" t="s">
        <v>85</v>
      </c>
      <c r="J27" s="20">
        <f>(C48*365)/C18</f>
        <v>22.382543919639378</v>
      </c>
      <c r="K27" s="20">
        <f t="shared" ref="K27:N27" si="19">(D48*365)/D18</f>
        <v>27.013931836326222</v>
      </c>
      <c r="L27" s="20">
        <f t="shared" si="19"/>
        <v>26.137590333509383</v>
      </c>
      <c r="M27" s="20">
        <f t="shared" si="19"/>
        <v>27.084649332316182</v>
      </c>
      <c r="N27" s="20">
        <f t="shared" si="19"/>
        <v>23.202966347548593</v>
      </c>
      <c r="O27" s="20">
        <f t="shared" si="18"/>
        <v>25.164336353867952</v>
      </c>
      <c r="P27" s="242"/>
      <c r="Q27" s="423"/>
    </row>
    <row r="28" spans="2:17" x14ac:dyDescent="0.3">
      <c r="B28" s="69" t="s">
        <v>11</v>
      </c>
      <c r="C28" s="449">
        <v>4186</v>
      </c>
      <c r="D28" s="449">
        <v>4106</v>
      </c>
      <c r="E28" s="449">
        <v>12421</v>
      </c>
      <c r="F28" s="449">
        <v>14541</v>
      </c>
      <c r="G28" s="449">
        <v>22899</v>
      </c>
      <c r="I28" s="7"/>
      <c r="J28" s="20"/>
      <c r="K28" s="20"/>
      <c r="L28" s="20"/>
      <c r="M28" s="20"/>
      <c r="N28" s="20"/>
      <c r="O28" s="20"/>
      <c r="P28" s="242"/>
      <c r="Q28" s="423"/>
    </row>
    <row r="29" spans="2:17" x14ac:dyDescent="0.3">
      <c r="B29" s="69" t="s">
        <v>12</v>
      </c>
      <c r="C29" s="449">
        <v>100</v>
      </c>
      <c r="D29" s="449">
        <v>202</v>
      </c>
      <c r="E29" s="449">
        <v>440</v>
      </c>
      <c r="F29" s="449">
        <v>832</v>
      </c>
      <c r="G29" s="449">
        <v>555</v>
      </c>
      <c r="I29" s="7" t="s">
        <v>86</v>
      </c>
      <c r="J29" s="20">
        <f>C57/SUM(C21,C22,C25,C26)*365</f>
        <v>85.154217711530833</v>
      </c>
      <c r="K29" s="20">
        <f t="shared" ref="K29:N29" si="20">D57/SUM(D21,D22,D25,D26)*365</f>
        <v>89.563694877047723</v>
      </c>
      <c r="L29" s="20">
        <f t="shared" si="20"/>
        <v>78.396535725332512</v>
      </c>
      <c r="M29" s="20">
        <f t="shared" si="20"/>
        <v>81.553401966169758</v>
      </c>
      <c r="N29" s="20">
        <f t="shared" si="20"/>
        <v>88.72395004306054</v>
      </c>
      <c r="O29" s="20">
        <f t="shared" ref="O29:O37" si="21">IFERROR(AVERAGE(J29:N29),0)</f>
        <v>84.678360064628265</v>
      </c>
      <c r="P29" s="242"/>
      <c r="Q29" s="423"/>
    </row>
    <row r="30" spans="2:17" x14ac:dyDescent="0.3">
      <c r="B30" s="69" t="s">
        <v>13</v>
      </c>
      <c r="C30" s="449">
        <v>-484</v>
      </c>
      <c r="D30" s="449">
        <v>-848</v>
      </c>
      <c r="E30" s="449">
        <v>-1417</v>
      </c>
      <c r="F30" s="449">
        <v>-1600</v>
      </c>
      <c r="G30" s="449">
        <v>-1647</v>
      </c>
      <c r="I30" s="7" t="s">
        <v>281</v>
      </c>
      <c r="J30" s="6">
        <f>C58/C18</f>
        <v>0.10103171626699611</v>
      </c>
      <c r="K30" s="6">
        <f t="shared" ref="K30:N30" si="22">D58/D18</f>
        <v>0.10215555530567956</v>
      </c>
      <c r="L30" s="6">
        <f t="shared" si="22"/>
        <v>0.10160721723410925</v>
      </c>
      <c r="M30" s="6">
        <f t="shared" si="22"/>
        <v>0.11563798917731942</v>
      </c>
      <c r="N30" s="6">
        <f t="shared" si="22"/>
        <v>0.11432819428902979</v>
      </c>
      <c r="O30" s="6">
        <f t="shared" si="21"/>
        <v>0.10695213445462684</v>
      </c>
      <c r="P30" s="552"/>
      <c r="Q30" s="423"/>
    </row>
    <row r="31" spans="2:17" x14ac:dyDescent="0.3">
      <c r="B31" s="69" t="s">
        <v>14</v>
      </c>
      <c r="C31" s="449">
        <v>90</v>
      </c>
      <c r="D31" s="449">
        <v>346</v>
      </c>
      <c r="E31" s="449">
        <v>-183</v>
      </c>
      <c r="F31" s="449">
        <v>203</v>
      </c>
      <c r="G31" s="449">
        <v>2371</v>
      </c>
      <c r="I31" s="7" t="s">
        <v>282</v>
      </c>
      <c r="J31" s="6">
        <f>C59/C18</f>
        <v>3.5062175060851408E-2</v>
      </c>
      <c r="K31" s="6">
        <f t="shared" ref="K31:N31" si="23">D59/D18</f>
        <v>2.865640425938628E-2</v>
      </c>
      <c r="L31" s="6">
        <f t="shared" si="23"/>
        <v>2.8065113123532014E-2</v>
      </c>
      <c r="M31" s="6">
        <f t="shared" si="23"/>
        <v>2.9195571113852032E-2</v>
      </c>
      <c r="N31" s="6">
        <f t="shared" si="23"/>
        <v>2.5146089767499689E-2</v>
      </c>
      <c r="O31" s="6">
        <f t="shared" si="21"/>
        <v>2.9225070665024288E-2</v>
      </c>
      <c r="P31" s="552"/>
      <c r="Q31" s="423"/>
    </row>
    <row r="32" spans="2:17" x14ac:dyDescent="0.3">
      <c r="B32" s="69" t="s">
        <v>15</v>
      </c>
      <c r="C32" s="449">
        <v>-294</v>
      </c>
      <c r="D32" s="449">
        <v>-300</v>
      </c>
      <c r="E32" s="449">
        <v>-1160</v>
      </c>
      <c r="F32" s="449">
        <v>-565</v>
      </c>
      <c r="G32" s="449">
        <v>1279</v>
      </c>
      <c r="I32"/>
      <c r="J32"/>
      <c r="K32"/>
      <c r="L32"/>
      <c r="M32"/>
      <c r="N32"/>
      <c r="O32"/>
      <c r="P32"/>
      <c r="Q32" s="423"/>
    </row>
    <row r="33" spans="2:17" x14ac:dyDescent="0.3">
      <c r="B33" s="69" t="s">
        <v>16</v>
      </c>
      <c r="C33" s="449">
        <v>3892</v>
      </c>
      <c r="D33" s="449">
        <v>3806</v>
      </c>
      <c r="E33" s="449">
        <v>11261</v>
      </c>
      <c r="F33" s="449">
        <v>13976</v>
      </c>
      <c r="G33" s="449">
        <v>24178</v>
      </c>
      <c r="I33" s="7" t="s">
        <v>87</v>
      </c>
      <c r="J33" s="6">
        <f>(-C103-C104)/C18</f>
        <v>4.9541500290468943E-2</v>
      </c>
      <c r="K33" s="6">
        <f t="shared" ref="K33:N33" si="24">(-D103-D104)/D18</f>
        <v>5.6548187961723992E-2</v>
      </c>
      <c r="L33" s="6">
        <f t="shared" si="24"/>
        <v>4.86201462511862E-2</v>
      </c>
      <c r="M33" s="6">
        <f t="shared" si="24"/>
        <v>4.5233528921082837E-2</v>
      </c>
      <c r="N33" s="6">
        <f t="shared" si="24"/>
        <v>9.0772514401757223E-2</v>
      </c>
      <c r="O33" s="6">
        <f t="shared" si="21"/>
        <v>5.8143175565243843E-2</v>
      </c>
      <c r="P33" s="552"/>
      <c r="Q33" s="423"/>
    </row>
    <row r="34" spans="2:17" x14ac:dyDescent="0.3">
      <c r="B34" s="69" t="s">
        <v>17</v>
      </c>
      <c r="C34" s="449">
        <v>-1425</v>
      </c>
      <c r="D34" s="449">
        <v>-769</v>
      </c>
      <c r="E34" s="449">
        <v>-1197</v>
      </c>
      <c r="F34" s="449">
        <v>-2374</v>
      </c>
      <c r="G34" s="449">
        <v>-2863</v>
      </c>
      <c r="I34" s="7" t="s">
        <v>88</v>
      </c>
      <c r="J34" s="21"/>
      <c r="K34" s="6">
        <f>D90/C50</f>
        <v>0.39424331936525381</v>
      </c>
      <c r="L34" s="6">
        <f t="shared" ref="L34:N34" si="25">E90/D50</f>
        <v>0.31394016289444604</v>
      </c>
      <c r="M34" s="6">
        <f t="shared" si="25"/>
        <v>0.35258993155007523</v>
      </c>
      <c r="N34" s="6">
        <f t="shared" si="25"/>
        <v>0.34730761295646789</v>
      </c>
      <c r="O34" s="6">
        <f t="shared" si="21"/>
        <v>0.35202025669156073</v>
      </c>
      <c r="P34" s="552"/>
      <c r="Q34" s="423"/>
    </row>
    <row r="35" spans="2:17" x14ac:dyDescent="0.3">
      <c r="B35" s="69" t="s">
        <v>18</v>
      </c>
      <c r="C35" s="449">
        <v>-96</v>
      </c>
      <c r="D35" s="449">
        <v>-4</v>
      </c>
      <c r="E35" s="449">
        <v>9</v>
      </c>
      <c r="F35" s="449">
        <v>-14</v>
      </c>
      <c r="G35" s="449">
        <v>16</v>
      </c>
      <c r="P35" s="552"/>
      <c r="Q35" s="423"/>
    </row>
    <row r="36" spans="2:17" x14ac:dyDescent="0.3">
      <c r="B36" s="69" t="s">
        <v>19</v>
      </c>
      <c r="C36" s="449">
        <v>2371</v>
      </c>
      <c r="D36" s="449">
        <v>3033</v>
      </c>
      <c r="E36" s="449">
        <v>10073</v>
      </c>
      <c r="F36" s="449">
        <v>11588</v>
      </c>
      <c r="G36" s="449">
        <v>21331</v>
      </c>
      <c r="I36" s="7" t="s">
        <v>283</v>
      </c>
      <c r="J36" s="6">
        <f>C133/C18</f>
        <v>4.1945185936891026E-2</v>
      </c>
      <c r="K36" s="6">
        <f t="shared" ref="K36:N36" si="26">D133/D18</f>
        <v>5.4181237560860421E-2</v>
      </c>
      <c r="L36" s="6">
        <f t="shared" si="26"/>
        <v>4.5580045258000662E-2</v>
      </c>
      <c r="M36" s="6">
        <f t="shared" si="26"/>
        <v>4.891951433399163E-2</v>
      </c>
      <c r="N36" s="6">
        <f t="shared" si="26"/>
        <v>3.0015748684155994E-2</v>
      </c>
      <c r="O36" s="6">
        <f t="shared" si="21"/>
        <v>4.4128346354779947E-2</v>
      </c>
      <c r="P36" s="552"/>
      <c r="Q36" s="423"/>
    </row>
    <row r="37" spans="2:17" x14ac:dyDescent="0.3">
      <c r="B37" s="69" t="s">
        <v>20</v>
      </c>
      <c r="C37" s="107">
        <v>5.01</v>
      </c>
      <c r="D37" s="107">
        <v>6.32</v>
      </c>
      <c r="E37" s="107">
        <v>20.68</v>
      </c>
      <c r="F37" s="107">
        <v>23.46</v>
      </c>
      <c r="G37" s="107">
        <v>42.64</v>
      </c>
      <c r="I37" s="7" t="s">
        <v>273</v>
      </c>
      <c r="J37" s="21"/>
      <c r="K37" s="21"/>
      <c r="L37" s="21"/>
      <c r="M37" s="6">
        <f>F132/F18</f>
        <v>2.805484061856111E-2</v>
      </c>
      <c r="N37" s="6">
        <f t="shared" ref="N37" si="27">G132/G18</f>
        <v>4.2005988644369843E-2</v>
      </c>
      <c r="O37" s="6">
        <f t="shared" si="21"/>
        <v>3.5030414631465473E-2</v>
      </c>
      <c r="P37" s="552"/>
      <c r="Q37" s="423"/>
    </row>
    <row r="38" spans="2:17" x14ac:dyDescent="0.3">
      <c r="B38" s="69" t="s">
        <v>21</v>
      </c>
      <c r="C38" s="107">
        <v>4.9000000000000004</v>
      </c>
      <c r="D38" s="107">
        <v>6.15</v>
      </c>
      <c r="E38" s="107">
        <v>20.14</v>
      </c>
      <c r="F38" s="107">
        <v>23.01</v>
      </c>
      <c r="G38" s="107">
        <v>41.83</v>
      </c>
    </row>
    <row r="39" spans="2:17" x14ac:dyDescent="0.3">
      <c r="B39" s="69" t="s">
        <v>22</v>
      </c>
    </row>
    <row r="40" spans="2:17" x14ac:dyDescent="0.3">
      <c r="B40" s="69" t="s">
        <v>23</v>
      </c>
      <c r="C40" s="107">
        <v>474</v>
      </c>
      <c r="D40" s="107">
        <v>480</v>
      </c>
      <c r="E40" s="107">
        <v>487</v>
      </c>
      <c r="F40" s="107">
        <v>494</v>
      </c>
      <c r="G40" s="107">
        <v>500</v>
      </c>
    </row>
    <row r="41" spans="2:17" x14ac:dyDescent="0.3">
      <c r="B41" s="69" t="s">
        <v>24</v>
      </c>
      <c r="C41" s="107">
        <v>484</v>
      </c>
      <c r="D41" s="107">
        <v>493</v>
      </c>
      <c r="E41" s="107">
        <v>500</v>
      </c>
      <c r="F41" s="107">
        <v>504</v>
      </c>
      <c r="G41" s="107">
        <v>510</v>
      </c>
    </row>
    <row r="43" spans="2:17" x14ac:dyDescent="0.3">
      <c r="B43" s="218" t="s">
        <v>298</v>
      </c>
      <c r="C43" s="218"/>
      <c r="D43" s="218"/>
      <c r="E43" s="219"/>
      <c r="F43" s="219"/>
      <c r="G43" s="219"/>
    </row>
    <row r="44" spans="2:17" x14ac:dyDescent="0.3">
      <c r="B44" s="69" t="s">
        <v>26</v>
      </c>
    </row>
    <row r="45" spans="2:17" x14ac:dyDescent="0.3">
      <c r="B45" s="69" t="s">
        <v>27</v>
      </c>
      <c r="C45" s="449">
        <v>19334</v>
      </c>
      <c r="D45" s="449">
        <v>20522</v>
      </c>
      <c r="E45" s="449">
        <v>31750</v>
      </c>
      <c r="F45" s="449">
        <v>36092</v>
      </c>
      <c r="G45" s="449">
        <v>42122</v>
      </c>
    </row>
    <row r="46" spans="2:17" x14ac:dyDescent="0.3">
      <c r="B46" s="69" t="s">
        <v>28</v>
      </c>
      <c r="C46" s="449">
        <v>6647</v>
      </c>
      <c r="D46" s="449">
        <v>10464</v>
      </c>
      <c r="E46" s="449">
        <v>9500</v>
      </c>
      <c r="F46" s="449">
        <v>18929</v>
      </c>
      <c r="G46" s="449">
        <v>42274</v>
      </c>
    </row>
    <row r="47" spans="2:17" x14ac:dyDescent="0.3">
      <c r="B47" s="69" t="s">
        <v>29</v>
      </c>
      <c r="C47" s="449">
        <v>11461</v>
      </c>
      <c r="D47" s="449">
        <v>16047</v>
      </c>
      <c r="E47" s="449">
        <v>17174</v>
      </c>
      <c r="F47" s="449">
        <v>20497</v>
      </c>
      <c r="G47" s="449">
        <v>23795</v>
      </c>
    </row>
    <row r="48" spans="2:17" x14ac:dyDescent="0.3">
      <c r="B48" s="69" t="s">
        <v>30</v>
      </c>
      <c r="C48" s="449">
        <v>8339</v>
      </c>
      <c r="D48" s="449">
        <v>13164</v>
      </c>
      <c r="E48" s="449">
        <v>16677</v>
      </c>
      <c r="F48" s="449">
        <v>20816</v>
      </c>
      <c r="G48" s="449">
        <v>24542</v>
      </c>
    </row>
    <row r="49" spans="2:7" x14ac:dyDescent="0.3">
      <c r="B49" s="69" t="s">
        <v>31</v>
      </c>
      <c r="C49" s="449">
        <v>45781</v>
      </c>
      <c r="D49" s="449">
        <v>60197</v>
      </c>
      <c r="E49" s="449">
        <v>75101</v>
      </c>
      <c r="F49" s="449">
        <v>96334</v>
      </c>
      <c r="G49" s="449">
        <v>132733</v>
      </c>
    </row>
    <row r="50" spans="2:7" x14ac:dyDescent="0.3">
      <c r="B50" s="69" t="s">
        <v>32</v>
      </c>
      <c r="C50" s="449">
        <v>29114</v>
      </c>
      <c r="D50" s="449">
        <v>48866</v>
      </c>
      <c r="E50" s="449">
        <v>61797</v>
      </c>
      <c r="F50" s="449">
        <v>72705</v>
      </c>
      <c r="G50" s="449">
        <v>113114</v>
      </c>
    </row>
    <row r="51" spans="2:7" x14ac:dyDescent="0.3">
      <c r="B51" s="69" t="s">
        <v>192</v>
      </c>
      <c r="C51" s="449">
        <v>0</v>
      </c>
      <c r="D51" s="449">
        <v>0</v>
      </c>
      <c r="E51" s="449">
        <v>0</v>
      </c>
      <c r="F51" s="449">
        <v>25141</v>
      </c>
      <c r="G51" s="449">
        <v>37553</v>
      </c>
    </row>
    <row r="52" spans="2:7" x14ac:dyDescent="0.3">
      <c r="B52" s="69" t="s">
        <v>33</v>
      </c>
      <c r="C52" s="449">
        <v>3784</v>
      </c>
      <c r="D52" s="449">
        <v>13350</v>
      </c>
      <c r="E52" s="449">
        <v>14548</v>
      </c>
      <c r="F52" s="449">
        <v>14754</v>
      </c>
      <c r="G52" s="449">
        <v>15017</v>
      </c>
    </row>
    <row r="53" spans="2:7" x14ac:dyDescent="0.3">
      <c r="B53" s="69" t="s">
        <v>34</v>
      </c>
      <c r="C53" s="449">
        <v>4723</v>
      </c>
      <c r="D53" s="449">
        <v>8897</v>
      </c>
      <c r="E53" s="449">
        <v>11202</v>
      </c>
      <c r="F53" s="449">
        <v>16314</v>
      </c>
      <c r="G53" s="449">
        <v>22778</v>
      </c>
    </row>
    <row r="54" spans="2:7" x14ac:dyDescent="0.3">
      <c r="B54" s="69" t="s">
        <v>35</v>
      </c>
      <c r="C54" s="449">
        <v>83402</v>
      </c>
      <c r="D54" s="449">
        <v>131310</v>
      </c>
      <c r="E54" s="449">
        <v>162648</v>
      </c>
      <c r="F54" s="449">
        <v>225248</v>
      </c>
      <c r="G54" s="449">
        <v>321195</v>
      </c>
    </row>
    <row r="55" spans="2:7" x14ac:dyDescent="0.3">
      <c r="B55" s="69" t="s">
        <v>36</v>
      </c>
      <c r="C55" s="107"/>
      <c r="D55" s="107"/>
      <c r="E55" s="107"/>
      <c r="F55" s="107"/>
      <c r="G55" s="107"/>
    </row>
    <row r="56" spans="2:7" x14ac:dyDescent="0.3">
      <c r="B56" s="69" t="s">
        <v>37</v>
      </c>
      <c r="C56" s="107"/>
      <c r="D56" s="107"/>
      <c r="E56" s="107"/>
      <c r="F56" s="107"/>
      <c r="G56" s="107"/>
    </row>
    <row r="57" spans="2:7" x14ac:dyDescent="0.3">
      <c r="B57" s="69" t="s">
        <v>38</v>
      </c>
      <c r="C57" s="449">
        <v>25309</v>
      </c>
      <c r="D57" s="449">
        <v>34616</v>
      </c>
      <c r="E57" s="449">
        <v>38192</v>
      </c>
      <c r="F57" s="449">
        <v>47183</v>
      </c>
      <c r="G57" s="449">
        <v>72539</v>
      </c>
    </row>
    <row r="58" spans="2:7" x14ac:dyDescent="0.3">
      <c r="B58" s="69" t="s">
        <v>39</v>
      </c>
      <c r="C58" s="449">
        <v>13739</v>
      </c>
      <c r="D58" s="449">
        <v>18170</v>
      </c>
      <c r="E58" s="449">
        <v>23663</v>
      </c>
      <c r="F58" s="449">
        <v>32439</v>
      </c>
      <c r="G58" s="449">
        <v>44138</v>
      </c>
    </row>
    <row r="59" spans="2:7" x14ac:dyDescent="0.3">
      <c r="B59" s="69" t="s">
        <v>40</v>
      </c>
      <c r="C59" s="449">
        <v>4768</v>
      </c>
      <c r="D59" s="449">
        <v>5097</v>
      </c>
      <c r="E59" s="449">
        <v>6536</v>
      </c>
      <c r="F59" s="449">
        <v>8190</v>
      </c>
      <c r="G59" s="449">
        <v>9708</v>
      </c>
    </row>
    <row r="60" spans="2:7" x14ac:dyDescent="0.3">
      <c r="B60" s="69" t="s">
        <v>41</v>
      </c>
      <c r="C60" s="449">
        <v>43816</v>
      </c>
      <c r="D60" s="449">
        <v>57883</v>
      </c>
      <c r="E60" s="449">
        <v>68391</v>
      </c>
      <c r="F60" s="449">
        <v>87812</v>
      </c>
      <c r="G60" s="449">
        <v>126385</v>
      </c>
    </row>
    <row r="61" spans="2:7" x14ac:dyDescent="0.3">
      <c r="B61" s="69" t="s">
        <v>193</v>
      </c>
      <c r="C61" s="449">
        <v>0</v>
      </c>
      <c r="D61" s="449">
        <v>0</v>
      </c>
      <c r="E61" s="449">
        <v>9650</v>
      </c>
      <c r="F61" s="449">
        <v>39791</v>
      </c>
      <c r="G61" s="449">
        <v>52573</v>
      </c>
    </row>
    <row r="62" spans="2:7" x14ac:dyDescent="0.3">
      <c r="B62" s="69" t="s">
        <v>42</v>
      </c>
      <c r="C62" s="449">
        <v>7694</v>
      </c>
      <c r="D62" s="449">
        <v>24743</v>
      </c>
      <c r="E62" s="449">
        <v>23495</v>
      </c>
      <c r="F62" s="449">
        <v>23414</v>
      </c>
      <c r="G62" s="449">
        <v>31816</v>
      </c>
    </row>
    <row r="63" spans="2:7" x14ac:dyDescent="0.3">
      <c r="B63" s="69" t="s">
        <v>43</v>
      </c>
      <c r="C63" s="449">
        <v>12607</v>
      </c>
      <c r="D63" s="449">
        <v>20975</v>
      </c>
      <c r="E63" s="449">
        <v>17563</v>
      </c>
      <c r="F63" s="449">
        <v>12171</v>
      </c>
      <c r="G63" s="449">
        <v>17017</v>
      </c>
    </row>
    <row r="64" spans="2:7" x14ac:dyDescent="0.3">
      <c r="B64" s="69" t="s">
        <v>289</v>
      </c>
      <c r="C64" s="107"/>
      <c r="D64" s="450"/>
      <c r="E64" s="107"/>
      <c r="F64" s="107"/>
      <c r="G64" s="107"/>
    </row>
    <row r="65" spans="2:7" x14ac:dyDescent="0.3">
      <c r="B65" s="69" t="s">
        <v>44</v>
      </c>
      <c r="C65" s="107"/>
      <c r="D65" s="107"/>
      <c r="E65" s="107"/>
      <c r="F65" s="107"/>
      <c r="G65" s="107"/>
    </row>
    <row r="66" spans="2:7" x14ac:dyDescent="0.3">
      <c r="B66" s="69" t="s">
        <v>45</v>
      </c>
      <c r="C66" s="107"/>
      <c r="D66" s="107"/>
      <c r="E66" s="107"/>
      <c r="F66" s="107"/>
      <c r="G66" s="107"/>
    </row>
    <row r="67" spans="2:7" x14ac:dyDescent="0.3">
      <c r="B67" s="69" t="s">
        <v>46</v>
      </c>
      <c r="C67" s="107"/>
      <c r="D67" s="107"/>
      <c r="E67" s="107"/>
      <c r="F67" s="107"/>
      <c r="G67" s="107"/>
    </row>
    <row r="68" spans="2:7" x14ac:dyDescent="0.3">
      <c r="B68" s="69" t="s">
        <v>47</v>
      </c>
      <c r="C68" s="107"/>
      <c r="D68" s="107"/>
      <c r="E68" s="107"/>
      <c r="F68" s="107"/>
      <c r="G68" s="107"/>
    </row>
    <row r="69" spans="2:7" x14ac:dyDescent="0.3">
      <c r="B69" s="69" t="s">
        <v>48</v>
      </c>
      <c r="C69" s="107"/>
      <c r="D69" s="107"/>
      <c r="E69" s="107"/>
      <c r="F69" s="107"/>
      <c r="G69" s="107"/>
    </row>
    <row r="70" spans="2:7" x14ac:dyDescent="0.3">
      <c r="B70" s="69" t="s">
        <v>49</v>
      </c>
      <c r="C70" s="107"/>
      <c r="D70" s="107"/>
      <c r="E70" s="107"/>
      <c r="F70" s="107"/>
      <c r="G70" s="107"/>
    </row>
    <row r="71" spans="2:7" x14ac:dyDescent="0.3">
      <c r="B71" s="69" t="s">
        <v>50</v>
      </c>
      <c r="C71" s="107"/>
      <c r="D71" s="107"/>
      <c r="E71" s="107"/>
      <c r="F71" s="107"/>
      <c r="G71" s="107"/>
    </row>
    <row r="72" spans="2:7" x14ac:dyDescent="0.3">
      <c r="B72" s="69" t="s">
        <v>51</v>
      </c>
      <c r="C72" s="449">
        <v>5</v>
      </c>
      <c r="D72" s="449">
        <v>5</v>
      </c>
      <c r="E72" s="449">
        <v>5</v>
      </c>
      <c r="F72" s="449">
        <v>5</v>
      </c>
      <c r="G72" s="449">
        <v>5</v>
      </c>
    </row>
    <row r="73" spans="2:7" x14ac:dyDescent="0.3">
      <c r="B73" s="69" t="s">
        <v>52</v>
      </c>
      <c r="C73" s="449">
        <v>-1837</v>
      </c>
      <c r="D73" s="449">
        <v>-1837</v>
      </c>
      <c r="E73" s="449">
        <v>-1837</v>
      </c>
      <c r="F73" s="449">
        <v>-1837</v>
      </c>
      <c r="G73" s="449">
        <v>-1837</v>
      </c>
    </row>
    <row r="74" spans="2:7" x14ac:dyDescent="0.3">
      <c r="B74" s="69" t="s">
        <v>53</v>
      </c>
      <c r="C74" s="449">
        <v>17186</v>
      </c>
      <c r="D74" s="449">
        <v>21389</v>
      </c>
      <c r="E74" s="449">
        <v>26791</v>
      </c>
      <c r="F74" s="449">
        <v>33658</v>
      </c>
      <c r="G74" s="449">
        <v>42865</v>
      </c>
    </row>
    <row r="75" spans="2:7" x14ac:dyDescent="0.3">
      <c r="B75" s="69" t="s">
        <v>54</v>
      </c>
      <c r="C75" s="449">
        <v>-985</v>
      </c>
      <c r="D75" s="449">
        <v>-484</v>
      </c>
      <c r="E75" s="449">
        <v>-1035</v>
      </c>
      <c r="F75" s="449">
        <v>-986</v>
      </c>
      <c r="G75" s="449">
        <v>-180</v>
      </c>
    </row>
    <row r="76" spans="2:7" x14ac:dyDescent="0.3">
      <c r="B76" s="69" t="s">
        <v>55</v>
      </c>
      <c r="C76" s="449">
        <v>4916</v>
      </c>
      <c r="D76" s="449">
        <v>8636</v>
      </c>
      <c r="E76" s="449">
        <v>19625</v>
      </c>
      <c r="F76" s="449">
        <v>31220</v>
      </c>
      <c r="G76" s="449">
        <v>52551</v>
      </c>
    </row>
    <row r="77" spans="2:7" x14ac:dyDescent="0.3">
      <c r="B77" s="69" t="s">
        <v>56</v>
      </c>
      <c r="C77" s="449">
        <v>19285</v>
      </c>
      <c r="D77" s="449">
        <v>27709</v>
      </c>
      <c r="E77" s="449">
        <v>43549</v>
      </c>
      <c r="F77" s="449">
        <v>62060</v>
      </c>
      <c r="G77" s="449">
        <v>93404</v>
      </c>
    </row>
    <row r="78" spans="2:7" x14ac:dyDescent="0.3">
      <c r="B78" s="69" t="s">
        <v>57</v>
      </c>
      <c r="C78" s="449">
        <v>83402</v>
      </c>
      <c r="D78" s="449">
        <v>131310</v>
      </c>
      <c r="E78" s="449">
        <v>162648</v>
      </c>
      <c r="F78" s="449">
        <v>225248</v>
      </c>
      <c r="G78" s="449">
        <v>321195</v>
      </c>
    </row>
    <row r="79" spans="2:7" x14ac:dyDescent="0.3">
      <c r="C79" s="143"/>
      <c r="D79" s="143"/>
      <c r="E79" s="143"/>
      <c r="F79" s="143"/>
      <c r="G79" s="143"/>
    </row>
    <row r="80" spans="2:7" x14ac:dyDescent="0.3">
      <c r="B80" s="327" t="s">
        <v>472</v>
      </c>
      <c r="C80" s="327"/>
      <c r="D80" s="327"/>
      <c r="E80" s="327"/>
      <c r="F80" s="327"/>
      <c r="G80" s="327"/>
    </row>
    <row r="81" spans="2:7" x14ac:dyDescent="0.3">
      <c r="B81" t="s">
        <v>437</v>
      </c>
      <c r="C81" s="449">
        <v>1056</v>
      </c>
      <c r="D81" s="449">
        <v>100</v>
      </c>
      <c r="E81" s="449">
        <v>1371</v>
      </c>
      <c r="F81" s="449">
        <v>1305</v>
      </c>
      <c r="G81" s="449">
        <v>1155</v>
      </c>
    </row>
    <row r="82" spans="2:7" x14ac:dyDescent="0.3">
      <c r="B82" s="69" t="s">
        <v>483</v>
      </c>
      <c r="C82" s="449">
        <f>21838-C141</f>
        <v>13437</v>
      </c>
      <c r="D82" s="327"/>
      <c r="E82" s="327"/>
      <c r="F82" s="327"/>
      <c r="G82" s="327"/>
    </row>
    <row r="83" spans="2:7" x14ac:dyDescent="0.3">
      <c r="B83" s="69" t="s">
        <v>515</v>
      </c>
      <c r="C83" s="449"/>
      <c r="D83" s="449">
        <v>18350</v>
      </c>
      <c r="E83" s="449">
        <v>-580.00000000000216</v>
      </c>
      <c r="F83" s="449">
        <v>2603.0000000000018</v>
      </c>
      <c r="G83" s="449">
        <v>16132</v>
      </c>
    </row>
    <row r="85" spans="2:7" x14ac:dyDescent="0.3">
      <c r="B85" s="218" t="s">
        <v>299</v>
      </c>
      <c r="C85" s="218"/>
      <c r="D85" s="218"/>
      <c r="E85" s="219"/>
      <c r="F85" s="219"/>
      <c r="G85" s="219"/>
    </row>
    <row r="86" spans="2:7" x14ac:dyDescent="0.3">
      <c r="B86" s="69" t="s">
        <v>194</v>
      </c>
      <c r="C86" s="449">
        <v>15890</v>
      </c>
      <c r="D86" s="449">
        <v>19934</v>
      </c>
      <c r="E86" s="449">
        <v>21856</v>
      </c>
      <c r="F86" s="449">
        <v>32173</v>
      </c>
      <c r="G86" s="449">
        <v>36410</v>
      </c>
    </row>
    <row r="87" spans="2:7" x14ac:dyDescent="0.3">
      <c r="B87" s="69" t="s">
        <v>58</v>
      </c>
      <c r="C87" s="107"/>
      <c r="D87" s="107"/>
      <c r="E87" s="107"/>
      <c r="F87" s="107"/>
      <c r="G87" s="107"/>
    </row>
    <row r="88" spans="2:7" x14ac:dyDescent="0.3">
      <c r="B88" s="69" t="s">
        <v>19</v>
      </c>
      <c r="C88" s="449">
        <v>2371</v>
      </c>
      <c r="D88" s="449">
        <v>3033</v>
      </c>
      <c r="E88" s="449">
        <v>10073</v>
      </c>
      <c r="F88" s="449">
        <v>11588</v>
      </c>
      <c r="G88" s="449">
        <v>21331</v>
      </c>
    </row>
    <row r="89" spans="2:7" x14ac:dyDescent="0.3">
      <c r="B89" s="69" t="s">
        <v>59</v>
      </c>
      <c r="C89" s="107"/>
      <c r="D89" s="107"/>
      <c r="E89" s="107"/>
      <c r="F89" s="107"/>
      <c r="G89" s="107"/>
    </row>
    <row r="90" spans="2:7" x14ac:dyDescent="0.3">
      <c r="B90" s="69" t="s">
        <v>60</v>
      </c>
      <c r="C90" s="449">
        <v>8116</v>
      </c>
      <c r="D90" s="449">
        <v>11478</v>
      </c>
      <c r="E90" s="449">
        <v>15341</v>
      </c>
      <c r="F90" s="449">
        <v>21789</v>
      </c>
      <c r="G90" s="449">
        <v>25251</v>
      </c>
    </row>
    <row r="91" spans="2:7" x14ac:dyDescent="0.3">
      <c r="B91" s="69" t="s">
        <v>61</v>
      </c>
      <c r="C91" s="449">
        <v>2975</v>
      </c>
      <c r="D91" s="449">
        <v>4215</v>
      </c>
      <c r="E91" s="449">
        <v>5418</v>
      </c>
      <c r="F91" s="449">
        <v>6864</v>
      </c>
      <c r="G91" s="449">
        <v>9208</v>
      </c>
    </row>
    <row r="92" spans="2:7" x14ac:dyDescent="0.3">
      <c r="B92" s="69" t="s">
        <v>9</v>
      </c>
      <c r="C92" s="449">
        <v>160</v>
      </c>
      <c r="D92" s="449">
        <v>202</v>
      </c>
      <c r="E92" s="449">
        <v>274</v>
      </c>
      <c r="F92" s="449">
        <v>164</v>
      </c>
      <c r="G92" s="449">
        <v>-71</v>
      </c>
    </row>
    <row r="93" spans="2:7" x14ac:dyDescent="0.3">
      <c r="B93" s="69" t="s">
        <v>62</v>
      </c>
      <c r="C93" s="449">
        <v>-20</v>
      </c>
      <c r="D93" s="449">
        <v>-292</v>
      </c>
      <c r="E93" s="449">
        <v>219</v>
      </c>
      <c r="F93" s="449">
        <v>-249</v>
      </c>
      <c r="G93" s="449">
        <v>-2582</v>
      </c>
    </row>
    <row r="94" spans="2:7" x14ac:dyDescent="0.3">
      <c r="B94" s="69" t="s">
        <v>63</v>
      </c>
      <c r="C94" s="449">
        <v>-246</v>
      </c>
      <c r="D94" s="449">
        <v>-29</v>
      </c>
      <c r="E94" s="449">
        <v>441</v>
      </c>
      <c r="F94" s="449">
        <v>796</v>
      </c>
      <c r="G94" s="449">
        <v>-554</v>
      </c>
    </row>
    <row r="95" spans="2:7" x14ac:dyDescent="0.3">
      <c r="B95" s="69" t="s">
        <v>64</v>
      </c>
      <c r="C95" s="107"/>
      <c r="D95" s="107"/>
      <c r="E95" s="107"/>
      <c r="F95" s="107"/>
      <c r="G95" s="107"/>
    </row>
    <row r="96" spans="2:7" x14ac:dyDescent="0.3">
      <c r="B96" s="69" t="s">
        <v>29</v>
      </c>
      <c r="C96" s="449">
        <v>-1426</v>
      </c>
      <c r="D96" s="449">
        <v>-3583</v>
      </c>
      <c r="E96" s="449">
        <v>-1314</v>
      </c>
      <c r="F96" s="449">
        <v>-3278</v>
      </c>
      <c r="G96" s="449">
        <v>-2849</v>
      </c>
    </row>
    <row r="97" spans="2:7" x14ac:dyDescent="0.3">
      <c r="B97" s="69" t="s">
        <v>30</v>
      </c>
      <c r="C97" s="449">
        <v>-3367</v>
      </c>
      <c r="D97" s="449">
        <v>-4780</v>
      </c>
      <c r="E97" s="449">
        <v>-4615</v>
      </c>
      <c r="F97" s="449">
        <v>-7681</v>
      </c>
      <c r="G97" s="449">
        <v>-8169</v>
      </c>
    </row>
    <row r="98" spans="2:7" x14ac:dyDescent="0.3">
      <c r="B98" s="69" t="s">
        <v>38</v>
      </c>
      <c r="C98" s="449">
        <v>5030</v>
      </c>
      <c r="D98" s="449">
        <v>7100</v>
      </c>
      <c r="E98" s="449">
        <v>3263</v>
      </c>
      <c r="F98" s="449">
        <v>8193</v>
      </c>
      <c r="G98" s="449">
        <v>17480</v>
      </c>
    </row>
    <row r="99" spans="2:7" x14ac:dyDescent="0.3">
      <c r="B99" s="69" t="s">
        <v>39</v>
      </c>
      <c r="C99" s="449">
        <v>1724</v>
      </c>
      <c r="D99" s="449">
        <v>283</v>
      </c>
      <c r="E99" s="449">
        <v>472</v>
      </c>
      <c r="F99" s="449">
        <v>-1383</v>
      </c>
      <c r="G99" s="449">
        <v>5754</v>
      </c>
    </row>
    <row r="100" spans="2:7" x14ac:dyDescent="0.3">
      <c r="B100" s="69" t="s">
        <v>40</v>
      </c>
      <c r="C100" s="449">
        <v>1955</v>
      </c>
      <c r="D100" s="449">
        <v>738</v>
      </c>
      <c r="E100" s="449">
        <v>1151</v>
      </c>
      <c r="F100" s="449">
        <v>1711</v>
      </c>
      <c r="G100" s="449">
        <v>1265</v>
      </c>
    </row>
    <row r="101" spans="2:7" x14ac:dyDescent="0.3">
      <c r="B101" s="69" t="s">
        <v>65</v>
      </c>
      <c r="C101" s="449">
        <v>17272</v>
      </c>
      <c r="D101" s="449">
        <v>18365</v>
      </c>
      <c r="E101" s="449">
        <v>30723</v>
      </c>
      <c r="F101" s="449">
        <v>38514</v>
      </c>
      <c r="G101" s="449">
        <v>66064</v>
      </c>
    </row>
    <row r="102" spans="2:7" x14ac:dyDescent="0.3">
      <c r="C102" s="107"/>
      <c r="D102" s="107"/>
      <c r="E102" s="107"/>
      <c r="F102" s="107"/>
      <c r="G102" s="107"/>
    </row>
    <row r="103" spans="2:7" x14ac:dyDescent="0.3">
      <c r="B103" s="69" t="s">
        <v>66</v>
      </c>
      <c r="C103" s="449">
        <v>-7804</v>
      </c>
      <c r="D103" s="449">
        <v>-11955</v>
      </c>
      <c r="E103" s="449">
        <v>-13427</v>
      </c>
      <c r="F103" s="449">
        <v>-16861</v>
      </c>
      <c r="G103" s="449">
        <v>-40140</v>
      </c>
    </row>
    <row r="104" spans="2:7" x14ac:dyDescent="0.3">
      <c r="B104" s="69" t="s">
        <v>67</v>
      </c>
      <c r="C104" s="449">
        <v>1067</v>
      </c>
      <c r="D104" s="449">
        <v>1897</v>
      </c>
      <c r="E104" s="449">
        <v>2104</v>
      </c>
      <c r="F104" s="449">
        <v>4172</v>
      </c>
      <c r="G104" s="449">
        <v>5096</v>
      </c>
    </row>
    <row r="105" spans="2:7" x14ac:dyDescent="0.3">
      <c r="B105" s="69" t="s">
        <v>68</v>
      </c>
      <c r="C105" s="449">
        <v>-116</v>
      </c>
      <c r="D105" s="449">
        <v>-13972</v>
      </c>
      <c r="E105" s="449">
        <v>-2186</v>
      </c>
      <c r="F105" s="449">
        <v>-2461</v>
      </c>
      <c r="G105" s="449">
        <v>-2325</v>
      </c>
    </row>
    <row r="106" spans="2:7" x14ac:dyDescent="0.3">
      <c r="B106" s="69" t="s">
        <v>69</v>
      </c>
      <c r="C106" s="449">
        <v>4733</v>
      </c>
      <c r="D106" s="449">
        <v>9677</v>
      </c>
      <c r="E106" s="449">
        <v>8240</v>
      </c>
      <c r="F106" s="449">
        <v>22681</v>
      </c>
      <c r="G106" s="449">
        <v>50237</v>
      </c>
    </row>
    <row r="107" spans="2:7" x14ac:dyDescent="0.3">
      <c r="B107" s="69" t="s">
        <v>70</v>
      </c>
      <c r="C107" s="449">
        <v>-7756</v>
      </c>
      <c r="D107" s="449">
        <v>-12731</v>
      </c>
      <c r="E107" s="449">
        <v>-7100</v>
      </c>
      <c r="F107" s="449">
        <v>-31812</v>
      </c>
      <c r="G107" s="449">
        <v>-72479</v>
      </c>
    </row>
    <row r="108" spans="2:7" x14ac:dyDescent="0.3">
      <c r="B108" s="69" t="s">
        <v>71</v>
      </c>
      <c r="C108" s="449">
        <v>-9876</v>
      </c>
      <c r="D108" s="449">
        <v>-27084</v>
      </c>
      <c r="E108" s="449">
        <v>-12369</v>
      </c>
      <c r="F108" s="449">
        <v>-24281</v>
      </c>
      <c r="G108" s="449">
        <v>-59611</v>
      </c>
    </row>
    <row r="109" spans="2:7" x14ac:dyDescent="0.3">
      <c r="C109" s="449"/>
      <c r="D109" s="449"/>
      <c r="E109" s="449"/>
      <c r="F109" s="449"/>
      <c r="G109" s="449"/>
    </row>
    <row r="110" spans="2:7" x14ac:dyDescent="0.3">
      <c r="B110" s="69" t="s">
        <v>72</v>
      </c>
      <c r="C110" s="449">
        <v>621</v>
      </c>
      <c r="D110" s="449">
        <v>16228</v>
      </c>
      <c r="E110" s="449">
        <v>768</v>
      </c>
      <c r="F110" s="449">
        <v>2273</v>
      </c>
      <c r="G110" s="449">
        <f>10525+6796</f>
        <v>17321</v>
      </c>
    </row>
    <row r="111" spans="2:7" x14ac:dyDescent="0.3">
      <c r="B111" s="69" t="s">
        <v>73</v>
      </c>
      <c r="C111" s="449">
        <v>-354</v>
      </c>
      <c r="D111" s="449">
        <v>-1301</v>
      </c>
      <c r="E111" s="449">
        <v>-668</v>
      </c>
      <c r="F111" s="449">
        <v>-2684</v>
      </c>
      <c r="G111" s="449">
        <f>-1553-6177</f>
        <v>-7730</v>
      </c>
    </row>
    <row r="112" spans="2:7" x14ac:dyDescent="0.3">
      <c r="B112" s="69" t="s">
        <v>275</v>
      </c>
      <c r="C112" s="449">
        <v>-3860</v>
      </c>
      <c r="D112" s="449">
        <v>0</v>
      </c>
      <c r="E112" s="449">
        <v>0</v>
      </c>
      <c r="F112" s="449">
        <v>0</v>
      </c>
      <c r="G112" s="449">
        <v>0</v>
      </c>
    </row>
    <row r="113" spans="2:9" x14ac:dyDescent="0.3">
      <c r="B113" s="69" t="s">
        <v>272</v>
      </c>
      <c r="C113" s="449">
        <v>-147</v>
      </c>
      <c r="D113" s="449">
        <v>-4799</v>
      </c>
      <c r="E113" s="449">
        <v>-7449</v>
      </c>
      <c r="F113" s="449">
        <v>-9628</v>
      </c>
      <c r="G113" s="449">
        <v>-10642</v>
      </c>
    </row>
    <row r="114" spans="2:9" x14ac:dyDescent="0.3">
      <c r="B114" s="69" t="s">
        <v>212</v>
      </c>
      <c r="C114" s="449">
        <v>0</v>
      </c>
      <c r="D114" s="449">
        <v>-200</v>
      </c>
      <c r="E114" s="449">
        <v>-337</v>
      </c>
      <c r="F114" s="449">
        <v>-27</v>
      </c>
      <c r="G114" s="449">
        <v>-53</v>
      </c>
      <c r="H114" s="182"/>
      <c r="I114" s="182"/>
    </row>
    <row r="115" spans="2:9" x14ac:dyDescent="0.3">
      <c r="B115" s="69" t="s">
        <v>74</v>
      </c>
      <c r="C115" s="449">
        <v>-3740</v>
      </c>
      <c r="D115" s="449">
        <v>9928</v>
      </c>
      <c r="E115" s="449">
        <v>-7686</v>
      </c>
      <c r="F115" s="449">
        <v>-10066</v>
      </c>
      <c r="G115" s="449">
        <v>-1104</v>
      </c>
    </row>
    <row r="116" spans="2:9" x14ac:dyDescent="0.3">
      <c r="B116" s="69" t="s">
        <v>195</v>
      </c>
      <c r="C116" s="449">
        <v>-212</v>
      </c>
      <c r="D116" s="449">
        <v>713</v>
      </c>
      <c r="E116" s="449">
        <v>-351</v>
      </c>
      <c r="F116" s="449">
        <v>70</v>
      </c>
      <c r="G116" s="449">
        <v>618</v>
      </c>
    </row>
    <row r="117" spans="2:9" x14ac:dyDescent="0.3">
      <c r="B117" s="69" t="s">
        <v>75</v>
      </c>
      <c r="C117" s="449">
        <v>3444</v>
      </c>
      <c r="D117" s="449">
        <v>1922</v>
      </c>
      <c r="E117" s="449">
        <v>10317</v>
      </c>
      <c r="F117" s="449">
        <v>4237</v>
      </c>
      <c r="G117" s="449">
        <v>5967</v>
      </c>
    </row>
    <row r="118" spans="2:9" x14ac:dyDescent="0.3">
      <c r="B118" s="69" t="s">
        <v>196</v>
      </c>
      <c r="C118" s="449">
        <v>19334</v>
      </c>
      <c r="D118" s="449">
        <v>21856</v>
      </c>
      <c r="E118" s="449">
        <v>32173</v>
      </c>
      <c r="F118" s="449">
        <v>36410</v>
      </c>
      <c r="G118" s="449">
        <v>42377</v>
      </c>
    </row>
    <row r="119" spans="2:9" x14ac:dyDescent="0.3">
      <c r="C119" s="143"/>
      <c r="D119" s="143"/>
      <c r="E119" s="143"/>
      <c r="F119" s="143"/>
      <c r="G119" s="143"/>
    </row>
    <row r="120" spans="2:9" x14ac:dyDescent="0.3">
      <c r="B120" s="69" t="s">
        <v>25</v>
      </c>
      <c r="C120" s="143"/>
      <c r="D120" s="143"/>
      <c r="E120" s="143"/>
      <c r="F120" s="143"/>
      <c r="G120" s="143"/>
    </row>
    <row r="121" spans="2:9" x14ac:dyDescent="0.3">
      <c r="B121" s="218" t="s">
        <v>423</v>
      </c>
      <c r="C121" s="218"/>
      <c r="D121" s="218"/>
      <c r="E121" s="219"/>
      <c r="F121" s="219"/>
      <c r="G121" s="219"/>
    </row>
    <row r="122" spans="2:9" x14ac:dyDescent="0.3">
      <c r="B122" s="69" t="s">
        <v>197</v>
      </c>
      <c r="C122" s="449">
        <v>19334</v>
      </c>
      <c r="D122" s="449">
        <v>20522</v>
      </c>
      <c r="E122" s="449">
        <v>31750</v>
      </c>
      <c r="F122" s="449">
        <v>36092</v>
      </c>
      <c r="G122" s="449">
        <v>42122</v>
      </c>
    </row>
    <row r="123" spans="2:9" x14ac:dyDescent="0.3">
      <c r="B123" s="69" t="s">
        <v>198</v>
      </c>
      <c r="C123" s="449">
        <v>265</v>
      </c>
      <c r="D123" s="449">
        <v>1329</v>
      </c>
      <c r="E123" s="449">
        <v>418</v>
      </c>
      <c r="F123" s="449">
        <v>276</v>
      </c>
      <c r="G123" s="449">
        <v>233</v>
      </c>
    </row>
    <row r="124" spans="2:9" x14ac:dyDescent="0.3">
      <c r="B124" s="69" t="s">
        <v>199</v>
      </c>
      <c r="C124" s="449">
        <v>0</v>
      </c>
      <c r="D124" s="449">
        <v>5</v>
      </c>
      <c r="E124" s="449">
        <v>5</v>
      </c>
      <c r="F124" s="449">
        <v>42</v>
      </c>
      <c r="G124" s="449">
        <v>22</v>
      </c>
    </row>
    <row r="125" spans="2:9" x14ac:dyDescent="0.3">
      <c r="B125" s="69" t="s">
        <v>200</v>
      </c>
      <c r="C125" s="449">
        <v>19599</v>
      </c>
      <c r="D125" s="449">
        <v>21856</v>
      </c>
      <c r="E125" s="449">
        <v>32173</v>
      </c>
      <c r="F125" s="449">
        <v>36410</v>
      </c>
      <c r="G125" s="449">
        <v>42377</v>
      </c>
    </row>
    <row r="126" spans="2:9" x14ac:dyDescent="0.3">
      <c r="C126" s="383"/>
      <c r="D126" s="383"/>
      <c r="E126" s="383"/>
      <c r="F126" s="383"/>
      <c r="G126" s="383"/>
    </row>
    <row r="127" spans="2:9" x14ac:dyDescent="0.3">
      <c r="B127" s="69" t="s">
        <v>201</v>
      </c>
      <c r="C127" s="449">
        <v>290</v>
      </c>
      <c r="D127" s="449">
        <v>328</v>
      </c>
      <c r="E127" s="449">
        <v>854</v>
      </c>
      <c r="F127" s="449">
        <v>875</v>
      </c>
      <c r="G127" s="449">
        <v>916</v>
      </c>
    </row>
    <row r="128" spans="2:9" x14ac:dyDescent="0.3">
      <c r="B128" s="69" t="s">
        <v>202</v>
      </c>
      <c r="C128" s="449">
        <v>0</v>
      </c>
      <c r="D128" s="449">
        <v>0</v>
      </c>
      <c r="E128" s="449">
        <v>0</v>
      </c>
      <c r="F128" s="449">
        <v>3361</v>
      </c>
      <c r="G128" s="449">
        <v>4475</v>
      </c>
    </row>
    <row r="129" spans="2:7" x14ac:dyDescent="0.3">
      <c r="B129" s="69" t="s">
        <v>203</v>
      </c>
      <c r="C129" s="449">
        <v>206</v>
      </c>
      <c r="D129" s="449">
        <v>200</v>
      </c>
      <c r="E129" s="449">
        <v>381</v>
      </c>
      <c r="F129" s="449">
        <v>647</v>
      </c>
      <c r="G129" s="449">
        <v>612</v>
      </c>
    </row>
    <row r="130" spans="2:7" x14ac:dyDescent="0.3">
      <c r="B130" s="69" t="s">
        <v>204</v>
      </c>
      <c r="C130" s="449">
        <v>0</v>
      </c>
      <c r="D130" s="449">
        <v>119</v>
      </c>
      <c r="E130" s="449">
        <v>194</v>
      </c>
      <c r="F130" s="449">
        <v>39</v>
      </c>
      <c r="G130" s="449">
        <v>102</v>
      </c>
    </row>
    <row r="131" spans="2:7" x14ac:dyDescent="0.3">
      <c r="B131" s="69" t="s">
        <v>205</v>
      </c>
      <c r="C131" s="449">
        <v>412</v>
      </c>
      <c r="D131" s="449">
        <v>957</v>
      </c>
      <c r="E131" s="449">
        <v>1184</v>
      </c>
      <c r="F131" s="449">
        <v>881</v>
      </c>
      <c r="G131" s="449">
        <v>1713</v>
      </c>
    </row>
    <row r="132" spans="2:7" x14ac:dyDescent="0.3">
      <c r="B132" s="69" t="s">
        <v>206</v>
      </c>
      <c r="C132" s="449">
        <v>0</v>
      </c>
      <c r="D132" s="449">
        <v>0</v>
      </c>
      <c r="E132" s="449">
        <v>0</v>
      </c>
      <c r="F132" s="449">
        <v>7870</v>
      </c>
      <c r="G132" s="449">
        <v>16217</v>
      </c>
    </row>
    <row r="133" spans="2:7" x14ac:dyDescent="0.3">
      <c r="B133" s="69" t="s">
        <v>207</v>
      </c>
      <c r="C133" s="449">
        <v>5704</v>
      </c>
      <c r="D133" s="449">
        <v>9637</v>
      </c>
      <c r="E133" s="449">
        <v>10615</v>
      </c>
      <c r="F133" s="449">
        <v>13723</v>
      </c>
      <c r="G133" s="449">
        <v>11588</v>
      </c>
    </row>
    <row r="134" spans="2:7" x14ac:dyDescent="0.3">
      <c r="B134" s="69" t="s">
        <v>208</v>
      </c>
      <c r="C134" s="449">
        <v>1209</v>
      </c>
      <c r="D134" s="449">
        <v>3541</v>
      </c>
      <c r="E134" s="449">
        <v>3641</v>
      </c>
      <c r="F134" s="449">
        <v>1362</v>
      </c>
      <c r="G134" s="449">
        <v>2267</v>
      </c>
    </row>
    <row r="137" spans="2:7" x14ac:dyDescent="0.3">
      <c r="B137" s="218" t="s">
        <v>461</v>
      </c>
      <c r="C137" s="218"/>
      <c r="D137" s="218"/>
      <c r="E137" s="219"/>
      <c r="F137" s="219"/>
      <c r="G137" s="219"/>
    </row>
    <row r="138" spans="2:7" x14ac:dyDescent="0.3">
      <c r="B138" s="327" t="s">
        <v>387</v>
      </c>
      <c r="C138" s="327"/>
      <c r="D138" s="327"/>
      <c r="E138" s="327"/>
      <c r="F138" s="327"/>
      <c r="G138" s="327"/>
    </row>
    <row r="139" spans="2:7" x14ac:dyDescent="0.3">
      <c r="B139" s="69" t="s">
        <v>465</v>
      </c>
      <c r="C139" s="449">
        <v>3800</v>
      </c>
      <c r="D139" s="449">
        <v>5400</v>
      </c>
      <c r="E139" s="449">
        <v>7300</v>
      </c>
      <c r="F139" s="449">
        <v>10100</v>
      </c>
      <c r="G139" s="449">
        <v>8500</v>
      </c>
    </row>
    <row r="140" spans="2:7" x14ac:dyDescent="0.3">
      <c r="B140" s="69" t="s">
        <v>468</v>
      </c>
      <c r="C140" s="449">
        <v>11039</v>
      </c>
      <c r="D140" s="449">
        <v>17765</v>
      </c>
      <c r="E140" s="449">
        <v>22700</v>
      </c>
      <c r="F140" s="449">
        <v>27400</v>
      </c>
      <c r="G140" s="449">
        <v>31600</v>
      </c>
    </row>
    <row r="141" spans="2:7" x14ac:dyDescent="0.3">
      <c r="B141" s="69" t="s">
        <v>467</v>
      </c>
      <c r="C141" s="449">
        <v>8401</v>
      </c>
      <c r="D141" s="383">
        <f>C140</f>
        <v>11039</v>
      </c>
      <c r="E141" s="383">
        <f>D140</f>
        <v>17765</v>
      </c>
      <c r="F141" s="383">
        <f>E140</f>
        <v>22700</v>
      </c>
      <c r="G141" s="383">
        <f>F140</f>
        <v>27400</v>
      </c>
    </row>
    <row r="142" spans="2:7" x14ac:dyDescent="0.3">
      <c r="C142" s="328"/>
      <c r="D142" s="328"/>
      <c r="E142" s="328"/>
      <c r="F142" s="328"/>
      <c r="G142" s="328"/>
    </row>
    <row r="143" spans="2:7" x14ac:dyDescent="0.3">
      <c r="B143" s="327" t="s">
        <v>389</v>
      </c>
      <c r="C143" s="327"/>
      <c r="D143" s="327"/>
      <c r="E143" s="327"/>
      <c r="F143" s="327"/>
      <c r="G143" s="327"/>
    </row>
    <row r="144" spans="2:7" x14ac:dyDescent="0.3">
      <c r="B144" s="69" t="s">
        <v>468</v>
      </c>
      <c r="C144" s="449">
        <v>11660</v>
      </c>
      <c r="D144" s="449">
        <v>19304</v>
      </c>
      <c r="E144" s="449">
        <v>24423</v>
      </c>
      <c r="F144" s="449">
        <v>26979</v>
      </c>
      <c r="G144" s="449">
        <v>28434</v>
      </c>
    </row>
    <row r="145" spans="2:10" x14ac:dyDescent="0.3">
      <c r="B145" s="69" t="s">
        <v>467</v>
      </c>
      <c r="C145" s="449">
        <v>9074</v>
      </c>
      <c r="D145" s="383">
        <f>C144</f>
        <v>11660</v>
      </c>
      <c r="E145" s="383">
        <f>D144</f>
        <v>19304</v>
      </c>
      <c r="F145" s="383">
        <f>E144</f>
        <v>24423</v>
      </c>
      <c r="G145" s="383">
        <f>F144</f>
        <v>26979</v>
      </c>
    </row>
    <row r="146" spans="2:10" x14ac:dyDescent="0.3">
      <c r="B146" s="69" t="s">
        <v>509</v>
      </c>
      <c r="C146" s="449">
        <f>3997+114</f>
        <v>4111</v>
      </c>
      <c r="D146" s="449">
        <f>5839+282</f>
        <v>6121</v>
      </c>
      <c r="E146" s="449">
        <f>7720+411</f>
        <v>8131</v>
      </c>
      <c r="F146" s="449">
        <v>9884</v>
      </c>
      <c r="G146" s="449">
        <v>10374</v>
      </c>
    </row>
    <row r="147" spans="2:10" x14ac:dyDescent="0.3">
      <c r="C147"/>
      <c r="D147" s="81"/>
      <c r="F147" s="326"/>
      <c r="G147" s="326"/>
    </row>
    <row r="148" spans="2:10" x14ac:dyDescent="0.3">
      <c r="B148" s="69" t="s">
        <v>463</v>
      </c>
      <c r="C148" s="330" t="s">
        <v>466</v>
      </c>
      <c r="D148" s="330" t="s">
        <v>466</v>
      </c>
      <c r="E148" s="330" t="s">
        <v>466</v>
      </c>
      <c r="F148" s="451">
        <v>2.7E-2</v>
      </c>
      <c r="G148" s="451">
        <v>2.1000000000000001E-2</v>
      </c>
    </row>
    <row r="149" spans="2:10" x14ac:dyDescent="0.3">
      <c r="B149" s="69" t="s">
        <v>469</v>
      </c>
      <c r="C149" s="330" t="s">
        <v>466</v>
      </c>
      <c r="D149" s="330" t="s">
        <v>466</v>
      </c>
      <c r="E149" s="330" t="s">
        <v>466</v>
      </c>
      <c r="F149" s="452">
        <v>5.5</v>
      </c>
      <c r="G149" s="452">
        <v>6.2</v>
      </c>
    </row>
    <row r="151" spans="2:10" x14ac:dyDescent="0.3">
      <c r="B151" s="218" t="s">
        <v>462</v>
      </c>
      <c r="C151" s="218"/>
      <c r="D151" s="218"/>
      <c r="E151" s="219"/>
      <c r="F151" s="219"/>
      <c r="G151" s="219"/>
    </row>
    <row r="152" spans="2:10" x14ac:dyDescent="0.3">
      <c r="B152" s="327" t="s">
        <v>384</v>
      </c>
      <c r="C152" s="327"/>
      <c r="D152" s="327"/>
      <c r="E152" s="327"/>
      <c r="F152" s="327"/>
      <c r="G152" s="327"/>
    </row>
    <row r="153" spans="2:10" x14ac:dyDescent="0.3">
      <c r="B153" s="69" t="s">
        <v>470</v>
      </c>
      <c r="C153" s="330" t="s">
        <v>466</v>
      </c>
      <c r="D153" s="330" t="s">
        <v>466</v>
      </c>
      <c r="E153" s="330" t="s">
        <v>466</v>
      </c>
      <c r="F153" s="453">
        <v>7870</v>
      </c>
      <c r="G153" s="453">
        <v>16217</v>
      </c>
      <c r="I153" s="182"/>
      <c r="J153" s="182"/>
    </row>
    <row r="154" spans="2:10" x14ac:dyDescent="0.3">
      <c r="C154" s="330"/>
      <c r="D154" s="330"/>
      <c r="E154" s="329"/>
      <c r="F154" s="331"/>
      <c r="G154" s="331"/>
    </row>
    <row r="155" spans="2:10" x14ac:dyDescent="0.3">
      <c r="B155" s="327" t="s">
        <v>385</v>
      </c>
      <c r="C155" s="327"/>
      <c r="D155" s="327"/>
      <c r="E155" s="327"/>
      <c r="F155" s="327"/>
      <c r="G155" s="327"/>
    </row>
    <row r="156" spans="2:10" x14ac:dyDescent="0.3">
      <c r="B156" s="69" t="s">
        <v>468</v>
      </c>
      <c r="C156" s="330" t="s">
        <v>466</v>
      </c>
      <c r="D156" s="330" t="s">
        <v>466</v>
      </c>
      <c r="E156" s="449">
        <v>20865.193986420902</v>
      </c>
      <c r="F156" s="449">
        <v>25835</v>
      </c>
      <c r="G156" s="449">
        <v>39099</v>
      </c>
    </row>
    <row r="157" spans="2:10" x14ac:dyDescent="0.3">
      <c r="B157" s="69" t="s">
        <v>471</v>
      </c>
      <c r="C157" s="454">
        <v>0</v>
      </c>
      <c r="D157" s="449">
        <v>2200</v>
      </c>
      <c r="E157" s="449">
        <v>3400</v>
      </c>
      <c r="F157" s="449">
        <v>3669</v>
      </c>
      <c r="G157" s="449">
        <v>5019</v>
      </c>
    </row>
    <row r="158" spans="2:10" x14ac:dyDescent="0.3">
      <c r="B158" s="69" t="s">
        <v>463</v>
      </c>
      <c r="C158" s="330" t="s">
        <v>466</v>
      </c>
      <c r="D158" s="330" t="s">
        <v>466</v>
      </c>
      <c r="E158" s="330" t="s">
        <v>466</v>
      </c>
      <c r="F158" s="451">
        <v>3.1E-2</v>
      </c>
      <c r="G158" s="451">
        <v>2.5000000000000001E-2</v>
      </c>
    </row>
    <row r="159" spans="2:10" x14ac:dyDescent="0.3">
      <c r="B159" s="69" t="s">
        <v>464</v>
      </c>
      <c r="C159" s="330" t="s">
        <v>466</v>
      </c>
      <c r="D159" s="330" t="s">
        <v>466</v>
      </c>
      <c r="E159" s="330" t="s">
        <v>466</v>
      </c>
      <c r="F159" s="452">
        <v>11.5</v>
      </c>
      <c r="G159" s="452">
        <v>11.3</v>
      </c>
    </row>
    <row r="160" spans="2:10" x14ac:dyDescent="0.3">
      <c r="B160" s="69" t="s">
        <v>509</v>
      </c>
      <c r="C160" s="330" t="s">
        <v>466</v>
      </c>
      <c r="D160" s="330" t="s">
        <v>466</v>
      </c>
      <c r="E160" s="330" t="s">
        <v>466</v>
      </c>
      <c r="F160" s="455">
        <v>3139</v>
      </c>
      <c r="G160" s="455">
        <v>4586</v>
      </c>
    </row>
    <row r="161" spans="2:7" x14ac:dyDescent="0.3">
      <c r="C161"/>
      <c r="D161"/>
      <c r="F161" s="326"/>
      <c r="G161" s="326"/>
    </row>
    <row r="162" spans="2:7" x14ac:dyDescent="0.3">
      <c r="B162" s="218" t="s">
        <v>390</v>
      </c>
      <c r="C162" s="218"/>
      <c r="D162" s="218"/>
      <c r="E162" s="219"/>
      <c r="F162" s="219"/>
      <c r="G162" s="219"/>
    </row>
    <row r="163" spans="2:7" x14ac:dyDescent="0.3">
      <c r="C163" s="142">
        <v>2022</v>
      </c>
      <c r="D163" s="142">
        <v>2023</v>
      </c>
      <c r="E163" s="142">
        <v>2024</v>
      </c>
      <c r="F163" s="142">
        <v>2025</v>
      </c>
      <c r="G163" s="125" t="s">
        <v>276</v>
      </c>
    </row>
    <row r="164" spans="2:7" x14ac:dyDescent="0.3">
      <c r="B164" s="69" t="s">
        <v>391</v>
      </c>
      <c r="C164" s="449">
        <v>1629</v>
      </c>
      <c r="D164" s="449">
        <v>2283</v>
      </c>
      <c r="E164" s="449">
        <v>3355</v>
      </c>
      <c r="F164" s="449">
        <v>2251</v>
      </c>
      <c r="G164" s="449">
        <v>22500</v>
      </c>
    </row>
  </sheetData>
  <pageMargins left="0.7" right="0.7" top="0.75" bottom="0.75" header="0.3" footer="0.3"/>
  <pageSetup scale="41" orientation="portrait" horizontalDpi="1200" verticalDpi="1200" r:id="rId1"/>
  <rowBreaks count="1" manualBreakCount="1">
    <brk id="78" max="7" man="1"/>
  </rowBreaks>
  <colBreaks count="1" manualBreakCount="1">
    <brk id="10" max="164"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9CE4-7A82-422C-8C48-01B08C7A5A62}">
  <dimension ref="A1:U60"/>
  <sheetViews>
    <sheetView showGridLines="0" zoomScale="85" zoomScaleNormal="85" workbookViewId="0">
      <selection activeCell="H14" sqref="H14"/>
    </sheetView>
  </sheetViews>
  <sheetFormatPr defaultColWidth="10.75" defaultRowHeight="13.8" outlineLevelRow="1" x14ac:dyDescent="0.25"/>
  <cols>
    <col min="1" max="1" width="3.375" customWidth="1"/>
    <col min="2" max="2" width="65.75" customWidth="1"/>
    <col min="19" max="19" width="10.75" style="89"/>
  </cols>
  <sheetData>
    <row r="1" spans="1:19" x14ac:dyDescent="0.25">
      <c r="A1" s="2" t="s">
        <v>76</v>
      </c>
      <c r="B1" s="67"/>
      <c r="C1" s="17"/>
      <c r="D1" s="17"/>
      <c r="E1" s="17"/>
      <c r="F1" s="17"/>
      <c r="G1" s="17"/>
      <c r="H1" s="17"/>
      <c r="I1" s="17"/>
      <c r="J1" s="43"/>
      <c r="K1" s="44"/>
      <c r="L1" s="17"/>
      <c r="M1" s="43"/>
      <c r="N1" s="44"/>
      <c r="O1" s="17"/>
      <c r="P1" s="17"/>
      <c r="Q1" s="17"/>
      <c r="R1" s="17"/>
    </row>
    <row r="2" spans="1:19" ht="18" x14ac:dyDescent="0.35">
      <c r="A2" s="70" t="s">
        <v>458</v>
      </c>
      <c r="B2" s="3"/>
      <c r="C2" s="17"/>
      <c r="D2" s="17"/>
      <c r="E2" s="17"/>
      <c r="F2" s="17"/>
      <c r="G2" s="17"/>
      <c r="H2" s="17"/>
      <c r="I2" s="17"/>
      <c r="J2" s="17"/>
      <c r="K2" s="17"/>
      <c r="L2" s="17"/>
      <c r="M2" s="17"/>
      <c r="N2" s="17"/>
      <c r="O2" s="17"/>
      <c r="P2" s="17"/>
      <c r="Q2" s="17"/>
      <c r="R2" s="17"/>
    </row>
    <row r="3" spans="1:19" x14ac:dyDescent="0.25">
      <c r="A3" s="71" t="s">
        <v>214</v>
      </c>
      <c r="B3" s="4"/>
      <c r="C3" s="17"/>
      <c r="D3" s="17"/>
      <c r="E3" s="17"/>
      <c r="F3" s="17"/>
      <c r="G3" s="17"/>
      <c r="H3" s="17"/>
      <c r="I3" s="17"/>
      <c r="J3" s="17"/>
      <c r="K3" s="17"/>
      <c r="L3" s="17"/>
      <c r="M3" s="17"/>
      <c r="N3" s="17"/>
      <c r="O3" s="17"/>
      <c r="P3" s="17"/>
      <c r="Q3" s="17"/>
      <c r="R3" s="17"/>
    </row>
    <row r="4" spans="1:19" outlineLevel="1" x14ac:dyDescent="0.25"/>
    <row r="5" spans="1:19" x14ac:dyDescent="0.25">
      <c r="B5" s="57"/>
      <c r="C5" s="78">
        <f>'Financial Statements'!C5</f>
        <v>2016</v>
      </c>
      <c r="D5" s="78">
        <f>'Financial Statements'!D5</f>
        <v>2017</v>
      </c>
      <c r="E5" s="78">
        <f>'Financial Statements'!E5</f>
        <v>2018</v>
      </c>
      <c r="F5" s="78">
        <f>'Financial Statements'!F5</f>
        <v>2019</v>
      </c>
      <c r="G5" s="78">
        <f>'Financial Statements'!G5</f>
        <v>2020</v>
      </c>
      <c r="H5" s="79">
        <f>'Financial Statements'!H5</f>
        <v>2021</v>
      </c>
      <c r="I5" s="79">
        <f>'Financial Statements'!I5</f>
        <v>2022</v>
      </c>
      <c r="J5" s="79">
        <f>'Financial Statements'!J5</f>
        <v>2023</v>
      </c>
      <c r="K5" s="79">
        <f>'Financial Statements'!K5</f>
        <v>2024</v>
      </c>
      <c r="L5" s="79">
        <f>'Financial Statements'!L5</f>
        <v>2025</v>
      </c>
      <c r="M5" s="79">
        <f>'Financial Statements'!M5</f>
        <v>2026</v>
      </c>
      <c r="N5" s="79">
        <f>'Financial Statements'!N5</f>
        <v>2027</v>
      </c>
      <c r="O5" s="79">
        <f>'Financial Statements'!O5</f>
        <v>2028</v>
      </c>
      <c r="P5" s="79">
        <f>'Financial Statements'!P5</f>
        <v>2029</v>
      </c>
      <c r="Q5" s="79">
        <f>'Financial Statements'!Q5</f>
        <v>2030</v>
      </c>
      <c r="R5" s="79">
        <f>'Financial Statements'!R5</f>
        <v>2031</v>
      </c>
      <c r="S5" s="92"/>
    </row>
    <row r="6" spans="1:19" ht="5.4" customHeight="1" x14ac:dyDescent="0.25"/>
    <row r="7" spans="1:19" x14ac:dyDescent="0.25">
      <c r="B7" s="218" t="s">
        <v>89</v>
      </c>
      <c r="C7" s="218"/>
      <c r="D7" s="218"/>
      <c r="E7" s="218"/>
      <c r="F7" s="218"/>
      <c r="G7" s="218"/>
      <c r="H7" s="218"/>
      <c r="I7" s="218"/>
      <c r="J7" s="218"/>
      <c r="K7" s="218"/>
      <c r="L7" s="218"/>
      <c r="M7" s="218"/>
      <c r="N7" s="218"/>
      <c r="O7" s="218"/>
      <c r="P7" s="218"/>
      <c r="Q7" s="218"/>
      <c r="R7" s="218"/>
      <c r="S7" s="93"/>
    </row>
    <row r="8" spans="1:19" outlineLevel="1" x14ac:dyDescent="0.25">
      <c r="B8" t="s">
        <v>90</v>
      </c>
      <c r="C8" s="431">
        <f>'Financial Statements'!C8</f>
        <v>42370</v>
      </c>
      <c r="D8" s="431">
        <f>'Financial Statements'!D8</f>
        <v>42736</v>
      </c>
      <c r="E8" s="431">
        <f>'Financial Statements'!E8</f>
        <v>43101</v>
      </c>
      <c r="F8" s="431">
        <f>'Financial Statements'!F8</f>
        <v>43466</v>
      </c>
      <c r="G8" s="431">
        <f>'Financial Statements'!G8</f>
        <v>43831</v>
      </c>
      <c r="H8" s="431">
        <f>'Financial Statements'!H8</f>
        <v>44197</v>
      </c>
      <c r="I8" s="431">
        <f>'Financial Statements'!I8</f>
        <v>44562</v>
      </c>
      <c r="J8" s="431">
        <f>'Financial Statements'!J8</f>
        <v>44927</v>
      </c>
      <c r="K8" s="431">
        <f>'Financial Statements'!K8</f>
        <v>45292</v>
      </c>
      <c r="L8" s="431">
        <f>'Financial Statements'!L8</f>
        <v>45658</v>
      </c>
      <c r="M8" s="431">
        <f>'Financial Statements'!M8</f>
        <v>46023</v>
      </c>
      <c r="N8" s="431">
        <f>'Financial Statements'!N8</f>
        <v>46388</v>
      </c>
      <c r="O8" s="431">
        <f>'Financial Statements'!O8</f>
        <v>46753</v>
      </c>
      <c r="P8" s="431">
        <f>'Financial Statements'!P8</f>
        <v>47119</v>
      </c>
      <c r="Q8" s="431">
        <f>'Financial Statements'!Q8</f>
        <v>47484</v>
      </c>
      <c r="R8" s="431">
        <f>'Financial Statements'!R8</f>
        <v>47849</v>
      </c>
      <c r="S8" s="94"/>
    </row>
    <row r="9" spans="1:19" outlineLevel="1" x14ac:dyDescent="0.25">
      <c r="B9" t="s">
        <v>92</v>
      </c>
      <c r="C9" s="431">
        <f>'Financial Statements'!C9</f>
        <v>42735</v>
      </c>
      <c r="D9" s="431">
        <f>'Financial Statements'!D9</f>
        <v>43100</v>
      </c>
      <c r="E9" s="431">
        <f>'Financial Statements'!E9</f>
        <v>43465</v>
      </c>
      <c r="F9" s="431">
        <f>'Financial Statements'!F9</f>
        <v>43830</v>
      </c>
      <c r="G9" s="431">
        <f>'Financial Statements'!G9</f>
        <v>44196</v>
      </c>
      <c r="H9" s="431">
        <f>'Financial Statements'!H9</f>
        <v>44561</v>
      </c>
      <c r="I9" s="431">
        <f>'Financial Statements'!I9</f>
        <v>44926</v>
      </c>
      <c r="J9" s="431">
        <f>'Financial Statements'!J9</f>
        <v>45291</v>
      </c>
      <c r="K9" s="431">
        <f>'Financial Statements'!K9</f>
        <v>45657</v>
      </c>
      <c r="L9" s="431">
        <f>'Financial Statements'!L9</f>
        <v>46022</v>
      </c>
      <c r="M9" s="431">
        <f>'Financial Statements'!M9</f>
        <v>46387</v>
      </c>
      <c r="N9" s="431">
        <f>'Financial Statements'!N9</f>
        <v>46752</v>
      </c>
      <c r="O9" s="431">
        <f>'Financial Statements'!O9</f>
        <v>47118</v>
      </c>
      <c r="P9" s="431">
        <f>'Financial Statements'!P9</f>
        <v>47483</v>
      </c>
      <c r="Q9" s="431">
        <f>'Financial Statements'!Q9</f>
        <v>47848</v>
      </c>
      <c r="R9" s="431">
        <f>'Financial Statements'!R9</f>
        <v>48213</v>
      </c>
      <c r="S9" s="94"/>
    </row>
    <row r="10" spans="1:19" outlineLevel="1" x14ac:dyDescent="0.25">
      <c r="B10" t="s">
        <v>91</v>
      </c>
      <c r="C10">
        <f>'Financial Statements'!C10</f>
        <v>366</v>
      </c>
      <c r="D10">
        <f>'Financial Statements'!D10</f>
        <v>365</v>
      </c>
      <c r="E10">
        <f>'Financial Statements'!E10</f>
        <v>365</v>
      </c>
      <c r="F10">
        <f>'Financial Statements'!F10</f>
        <v>365</v>
      </c>
      <c r="G10">
        <f>'Financial Statements'!G10</f>
        <v>366</v>
      </c>
      <c r="H10">
        <f>'Financial Statements'!H10</f>
        <v>365</v>
      </c>
      <c r="I10">
        <f>'Financial Statements'!I10</f>
        <v>365</v>
      </c>
      <c r="J10">
        <f>'Financial Statements'!J10</f>
        <v>365</v>
      </c>
      <c r="K10">
        <f>'Financial Statements'!K10</f>
        <v>366</v>
      </c>
      <c r="L10">
        <f>'Financial Statements'!L10</f>
        <v>365</v>
      </c>
      <c r="M10">
        <f>'Financial Statements'!M10</f>
        <v>365</v>
      </c>
      <c r="N10">
        <f>'Financial Statements'!N10</f>
        <v>365</v>
      </c>
      <c r="O10">
        <f>'Financial Statements'!O10</f>
        <v>366</v>
      </c>
      <c r="P10">
        <f>'Financial Statements'!P10</f>
        <v>365</v>
      </c>
      <c r="Q10">
        <f>'Financial Statements'!Q10</f>
        <v>365</v>
      </c>
      <c r="R10">
        <f>'Financial Statements'!R10</f>
        <v>365</v>
      </c>
    </row>
    <row r="11" spans="1:19" outlineLevel="1" x14ac:dyDescent="0.25"/>
    <row r="12" spans="1:19" x14ac:dyDescent="0.25">
      <c r="B12" s="218" t="s">
        <v>144</v>
      </c>
      <c r="C12" s="218"/>
      <c r="D12" s="218"/>
      <c r="E12" s="218"/>
      <c r="F12" s="218"/>
      <c r="G12" s="218"/>
      <c r="H12" s="218"/>
      <c r="I12" s="218"/>
      <c r="J12" s="218"/>
      <c r="K12" s="218"/>
      <c r="L12" s="218"/>
      <c r="M12" s="218"/>
      <c r="N12" s="218"/>
      <c r="O12" s="218"/>
      <c r="P12" s="218"/>
      <c r="Q12" s="218"/>
      <c r="R12" s="218"/>
      <c r="S12" s="93"/>
    </row>
    <row r="13" spans="1:19" outlineLevel="1" x14ac:dyDescent="0.25">
      <c r="B13" s="1" t="s">
        <v>109</v>
      </c>
    </row>
    <row r="14" spans="1:19" outlineLevel="1" x14ac:dyDescent="0.25">
      <c r="B14" t="s">
        <v>103</v>
      </c>
      <c r="D14" s="29"/>
      <c r="E14" s="29"/>
      <c r="F14" s="29"/>
      <c r="G14" s="29"/>
      <c r="H14" s="493">
        <f>CHOOSE('Control Panel'!$W$12,Scenarios!H24,Scenarios!H34,Scenarios!H44)</f>
        <v>0.16233355372196309</v>
      </c>
      <c r="I14" s="493">
        <f>CHOOSE('Control Panel'!$W$12,Scenarios!I24,Scenarios!I34,Scenarios!I44)</f>
        <v>0.12986684297757048</v>
      </c>
      <c r="J14" s="493">
        <f>CHOOSE('Control Panel'!$W$12,Scenarios!J24,Scenarios!J34,Scenarios!J44)</f>
        <v>0.1038934743820564</v>
      </c>
      <c r="K14" s="493">
        <f>CHOOSE('Control Panel'!$W$12,Scenarios!K24,Scenarios!K34,Scenarios!K44)</f>
        <v>8.3114779505645123E-2</v>
      </c>
      <c r="L14" s="493">
        <f>CHOOSE('Control Panel'!$W$12,Scenarios!L24,Scenarios!L34,Scenarios!L44)</f>
        <v>6.6491823604516109E-2</v>
      </c>
      <c r="M14" s="493">
        <f>CHOOSE('Control Panel'!$W$12,Scenarios!M24,Scenarios!M34,Scenarios!M44)</f>
        <v>5.3193458883612876E-2</v>
      </c>
      <c r="N14" s="493">
        <f>CHOOSE('Control Panel'!$W$12,Scenarios!N24,Scenarios!N34,Scenarios!N44)</f>
        <v>4.2554767106890309E-2</v>
      </c>
      <c r="O14" s="493">
        <f>CHOOSE('Control Panel'!$W$12,Scenarios!O24,Scenarios!O34,Scenarios!O44)</f>
        <v>3.404381368551225E-2</v>
      </c>
      <c r="P14" s="493">
        <f>CHOOSE('Control Panel'!$W$12,Scenarios!P24,Scenarios!P34,Scenarios!P44)</f>
        <v>2.7235050948409799E-2</v>
      </c>
      <c r="Q14" s="493">
        <f>CHOOSE('Control Panel'!$W$12,Scenarios!Q24,Scenarios!Q34,Scenarios!Q44)</f>
        <v>2.1788040758727843E-2</v>
      </c>
      <c r="R14" s="493">
        <f>CHOOSE('Control Panel'!$W$12,Scenarios!R24,Scenarios!R34,Scenarios!R44)</f>
        <v>1.7430432606982276E-2</v>
      </c>
      <c r="S14" s="88"/>
    </row>
    <row r="15" spans="1:19" outlineLevel="1" x14ac:dyDescent="0.25">
      <c r="B15" t="s">
        <v>104</v>
      </c>
      <c r="D15" s="29"/>
      <c r="E15" s="29"/>
      <c r="F15" s="29"/>
      <c r="G15" s="29"/>
      <c r="H15" s="493">
        <f>CHOOSE('Control Panel'!$W$12,Scenarios!H25,Scenarios!H35,Scenarios!H45)</f>
        <v>3.7500000000000006E-2</v>
      </c>
      <c r="I15" s="493">
        <f>CHOOSE('Control Panel'!$W$12,Scenarios!I25,Scenarios!I35,Scenarios!I45)</f>
        <v>3.0000000000000006E-2</v>
      </c>
      <c r="J15" s="493">
        <f>CHOOSE('Control Panel'!$W$12,Scenarios!J25,Scenarios!J35,Scenarios!J45)</f>
        <v>2.4000000000000007E-2</v>
      </c>
      <c r="K15" s="493">
        <f>CHOOSE('Control Panel'!$W$12,Scenarios!K25,Scenarios!K35,Scenarios!K45)</f>
        <v>1.9200000000000005E-2</v>
      </c>
      <c r="L15" s="493">
        <f>CHOOSE('Control Panel'!$W$12,Scenarios!L25,Scenarios!L35,Scenarios!L45)</f>
        <v>1.5360000000000006E-2</v>
      </c>
      <c r="M15" s="493">
        <f>CHOOSE('Control Panel'!$W$12,Scenarios!M25,Scenarios!M35,Scenarios!M45)</f>
        <v>1.2288000000000004E-2</v>
      </c>
      <c r="N15" s="493">
        <f>CHOOSE('Control Panel'!$W$12,Scenarios!N25,Scenarios!N35,Scenarios!N45)</f>
        <v>9.8304000000000048E-3</v>
      </c>
      <c r="O15" s="493">
        <f>CHOOSE('Control Panel'!$W$12,Scenarios!O25,Scenarios!O35,Scenarios!O45)</f>
        <v>7.8643200000000045E-3</v>
      </c>
      <c r="P15" s="493">
        <f>CHOOSE('Control Panel'!$W$12,Scenarios!P25,Scenarios!P35,Scenarios!P45)</f>
        <v>6.2914560000000026E-3</v>
      </c>
      <c r="Q15" s="493">
        <f>CHOOSE('Control Panel'!$W$12,Scenarios!Q25,Scenarios!Q35,Scenarios!Q45)</f>
        <v>5.0331648000000026E-3</v>
      </c>
      <c r="R15" s="493">
        <f>CHOOSE('Control Panel'!$W$12,Scenarios!R25,Scenarios!R35,Scenarios!R45)</f>
        <v>4.0265318400000026E-3</v>
      </c>
      <c r="S15" s="88"/>
    </row>
    <row r="16" spans="1:19" outlineLevel="1" x14ac:dyDescent="0.25">
      <c r="B16" t="s">
        <v>105</v>
      </c>
      <c r="D16" s="29"/>
      <c r="E16" s="29"/>
      <c r="F16" s="29"/>
      <c r="G16" s="29"/>
      <c r="H16" s="493">
        <f>CHOOSE('Control Panel'!$W$12,Scenarios!H26,Scenarios!H36,Scenarios!H46)</f>
        <v>0.27781352128291326</v>
      </c>
      <c r="I16" s="493">
        <f>CHOOSE('Control Panel'!$W$12,Scenarios!I26,Scenarios!I36,Scenarios!I46)</f>
        <v>0.22225081702633059</v>
      </c>
      <c r="J16" s="493">
        <f>CHOOSE('Control Panel'!$W$12,Scenarios!J26,Scenarios!J36,Scenarios!J46)</f>
        <v>0.17780065362106448</v>
      </c>
      <c r="K16" s="493">
        <f>CHOOSE('Control Panel'!$W$12,Scenarios!K26,Scenarios!K36,Scenarios!K46)</f>
        <v>0.1422405228968516</v>
      </c>
      <c r="L16" s="493">
        <f>CHOOSE('Control Panel'!$W$12,Scenarios!L26,Scenarios!L36,Scenarios!L46)</f>
        <v>0.11379241831748128</v>
      </c>
      <c r="M16" s="493">
        <f>CHOOSE('Control Panel'!$W$12,Scenarios!M26,Scenarios!M36,Scenarios!M46)</f>
        <v>9.103393465398503E-2</v>
      </c>
      <c r="N16" s="493">
        <f>CHOOSE('Control Panel'!$W$12,Scenarios!N26,Scenarios!N36,Scenarios!N46)</f>
        <v>7.2827147723188032E-2</v>
      </c>
      <c r="O16" s="493">
        <f>CHOOSE('Control Panel'!$W$12,Scenarios!O26,Scenarios!O36,Scenarios!O46)</f>
        <v>5.8261718178550428E-2</v>
      </c>
      <c r="P16" s="493">
        <f>CHOOSE('Control Panel'!$W$12,Scenarios!P26,Scenarios!P36,Scenarios!P46)</f>
        <v>4.6609374542840344E-2</v>
      </c>
      <c r="Q16" s="493">
        <f>CHOOSE('Control Panel'!$W$12,Scenarios!Q26,Scenarios!Q36,Scenarios!Q46)</f>
        <v>3.7287499634272275E-2</v>
      </c>
      <c r="R16" s="493">
        <f>CHOOSE('Control Panel'!$W$12,Scenarios!R26,Scenarios!R36,Scenarios!R46)</f>
        <v>2.9829999707417822E-2</v>
      </c>
      <c r="S16" s="88"/>
    </row>
    <row r="17" spans="2:21" outlineLevel="1" x14ac:dyDescent="0.25">
      <c r="B17" t="s">
        <v>106</v>
      </c>
      <c r="D17" s="29"/>
      <c r="E17" s="29"/>
      <c r="F17" s="29"/>
      <c r="G17" s="29"/>
      <c r="H17" s="493">
        <f>CHOOSE('Control Panel'!$W$12,Scenarios!H27,Scenarios!H37,Scenarios!H47)</f>
        <v>0.30859656167167943</v>
      </c>
      <c r="I17" s="493">
        <f>CHOOSE('Control Panel'!$W$12,Scenarios!I27,Scenarios!I37,Scenarios!I47)</f>
        <v>0.24687724933734356</v>
      </c>
      <c r="J17" s="493">
        <f>CHOOSE('Control Panel'!$W$12,Scenarios!J27,Scenarios!J37,Scenarios!J47)</f>
        <v>0.19750179946987484</v>
      </c>
      <c r="K17" s="493">
        <f>CHOOSE('Control Panel'!$W$12,Scenarios!K27,Scenarios!K37,Scenarios!K47)</f>
        <v>0.15800143957589988</v>
      </c>
      <c r="L17" s="493">
        <f>CHOOSE('Control Panel'!$W$12,Scenarios!L27,Scenarios!L37,Scenarios!L47)</f>
        <v>0.12640115166071991</v>
      </c>
      <c r="M17" s="493">
        <f>CHOOSE('Control Panel'!$W$12,Scenarios!M27,Scenarios!M37,Scenarios!M47)</f>
        <v>0.10112092132857595</v>
      </c>
      <c r="N17" s="493">
        <f>CHOOSE('Control Panel'!$W$12,Scenarios!N27,Scenarios!N37,Scenarios!N47)</f>
        <v>8.0896737062860755E-2</v>
      </c>
      <c r="O17" s="493">
        <f>CHOOSE('Control Panel'!$W$12,Scenarios!O27,Scenarios!O37,Scenarios!O47)</f>
        <v>6.4717389650288615E-2</v>
      </c>
      <c r="P17" s="493">
        <f>CHOOSE('Control Panel'!$W$12,Scenarios!P27,Scenarios!P37,Scenarios!P47)</f>
        <v>5.1773911720230895E-2</v>
      </c>
      <c r="Q17" s="493">
        <f>CHOOSE('Control Panel'!$W$12,Scenarios!Q27,Scenarios!Q37,Scenarios!Q47)</f>
        <v>4.1419129376184721E-2</v>
      </c>
      <c r="R17" s="493">
        <f>CHOOSE('Control Panel'!$W$12,Scenarios!R27,Scenarios!R37,Scenarios!R47)</f>
        <v>3.3135303500947774E-2</v>
      </c>
      <c r="S17" s="88"/>
    </row>
    <row r="18" spans="2:21" outlineLevel="1" x14ac:dyDescent="0.25">
      <c r="B18" t="s">
        <v>107</v>
      </c>
      <c r="D18" s="29"/>
      <c r="E18" s="29"/>
      <c r="F18" s="29"/>
      <c r="G18" s="29"/>
      <c r="H18" s="493">
        <f>CHOOSE('Control Panel'!$W$12,Scenarios!H28,Scenarios!H38,Scenarios!H48)</f>
        <v>0.29228933002969887</v>
      </c>
      <c r="I18" s="493">
        <f>CHOOSE('Control Panel'!$W$12,Scenarios!I28,Scenarios!I38,Scenarios!I48)</f>
        <v>0.23383146402375909</v>
      </c>
      <c r="J18" s="493">
        <f>CHOOSE('Control Panel'!$W$12,Scenarios!J28,Scenarios!J38,Scenarios!J48)</f>
        <v>0.18706517121900729</v>
      </c>
      <c r="K18" s="493">
        <f>CHOOSE('Control Panel'!$W$12,Scenarios!K28,Scenarios!K38,Scenarios!K48)</f>
        <v>0.14965213697520585</v>
      </c>
      <c r="L18" s="493">
        <f>CHOOSE('Control Panel'!$W$12,Scenarios!L28,Scenarios!L38,Scenarios!L48)</f>
        <v>0.11972170958016468</v>
      </c>
      <c r="M18" s="493">
        <f>CHOOSE('Control Panel'!$W$12,Scenarios!M28,Scenarios!M38,Scenarios!M48)</f>
        <v>9.5777367664131752E-2</v>
      </c>
      <c r="N18" s="493">
        <f>CHOOSE('Control Panel'!$W$12,Scenarios!N28,Scenarios!N38,Scenarios!N48)</f>
        <v>7.6621894131305407E-2</v>
      </c>
      <c r="O18" s="493">
        <f>CHOOSE('Control Panel'!$W$12,Scenarios!O28,Scenarios!O38,Scenarios!O48)</f>
        <v>6.1297515305044334E-2</v>
      </c>
      <c r="P18" s="493">
        <f>CHOOSE('Control Panel'!$W$12,Scenarios!P28,Scenarios!P38,Scenarios!P48)</f>
        <v>4.9038012244035471E-2</v>
      </c>
      <c r="Q18" s="493">
        <f>CHOOSE('Control Panel'!$W$12,Scenarios!Q28,Scenarios!Q38,Scenarios!Q48)</f>
        <v>3.9230409795228377E-2</v>
      </c>
      <c r="R18" s="493">
        <f>CHOOSE('Control Panel'!$W$12,Scenarios!R28,Scenarios!R38,Scenarios!R48)</f>
        <v>3.1384327836182703E-2</v>
      </c>
      <c r="S18" s="88"/>
    </row>
    <row r="19" spans="2:21" outlineLevel="1" x14ac:dyDescent="0.25">
      <c r="B19" t="s">
        <v>108</v>
      </c>
      <c r="D19" s="29"/>
      <c r="E19" s="29"/>
      <c r="F19" s="29"/>
      <c r="G19" s="29"/>
      <c r="H19" s="493">
        <f>CHOOSE('Control Panel'!$W$12,Scenarios!H29,Scenarios!H39,Scenarios!H49)</f>
        <v>0.49991446422941044</v>
      </c>
      <c r="I19" s="493">
        <f>CHOOSE('Control Panel'!$W$12,Scenarios!I29,Scenarios!I39,Scenarios!I49)</f>
        <v>0.39993157138352831</v>
      </c>
      <c r="J19" s="493">
        <f>CHOOSE('Control Panel'!$W$12,Scenarios!J29,Scenarios!J39,Scenarios!J49)</f>
        <v>0.3199452571068227</v>
      </c>
      <c r="K19" s="493">
        <f>CHOOSE('Control Panel'!$W$12,Scenarios!K29,Scenarios!K39,Scenarios!K49)</f>
        <v>0.25595620568545818</v>
      </c>
      <c r="L19" s="493">
        <f>CHOOSE('Control Panel'!$W$12,Scenarios!L29,Scenarios!L39,Scenarios!L49)</f>
        <v>0.20476496454836651</v>
      </c>
      <c r="M19" s="493">
        <f>CHOOSE('Control Panel'!$W$12,Scenarios!M29,Scenarios!M39,Scenarios!M49)</f>
        <v>0.16381197163869324</v>
      </c>
      <c r="N19" s="493">
        <f>CHOOSE('Control Panel'!$W$12,Scenarios!N29,Scenarios!N39,Scenarios!N49)</f>
        <v>0.1310495773109546</v>
      </c>
      <c r="O19" s="493">
        <f>CHOOSE('Control Panel'!$W$12,Scenarios!O29,Scenarios!O39,Scenarios!O49)</f>
        <v>0.10483966184876367</v>
      </c>
      <c r="P19" s="493">
        <f>CHOOSE('Control Panel'!$W$12,Scenarios!P29,Scenarios!P39,Scenarios!P49)</f>
        <v>8.3871729479010948E-2</v>
      </c>
      <c r="Q19" s="493">
        <f>CHOOSE('Control Panel'!$W$12,Scenarios!Q29,Scenarios!Q39,Scenarios!Q49)</f>
        <v>6.7097383583208756E-2</v>
      </c>
      <c r="R19" s="493">
        <f>CHOOSE('Control Panel'!$W$12,Scenarios!R29,Scenarios!R39,Scenarios!R49)</f>
        <v>5.367790686656701E-2</v>
      </c>
      <c r="S19" s="88"/>
    </row>
    <row r="20" spans="2:21" outlineLevel="1" x14ac:dyDescent="0.25">
      <c r="B20" s="11" t="s">
        <v>2</v>
      </c>
      <c r="C20" s="9"/>
      <c r="D20" s="19"/>
      <c r="E20" s="19"/>
      <c r="F20" s="19"/>
      <c r="G20" s="19"/>
      <c r="H20" s="37"/>
      <c r="I20" s="37"/>
      <c r="J20" s="37"/>
      <c r="K20" s="37"/>
      <c r="L20" s="37"/>
      <c r="M20" s="37"/>
      <c r="N20" s="37"/>
      <c r="O20" s="37"/>
      <c r="P20" s="37"/>
      <c r="Q20" s="37"/>
      <c r="R20" s="37"/>
      <c r="S20" s="85"/>
    </row>
    <row r="21" spans="2:21" outlineLevel="1" x14ac:dyDescent="0.25"/>
    <row r="22" spans="2:21" x14ac:dyDescent="0.25">
      <c r="B22" s="218" t="s">
        <v>373</v>
      </c>
      <c r="C22" s="218"/>
      <c r="D22" s="218"/>
      <c r="E22" s="218"/>
      <c r="F22" s="218"/>
      <c r="G22" s="218"/>
      <c r="H22" s="218"/>
      <c r="I22" s="218"/>
      <c r="J22" s="218"/>
      <c r="K22" s="218"/>
      <c r="L22" s="218"/>
      <c r="M22" s="218"/>
      <c r="N22" s="218"/>
      <c r="O22" s="218"/>
      <c r="P22" s="218"/>
      <c r="Q22" s="218"/>
      <c r="R22" s="218"/>
      <c r="S22" s="243"/>
    </row>
    <row r="23" spans="2:21" outlineLevel="1" x14ac:dyDescent="0.25">
      <c r="B23" s="1" t="s">
        <v>109</v>
      </c>
    </row>
    <row r="24" spans="2:21" outlineLevel="1" x14ac:dyDescent="0.25">
      <c r="B24" t="s">
        <v>103</v>
      </c>
      <c r="D24" s="29"/>
      <c r="E24" s="29"/>
      <c r="F24" s="29"/>
      <c r="G24" s="29"/>
      <c r="H24" s="433">
        <f>'Raw Data'!O8</f>
        <v>0.21644473829595079</v>
      </c>
      <c r="I24" s="234">
        <f>H24*(1-'Control Panel'!$O$9)</f>
        <v>0.17315579063676065</v>
      </c>
      <c r="J24" s="234">
        <f>I24*(1-'Control Panel'!$O$9)</f>
        <v>0.13852463250940852</v>
      </c>
      <c r="K24" s="234">
        <f>J24*(1-'Control Panel'!$O$9)</f>
        <v>0.11081970600752683</v>
      </c>
      <c r="L24" s="234">
        <f>K24*(1-'Control Panel'!$O$9)</f>
        <v>8.865576480602147E-2</v>
      </c>
      <c r="M24" s="234">
        <f>L24*(1-'Control Panel'!$O$9)</f>
        <v>7.0924611844817173E-2</v>
      </c>
      <c r="N24" s="234">
        <f>M24*(1-'Control Panel'!$O$9)</f>
        <v>5.6739689475853741E-2</v>
      </c>
      <c r="O24" s="234">
        <f>N24*(1-'Control Panel'!$O$9)</f>
        <v>4.5391751580682996E-2</v>
      </c>
      <c r="P24" s="234">
        <f>O24*(1-'Control Panel'!$O$9)</f>
        <v>3.6313401264546401E-2</v>
      </c>
      <c r="Q24" s="234">
        <f>P24*(1-'Control Panel'!$O$9)</f>
        <v>2.9050721011637123E-2</v>
      </c>
      <c r="R24" s="234">
        <f>Q24*(1-'Control Panel'!$O$9)</f>
        <v>2.3240576809309701E-2</v>
      </c>
      <c r="S24" s="95"/>
    </row>
    <row r="25" spans="2:21" outlineLevel="1" x14ac:dyDescent="0.25">
      <c r="B25" t="s">
        <v>104</v>
      </c>
      <c r="D25" s="29"/>
      <c r="E25" s="29"/>
      <c r="F25" s="29"/>
      <c r="G25" s="29"/>
      <c r="H25" s="36">
        <v>0.05</v>
      </c>
      <c r="I25" s="234">
        <f>H25*(1-'Control Panel'!$O$9)</f>
        <v>4.0000000000000008E-2</v>
      </c>
      <c r="J25" s="234">
        <f>I25*(1-'Control Panel'!$O$9)</f>
        <v>3.2000000000000008E-2</v>
      </c>
      <c r="K25" s="234">
        <f>J25*(1-'Control Panel'!$O$9)</f>
        <v>2.5600000000000008E-2</v>
      </c>
      <c r="L25" s="234">
        <f>K25*(1-'Control Panel'!$O$9)</f>
        <v>2.0480000000000009E-2</v>
      </c>
      <c r="M25" s="234">
        <f>L25*(1-'Control Panel'!$O$9)</f>
        <v>1.6384000000000006E-2</v>
      </c>
      <c r="N25" s="234">
        <f>M25*(1-'Control Panel'!$O$9)</f>
        <v>1.3107200000000006E-2</v>
      </c>
      <c r="O25" s="234">
        <f>N25*(1-'Control Panel'!$O$9)</f>
        <v>1.0485760000000005E-2</v>
      </c>
      <c r="P25" s="234">
        <f>O25*(1-'Control Panel'!$O$9)</f>
        <v>8.388608000000004E-3</v>
      </c>
      <c r="Q25" s="234">
        <f>P25*(1-'Control Panel'!$O$9)</f>
        <v>6.7108864000000037E-3</v>
      </c>
      <c r="R25" s="234">
        <f>Q25*(1-'Control Panel'!$O$9)</f>
        <v>5.3687091200000031E-3</v>
      </c>
      <c r="S25" s="95"/>
    </row>
    <row r="26" spans="2:21" outlineLevel="1" x14ac:dyDescent="0.25">
      <c r="B26" t="s">
        <v>105</v>
      </c>
      <c r="D26" s="29"/>
      <c r="E26" s="29"/>
      <c r="F26" s="29"/>
      <c r="G26" s="29"/>
      <c r="H26" s="433">
        <f>'Raw Data'!O10</f>
        <v>0.37041802837721766</v>
      </c>
      <c r="I26" s="234">
        <f>H26*(1-'Control Panel'!$O$9)</f>
        <v>0.29633442270177413</v>
      </c>
      <c r="J26" s="234">
        <f>I26*(1-'Control Panel'!$O$9)</f>
        <v>0.23706753816141932</v>
      </c>
      <c r="K26" s="234">
        <f>J26*(1-'Control Panel'!$O$9)</f>
        <v>0.18965403052913546</v>
      </c>
      <c r="L26" s="234">
        <f>K26*(1-'Control Panel'!$O$9)</f>
        <v>0.15172322442330838</v>
      </c>
      <c r="M26" s="234">
        <f>L26*(1-'Control Panel'!$O$9)</f>
        <v>0.12137857953864671</v>
      </c>
      <c r="N26" s="234">
        <f>M26*(1-'Control Panel'!$O$9)</f>
        <v>9.7102863630917371E-2</v>
      </c>
      <c r="O26" s="234">
        <f>N26*(1-'Control Panel'!$O$9)</f>
        <v>7.76822909047339E-2</v>
      </c>
      <c r="P26" s="234">
        <f>O26*(1-'Control Panel'!$O$9)</f>
        <v>6.2145832723787126E-2</v>
      </c>
      <c r="Q26" s="234">
        <f>P26*(1-'Control Panel'!$O$9)</f>
        <v>4.97166661790297E-2</v>
      </c>
      <c r="R26" s="234">
        <f>Q26*(1-'Control Panel'!$O$9)</f>
        <v>3.9773332943223765E-2</v>
      </c>
      <c r="S26" s="95"/>
    </row>
    <row r="27" spans="2:21" outlineLevel="1" x14ac:dyDescent="0.25">
      <c r="B27" t="s">
        <v>106</v>
      </c>
      <c r="D27" s="29"/>
      <c r="E27" s="29"/>
      <c r="F27" s="29"/>
      <c r="G27" s="29"/>
      <c r="H27" s="433">
        <f>'Raw Data'!O11</f>
        <v>0.4114620822289059</v>
      </c>
      <c r="I27" s="234">
        <f>H27*(1-'Control Panel'!$O$9)</f>
        <v>0.32916966578312473</v>
      </c>
      <c r="J27" s="234">
        <f>I27*(1-'Control Panel'!$O$9)</f>
        <v>0.26333573262649979</v>
      </c>
      <c r="K27" s="234">
        <f>J27*(1-'Control Panel'!$O$9)</f>
        <v>0.21066858610119985</v>
      </c>
      <c r="L27" s="234">
        <f>K27*(1-'Control Panel'!$O$9)</f>
        <v>0.16853486888095989</v>
      </c>
      <c r="M27" s="234">
        <f>L27*(1-'Control Panel'!$O$9)</f>
        <v>0.13482789510476792</v>
      </c>
      <c r="N27" s="234">
        <f>M27*(1-'Control Panel'!$O$9)</f>
        <v>0.10786231608381434</v>
      </c>
      <c r="O27" s="234">
        <f>N27*(1-'Control Panel'!$O$9)</f>
        <v>8.6289852867051486E-2</v>
      </c>
      <c r="P27" s="234">
        <f>O27*(1-'Control Panel'!$O$9)</f>
        <v>6.9031882293641197E-2</v>
      </c>
      <c r="Q27" s="234">
        <f>P27*(1-'Control Panel'!$O$9)</f>
        <v>5.5225505834912959E-2</v>
      </c>
      <c r="R27" s="234">
        <f>Q27*(1-'Control Panel'!$O$9)</f>
        <v>4.418040466793037E-2</v>
      </c>
      <c r="S27" s="95"/>
    </row>
    <row r="28" spans="2:21" outlineLevel="1" x14ac:dyDescent="0.25">
      <c r="B28" t="s">
        <v>107</v>
      </c>
      <c r="D28" s="29"/>
      <c r="E28" s="29"/>
      <c r="F28" s="29"/>
      <c r="G28" s="29"/>
      <c r="H28" s="433">
        <f>'Raw Data'!O12</f>
        <v>0.38971910670626514</v>
      </c>
      <c r="I28" s="234">
        <f>H28*(1-'Control Panel'!$O$9)</f>
        <v>0.31177528536501214</v>
      </c>
      <c r="J28" s="234">
        <f>I28*(1-'Control Panel'!$O$9)</f>
        <v>0.24942022829200972</v>
      </c>
      <c r="K28" s="234">
        <f>J28*(1-'Control Panel'!$O$9)</f>
        <v>0.19953618263360778</v>
      </c>
      <c r="L28" s="234">
        <f>K28*(1-'Control Panel'!$O$9)</f>
        <v>0.15962894610688624</v>
      </c>
      <c r="M28" s="234">
        <f>L28*(1-'Control Panel'!$O$9)</f>
        <v>0.12770315688550901</v>
      </c>
      <c r="N28" s="234">
        <f>M28*(1-'Control Panel'!$O$9)</f>
        <v>0.10216252550840721</v>
      </c>
      <c r="O28" s="234">
        <f>N28*(1-'Control Panel'!$O$9)</f>
        <v>8.1730020406725779E-2</v>
      </c>
      <c r="P28" s="234">
        <f>O28*(1-'Control Panel'!$O$9)</f>
        <v>6.5384016325380628E-2</v>
      </c>
      <c r="Q28" s="234">
        <f>P28*(1-'Control Panel'!$O$9)</f>
        <v>5.2307213060304503E-2</v>
      </c>
      <c r="R28" s="234">
        <f>Q28*(1-'Control Panel'!$O$9)</f>
        <v>4.1845770448243606E-2</v>
      </c>
      <c r="S28" s="95"/>
    </row>
    <row r="29" spans="2:21" outlineLevel="1" x14ac:dyDescent="0.25">
      <c r="B29" t="s">
        <v>108</v>
      </c>
      <c r="D29" s="29"/>
      <c r="E29" s="29"/>
      <c r="F29" s="29"/>
      <c r="G29" s="29"/>
      <c r="H29" s="433">
        <f>'Raw Data'!O13</f>
        <v>0.66655261897254725</v>
      </c>
      <c r="I29" s="234">
        <f>H29*(1-'Control Panel'!$O$9)</f>
        <v>0.53324209517803778</v>
      </c>
      <c r="J29" s="234">
        <f>I29*(1-'Control Panel'!$O$9)</f>
        <v>0.42659367614243027</v>
      </c>
      <c r="K29" s="234">
        <f>J29*(1-'Control Panel'!$O$9)</f>
        <v>0.34127494091394422</v>
      </c>
      <c r="L29" s="234">
        <f>K29*(1-'Control Panel'!$O$9)</f>
        <v>0.27301995273115537</v>
      </c>
      <c r="M29" s="234">
        <f>L29*(1-'Control Panel'!$O$9)</f>
        <v>0.21841596218492432</v>
      </c>
      <c r="N29" s="234">
        <f>M29*(1-'Control Panel'!$O$9)</f>
        <v>0.17473276974793947</v>
      </c>
      <c r="O29" s="234">
        <f>N29*(1-'Control Panel'!$O$9)</f>
        <v>0.13978621579835157</v>
      </c>
      <c r="P29" s="234">
        <f>O29*(1-'Control Panel'!$O$9)</f>
        <v>0.11182897263868126</v>
      </c>
      <c r="Q29" s="234">
        <f>P29*(1-'Control Panel'!$O$9)</f>
        <v>8.9463178110945007E-2</v>
      </c>
      <c r="R29" s="234">
        <f>Q29*(1-'Control Panel'!$O$9)</f>
        <v>7.1570542488756009E-2</v>
      </c>
      <c r="S29" s="95"/>
    </row>
    <row r="30" spans="2:21" outlineLevel="1" x14ac:dyDescent="0.25">
      <c r="B30" s="11" t="s">
        <v>2</v>
      </c>
      <c r="C30" s="9"/>
      <c r="D30" s="19"/>
      <c r="E30" s="19"/>
      <c r="F30" s="19"/>
      <c r="G30" s="19"/>
      <c r="H30" s="13"/>
      <c r="I30" s="13"/>
      <c r="J30" s="13"/>
      <c r="K30" s="13"/>
      <c r="L30" s="13"/>
      <c r="M30" s="13"/>
      <c r="N30" s="13"/>
      <c r="O30" s="13"/>
      <c r="P30" s="13"/>
      <c r="Q30" s="13"/>
      <c r="R30" s="13"/>
      <c r="S30" s="85"/>
    </row>
    <row r="31" spans="2:21" outlineLevel="1" x14ac:dyDescent="0.25">
      <c r="B31" s="8" t="s">
        <v>279</v>
      </c>
      <c r="H31" s="7"/>
      <c r="I31" s="7"/>
      <c r="J31" s="7"/>
      <c r="K31" s="7"/>
      <c r="L31" s="7"/>
      <c r="M31" s="7"/>
      <c r="N31" s="7"/>
      <c r="O31" s="7"/>
      <c r="P31" s="7"/>
      <c r="Q31" s="7"/>
      <c r="R31" s="7"/>
      <c r="S31" s="91"/>
      <c r="T31" s="7"/>
      <c r="U31" s="7"/>
    </row>
    <row r="32" spans="2:21" x14ac:dyDescent="0.25">
      <c r="B32" s="218" t="s">
        <v>140</v>
      </c>
      <c r="C32" s="218"/>
      <c r="D32" s="218"/>
      <c r="E32" s="218"/>
      <c r="F32" s="218"/>
      <c r="G32" s="218"/>
      <c r="H32" s="218"/>
      <c r="I32" s="218"/>
      <c r="J32" s="218"/>
      <c r="K32" s="218"/>
      <c r="L32" s="218"/>
      <c r="M32" s="218"/>
      <c r="N32" s="218"/>
      <c r="O32" s="218"/>
      <c r="P32" s="218"/>
      <c r="Q32" s="218"/>
      <c r="R32" s="218"/>
      <c r="S32" s="93"/>
    </row>
    <row r="33" spans="1:21" outlineLevel="1" x14ac:dyDescent="0.25">
      <c r="A33" s="383"/>
      <c r="B33" t="s">
        <v>109</v>
      </c>
      <c r="C33" s="383"/>
      <c r="D33" s="383"/>
      <c r="E33" s="383"/>
      <c r="F33" s="383"/>
    </row>
    <row r="34" spans="1:21" outlineLevel="1" x14ac:dyDescent="0.25">
      <c r="B34" t="s">
        <v>103</v>
      </c>
      <c r="D34" s="29"/>
      <c r="E34" s="29"/>
      <c r="F34" s="29"/>
      <c r="G34" s="29"/>
      <c r="H34" s="36">
        <f>H24*(1+$T$34)</f>
        <v>0.27055592286993846</v>
      </c>
      <c r="I34" s="36">
        <f t="shared" ref="I34:R34" si="0">I24*(1+$T$34)</f>
        <v>0.21644473829595082</v>
      </c>
      <c r="J34" s="36">
        <f t="shared" si="0"/>
        <v>0.17315579063676065</v>
      </c>
      <c r="K34" s="36">
        <f t="shared" si="0"/>
        <v>0.13852463250940855</v>
      </c>
      <c r="L34" s="36">
        <f t="shared" si="0"/>
        <v>0.11081970600752683</v>
      </c>
      <c r="M34" s="36">
        <f t="shared" si="0"/>
        <v>8.865576480602147E-2</v>
      </c>
      <c r="N34" s="36">
        <f t="shared" si="0"/>
        <v>7.0924611844817173E-2</v>
      </c>
      <c r="O34" s="36">
        <f t="shared" si="0"/>
        <v>5.6739689475853741E-2</v>
      </c>
      <c r="P34" s="36">
        <f t="shared" si="0"/>
        <v>4.5391751580683003E-2</v>
      </c>
      <c r="Q34" s="36">
        <f t="shared" si="0"/>
        <v>3.6313401264546408E-2</v>
      </c>
      <c r="R34" s="36">
        <f t="shared" si="0"/>
        <v>2.9050721011637127E-2</v>
      </c>
      <c r="S34" s="88"/>
      <c r="T34" s="432">
        <f>'Control Panel'!O10</f>
        <v>0.25</v>
      </c>
      <c r="U34" s="96" t="s">
        <v>284</v>
      </c>
    </row>
    <row r="35" spans="1:21" outlineLevel="1" x14ac:dyDescent="0.25">
      <c r="B35" t="s">
        <v>104</v>
      </c>
      <c r="D35" s="29"/>
      <c r="E35" s="29"/>
      <c r="F35" s="29"/>
      <c r="G35" s="29"/>
      <c r="H35" s="36">
        <f t="shared" ref="H35:R35" si="1">H25*(1+$T$34)</f>
        <v>6.25E-2</v>
      </c>
      <c r="I35" s="36">
        <f t="shared" si="1"/>
        <v>5.000000000000001E-2</v>
      </c>
      <c r="J35" s="36">
        <f t="shared" si="1"/>
        <v>4.0000000000000008E-2</v>
      </c>
      <c r="K35" s="36">
        <f t="shared" si="1"/>
        <v>3.2000000000000008E-2</v>
      </c>
      <c r="L35" s="36">
        <f t="shared" si="1"/>
        <v>2.5600000000000012E-2</v>
      </c>
      <c r="M35" s="36">
        <f t="shared" si="1"/>
        <v>2.0480000000000009E-2</v>
      </c>
      <c r="N35" s="36">
        <f t="shared" si="1"/>
        <v>1.638400000000001E-2</v>
      </c>
      <c r="O35" s="36">
        <f t="shared" si="1"/>
        <v>1.3107200000000006E-2</v>
      </c>
      <c r="P35" s="36">
        <f t="shared" si="1"/>
        <v>1.0485760000000005E-2</v>
      </c>
      <c r="Q35" s="36">
        <f t="shared" si="1"/>
        <v>8.388608000000004E-3</v>
      </c>
      <c r="R35" s="36">
        <f t="shared" si="1"/>
        <v>6.7108864000000037E-3</v>
      </c>
      <c r="S35" s="88"/>
    </row>
    <row r="36" spans="1:21" outlineLevel="1" x14ac:dyDescent="0.25">
      <c r="B36" t="s">
        <v>105</v>
      </c>
      <c r="D36" s="29"/>
      <c r="E36" s="29"/>
      <c r="F36" s="29"/>
      <c r="G36" s="29"/>
      <c r="H36" s="36">
        <f t="shared" ref="H36:R36" si="2">H26*(1+$T$34)</f>
        <v>0.46302253547152206</v>
      </c>
      <c r="I36" s="36">
        <f t="shared" si="2"/>
        <v>0.37041802837721766</v>
      </c>
      <c r="J36" s="36">
        <f t="shared" si="2"/>
        <v>0.29633442270177413</v>
      </c>
      <c r="K36" s="36">
        <f t="shared" si="2"/>
        <v>0.23706753816141932</v>
      </c>
      <c r="L36" s="36">
        <f t="shared" si="2"/>
        <v>0.18965403052913549</v>
      </c>
      <c r="M36" s="36">
        <f t="shared" si="2"/>
        <v>0.15172322442330838</v>
      </c>
      <c r="N36" s="36">
        <f t="shared" si="2"/>
        <v>0.12137857953864671</v>
      </c>
      <c r="O36" s="36">
        <f t="shared" si="2"/>
        <v>9.7102863630917371E-2</v>
      </c>
      <c r="P36" s="36">
        <f t="shared" si="2"/>
        <v>7.7682290904733914E-2</v>
      </c>
      <c r="Q36" s="36">
        <f t="shared" si="2"/>
        <v>6.2145832723787126E-2</v>
      </c>
      <c r="R36" s="36">
        <f t="shared" si="2"/>
        <v>4.9716666179029707E-2</v>
      </c>
      <c r="S36" s="88"/>
    </row>
    <row r="37" spans="1:21" outlineLevel="1" x14ac:dyDescent="0.25">
      <c r="B37" t="s">
        <v>106</v>
      </c>
      <c r="D37" s="29"/>
      <c r="E37" s="29"/>
      <c r="F37" s="29"/>
      <c r="G37" s="29"/>
      <c r="H37" s="36">
        <f t="shared" ref="H37:R37" si="3">H27*(1+$T$34)</f>
        <v>0.51432760278613232</v>
      </c>
      <c r="I37" s="36">
        <f t="shared" si="3"/>
        <v>0.4114620822289059</v>
      </c>
      <c r="J37" s="36">
        <f t="shared" si="3"/>
        <v>0.32916966578312473</v>
      </c>
      <c r="K37" s="36">
        <f t="shared" si="3"/>
        <v>0.26333573262649979</v>
      </c>
      <c r="L37" s="36">
        <f t="shared" si="3"/>
        <v>0.21066858610119987</v>
      </c>
      <c r="M37" s="36">
        <f t="shared" si="3"/>
        <v>0.16853486888095989</v>
      </c>
      <c r="N37" s="36">
        <f t="shared" si="3"/>
        <v>0.13482789510476792</v>
      </c>
      <c r="O37" s="36">
        <f t="shared" si="3"/>
        <v>0.10786231608381436</v>
      </c>
      <c r="P37" s="36">
        <f t="shared" si="3"/>
        <v>8.62898528670515E-2</v>
      </c>
      <c r="Q37" s="36">
        <f t="shared" si="3"/>
        <v>6.9031882293641197E-2</v>
      </c>
      <c r="R37" s="36">
        <f t="shared" si="3"/>
        <v>5.5225505834912966E-2</v>
      </c>
      <c r="S37" s="88"/>
    </row>
    <row r="38" spans="1:21" outlineLevel="1" x14ac:dyDescent="0.25">
      <c r="B38" t="s">
        <v>107</v>
      </c>
      <c r="D38" s="29"/>
      <c r="E38" s="29"/>
      <c r="F38" s="29"/>
      <c r="G38" s="29"/>
      <c r="H38" s="36">
        <f t="shared" ref="H38:R38" si="4">H28*(1+$T$34)</f>
        <v>0.48714888338283141</v>
      </c>
      <c r="I38" s="36">
        <f t="shared" si="4"/>
        <v>0.38971910670626519</v>
      </c>
      <c r="J38" s="36">
        <f t="shared" si="4"/>
        <v>0.31177528536501214</v>
      </c>
      <c r="K38" s="36">
        <f t="shared" si="4"/>
        <v>0.24942022829200972</v>
      </c>
      <c r="L38" s="36">
        <f t="shared" si="4"/>
        <v>0.19953618263360781</v>
      </c>
      <c r="M38" s="36">
        <f t="shared" si="4"/>
        <v>0.15962894610688627</v>
      </c>
      <c r="N38" s="36">
        <f t="shared" si="4"/>
        <v>0.12770315688550901</v>
      </c>
      <c r="O38" s="36">
        <f t="shared" si="4"/>
        <v>0.10216252550840722</v>
      </c>
      <c r="P38" s="36">
        <f t="shared" si="4"/>
        <v>8.1730020406725779E-2</v>
      </c>
      <c r="Q38" s="36">
        <f t="shared" si="4"/>
        <v>6.5384016325380628E-2</v>
      </c>
      <c r="R38" s="36">
        <f t="shared" si="4"/>
        <v>5.230721306030451E-2</v>
      </c>
      <c r="S38" s="88"/>
    </row>
    <row r="39" spans="1:21" outlineLevel="1" x14ac:dyDescent="0.25">
      <c r="B39" t="s">
        <v>108</v>
      </c>
      <c r="D39" s="29"/>
      <c r="E39" s="29"/>
      <c r="F39" s="29"/>
      <c r="G39" s="29"/>
      <c r="H39" s="36">
        <f t="shared" ref="H39:R39" si="5">H29*(1+$T$34)</f>
        <v>0.83319077371568406</v>
      </c>
      <c r="I39" s="36">
        <f t="shared" si="5"/>
        <v>0.66655261897254725</v>
      </c>
      <c r="J39" s="36">
        <f t="shared" si="5"/>
        <v>0.53324209517803789</v>
      </c>
      <c r="K39" s="36">
        <f t="shared" si="5"/>
        <v>0.42659367614243027</v>
      </c>
      <c r="L39" s="36">
        <f t="shared" si="5"/>
        <v>0.34127494091394422</v>
      </c>
      <c r="M39" s="36">
        <f t="shared" si="5"/>
        <v>0.27301995273115542</v>
      </c>
      <c r="N39" s="36">
        <f t="shared" si="5"/>
        <v>0.21841596218492434</v>
      </c>
      <c r="O39" s="36">
        <f t="shared" si="5"/>
        <v>0.17473276974793947</v>
      </c>
      <c r="P39" s="36">
        <f t="shared" si="5"/>
        <v>0.13978621579835157</v>
      </c>
      <c r="Q39" s="36">
        <f t="shared" si="5"/>
        <v>0.11182897263868126</v>
      </c>
      <c r="R39" s="36">
        <f t="shared" si="5"/>
        <v>8.9463178110945007E-2</v>
      </c>
      <c r="S39" s="88"/>
    </row>
    <row r="40" spans="1:21" outlineLevel="1" x14ac:dyDescent="0.25">
      <c r="B40" s="11" t="s">
        <v>2</v>
      </c>
      <c r="C40" s="9"/>
      <c r="D40" s="19"/>
      <c r="E40" s="19"/>
      <c r="F40" s="19"/>
      <c r="G40" s="19"/>
      <c r="H40" s="19"/>
      <c r="I40" s="19"/>
      <c r="J40" s="19"/>
      <c r="K40" s="19"/>
      <c r="L40" s="19"/>
      <c r="M40" s="19"/>
      <c r="N40" s="19"/>
      <c r="O40" s="19"/>
      <c r="P40" s="19"/>
      <c r="Q40" s="19"/>
      <c r="R40" s="19"/>
      <c r="S40" s="86"/>
    </row>
    <row r="41" spans="1:21" outlineLevel="1" x14ac:dyDescent="0.25">
      <c r="B41" s="1"/>
      <c r="C41" s="28"/>
      <c r="D41" s="28"/>
      <c r="E41" s="27"/>
      <c r="F41" s="27"/>
      <c r="G41" s="27"/>
      <c r="H41" s="20"/>
      <c r="I41" s="20"/>
      <c r="J41" s="20"/>
      <c r="K41" s="20"/>
      <c r="L41" s="20"/>
      <c r="M41" s="20"/>
      <c r="N41" s="20"/>
      <c r="O41" s="20"/>
      <c r="P41" s="20"/>
      <c r="Q41" s="20"/>
      <c r="R41" s="20"/>
      <c r="S41" s="90"/>
    </row>
    <row r="42" spans="1:21" x14ac:dyDescent="0.25">
      <c r="B42" s="218" t="s">
        <v>141</v>
      </c>
      <c r="C42" s="218"/>
      <c r="D42" s="218"/>
      <c r="E42" s="218"/>
      <c r="F42" s="218"/>
      <c r="G42" s="218"/>
      <c r="H42" s="218"/>
      <c r="I42" s="218"/>
      <c r="J42" s="218"/>
      <c r="K42" s="218"/>
      <c r="L42" s="218"/>
      <c r="M42" s="218"/>
      <c r="N42" s="218"/>
      <c r="O42" s="218"/>
      <c r="P42" s="218"/>
      <c r="Q42" s="218"/>
      <c r="R42" s="218"/>
      <c r="S42" s="93"/>
    </row>
    <row r="43" spans="1:21" outlineLevel="1" x14ac:dyDescent="0.25">
      <c r="B43" s="1" t="s">
        <v>109</v>
      </c>
    </row>
    <row r="44" spans="1:21" outlineLevel="1" x14ac:dyDescent="0.25">
      <c r="B44" t="s">
        <v>103</v>
      </c>
      <c r="D44" s="29"/>
      <c r="E44" s="29"/>
      <c r="F44" s="29"/>
      <c r="G44" s="29"/>
      <c r="H44" s="36">
        <f>H24*(1-$T$44)</f>
        <v>0.16233355372196309</v>
      </c>
      <c r="I44" s="36">
        <f t="shared" ref="I44:R44" si="6">I24*(1-$T$44)</f>
        <v>0.12986684297757048</v>
      </c>
      <c r="J44" s="36">
        <f t="shared" si="6"/>
        <v>0.1038934743820564</v>
      </c>
      <c r="K44" s="36">
        <f t="shared" si="6"/>
        <v>8.3114779505645123E-2</v>
      </c>
      <c r="L44" s="36">
        <f t="shared" si="6"/>
        <v>6.6491823604516109E-2</v>
      </c>
      <c r="M44" s="36">
        <f t="shared" si="6"/>
        <v>5.3193458883612876E-2</v>
      </c>
      <c r="N44" s="36">
        <f t="shared" si="6"/>
        <v>4.2554767106890309E-2</v>
      </c>
      <c r="O44" s="36">
        <f t="shared" si="6"/>
        <v>3.404381368551225E-2</v>
      </c>
      <c r="P44" s="36">
        <f t="shared" si="6"/>
        <v>2.7235050948409799E-2</v>
      </c>
      <c r="Q44" s="36">
        <f t="shared" si="6"/>
        <v>2.1788040758727843E-2</v>
      </c>
      <c r="R44" s="36">
        <f t="shared" si="6"/>
        <v>1.7430432606982276E-2</v>
      </c>
      <c r="S44" s="88"/>
      <c r="T44" s="432">
        <f>'Control Panel'!O11</f>
        <v>0.25</v>
      </c>
      <c r="U44" s="96" t="s">
        <v>287</v>
      </c>
    </row>
    <row r="45" spans="1:21" outlineLevel="1" x14ac:dyDescent="0.25">
      <c r="B45" t="s">
        <v>104</v>
      </c>
      <c r="D45" s="29"/>
      <c r="E45" s="29"/>
      <c r="F45" s="29"/>
      <c r="G45" s="29"/>
      <c r="H45" s="36">
        <f t="shared" ref="H45:R45" si="7">H25*(1-$T$44)</f>
        <v>3.7500000000000006E-2</v>
      </c>
      <c r="I45" s="36">
        <f t="shared" si="7"/>
        <v>3.0000000000000006E-2</v>
      </c>
      <c r="J45" s="36">
        <f t="shared" si="7"/>
        <v>2.4000000000000007E-2</v>
      </c>
      <c r="K45" s="36">
        <f t="shared" si="7"/>
        <v>1.9200000000000005E-2</v>
      </c>
      <c r="L45" s="36">
        <f t="shared" si="7"/>
        <v>1.5360000000000006E-2</v>
      </c>
      <c r="M45" s="36">
        <f t="shared" si="7"/>
        <v>1.2288000000000004E-2</v>
      </c>
      <c r="N45" s="36">
        <f t="shared" si="7"/>
        <v>9.8304000000000048E-3</v>
      </c>
      <c r="O45" s="36">
        <f t="shared" si="7"/>
        <v>7.8643200000000045E-3</v>
      </c>
      <c r="P45" s="36">
        <f t="shared" si="7"/>
        <v>6.2914560000000026E-3</v>
      </c>
      <c r="Q45" s="36">
        <f t="shared" si="7"/>
        <v>5.0331648000000026E-3</v>
      </c>
      <c r="R45" s="36">
        <f t="shared" si="7"/>
        <v>4.0265318400000026E-3</v>
      </c>
      <c r="S45" s="88"/>
    </row>
    <row r="46" spans="1:21" outlineLevel="1" x14ac:dyDescent="0.25">
      <c r="B46" t="s">
        <v>105</v>
      </c>
      <c r="D46" s="29"/>
      <c r="E46" s="29"/>
      <c r="F46" s="29"/>
      <c r="G46" s="29"/>
      <c r="H46" s="36">
        <f t="shared" ref="H46:R46" si="8">H26*(1-$T$44)</f>
        <v>0.27781352128291326</v>
      </c>
      <c r="I46" s="36">
        <f t="shared" si="8"/>
        <v>0.22225081702633059</v>
      </c>
      <c r="J46" s="36">
        <f t="shared" si="8"/>
        <v>0.17780065362106448</v>
      </c>
      <c r="K46" s="36">
        <f t="shared" si="8"/>
        <v>0.1422405228968516</v>
      </c>
      <c r="L46" s="36">
        <f t="shared" si="8"/>
        <v>0.11379241831748128</v>
      </c>
      <c r="M46" s="36">
        <f t="shared" si="8"/>
        <v>9.103393465398503E-2</v>
      </c>
      <c r="N46" s="36">
        <f t="shared" si="8"/>
        <v>7.2827147723188032E-2</v>
      </c>
      <c r="O46" s="36">
        <f t="shared" si="8"/>
        <v>5.8261718178550428E-2</v>
      </c>
      <c r="P46" s="36">
        <f t="shared" si="8"/>
        <v>4.6609374542840344E-2</v>
      </c>
      <c r="Q46" s="36">
        <f t="shared" si="8"/>
        <v>3.7287499634272275E-2</v>
      </c>
      <c r="R46" s="36">
        <f t="shared" si="8"/>
        <v>2.9829999707417822E-2</v>
      </c>
      <c r="S46" s="88"/>
    </row>
    <row r="47" spans="1:21" outlineLevel="1" x14ac:dyDescent="0.25">
      <c r="B47" t="s">
        <v>106</v>
      </c>
      <c r="D47" s="29"/>
      <c r="E47" s="29"/>
      <c r="F47" s="29"/>
      <c r="G47" s="29"/>
      <c r="H47" s="36">
        <f t="shared" ref="H47:R47" si="9">H27*(1-$T$44)</f>
        <v>0.30859656167167943</v>
      </c>
      <c r="I47" s="36">
        <f t="shared" si="9"/>
        <v>0.24687724933734356</v>
      </c>
      <c r="J47" s="36">
        <f t="shared" si="9"/>
        <v>0.19750179946987484</v>
      </c>
      <c r="K47" s="36">
        <f t="shared" si="9"/>
        <v>0.15800143957589988</v>
      </c>
      <c r="L47" s="36">
        <f t="shared" si="9"/>
        <v>0.12640115166071991</v>
      </c>
      <c r="M47" s="36">
        <f t="shared" si="9"/>
        <v>0.10112092132857595</v>
      </c>
      <c r="N47" s="36">
        <f t="shared" si="9"/>
        <v>8.0896737062860755E-2</v>
      </c>
      <c r="O47" s="36">
        <f t="shared" si="9"/>
        <v>6.4717389650288615E-2</v>
      </c>
      <c r="P47" s="36">
        <f t="shared" si="9"/>
        <v>5.1773911720230895E-2</v>
      </c>
      <c r="Q47" s="36">
        <f t="shared" si="9"/>
        <v>4.1419129376184721E-2</v>
      </c>
      <c r="R47" s="36">
        <f t="shared" si="9"/>
        <v>3.3135303500947774E-2</v>
      </c>
      <c r="S47" s="88"/>
    </row>
    <row r="48" spans="1:21" outlineLevel="1" x14ac:dyDescent="0.25">
      <c r="B48" t="s">
        <v>107</v>
      </c>
      <c r="D48" s="29"/>
      <c r="E48" s="29"/>
      <c r="F48" s="29"/>
      <c r="G48" s="29"/>
      <c r="H48" s="36">
        <f t="shared" ref="H48:R48" si="10">H28*(1-$T$44)</f>
        <v>0.29228933002969887</v>
      </c>
      <c r="I48" s="36">
        <f t="shared" si="10"/>
        <v>0.23383146402375909</v>
      </c>
      <c r="J48" s="36">
        <f t="shared" si="10"/>
        <v>0.18706517121900729</v>
      </c>
      <c r="K48" s="36">
        <f t="shared" si="10"/>
        <v>0.14965213697520585</v>
      </c>
      <c r="L48" s="36">
        <f t="shared" si="10"/>
        <v>0.11972170958016468</v>
      </c>
      <c r="M48" s="36">
        <f t="shared" si="10"/>
        <v>9.5777367664131752E-2</v>
      </c>
      <c r="N48" s="36">
        <f t="shared" si="10"/>
        <v>7.6621894131305407E-2</v>
      </c>
      <c r="O48" s="36">
        <f t="shared" si="10"/>
        <v>6.1297515305044334E-2</v>
      </c>
      <c r="P48" s="36">
        <f t="shared" si="10"/>
        <v>4.9038012244035471E-2</v>
      </c>
      <c r="Q48" s="36">
        <f t="shared" si="10"/>
        <v>3.9230409795228377E-2</v>
      </c>
      <c r="R48" s="36">
        <f t="shared" si="10"/>
        <v>3.1384327836182703E-2</v>
      </c>
      <c r="S48" s="88"/>
    </row>
    <row r="49" spans="2:19" outlineLevel="1" x14ac:dyDescent="0.25">
      <c r="B49" t="s">
        <v>108</v>
      </c>
      <c r="D49" s="29"/>
      <c r="E49" s="29"/>
      <c r="F49" s="29"/>
      <c r="G49" s="29"/>
      <c r="H49" s="36">
        <f t="shared" ref="H49:R49" si="11">H29*(1-$T$44)</f>
        <v>0.49991446422941044</v>
      </c>
      <c r="I49" s="36">
        <f t="shared" si="11"/>
        <v>0.39993157138352831</v>
      </c>
      <c r="J49" s="36">
        <f t="shared" si="11"/>
        <v>0.3199452571068227</v>
      </c>
      <c r="K49" s="36">
        <f t="shared" si="11"/>
        <v>0.25595620568545818</v>
      </c>
      <c r="L49" s="36">
        <f t="shared" si="11"/>
        <v>0.20476496454836651</v>
      </c>
      <c r="M49" s="36">
        <f t="shared" si="11"/>
        <v>0.16381197163869324</v>
      </c>
      <c r="N49" s="36">
        <f t="shared" si="11"/>
        <v>0.1310495773109546</v>
      </c>
      <c r="O49" s="36">
        <f t="shared" si="11"/>
        <v>0.10483966184876367</v>
      </c>
      <c r="P49" s="36">
        <f t="shared" si="11"/>
        <v>8.3871729479010948E-2</v>
      </c>
      <c r="Q49" s="36">
        <f t="shared" si="11"/>
        <v>6.7097383583208756E-2</v>
      </c>
      <c r="R49" s="36">
        <f t="shared" si="11"/>
        <v>5.367790686656701E-2</v>
      </c>
      <c r="S49" s="88"/>
    </row>
    <row r="50" spans="2:19" outlineLevel="1" x14ac:dyDescent="0.25">
      <c r="B50" s="11" t="s">
        <v>2</v>
      </c>
      <c r="C50" s="9"/>
      <c r="D50" s="19"/>
      <c r="E50" s="19"/>
      <c r="F50" s="19"/>
      <c r="G50" s="19"/>
      <c r="H50" s="19"/>
      <c r="I50" s="19"/>
      <c r="J50" s="19"/>
      <c r="K50" s="19"/>
      <c r="L50" s="19"/>
      <c r="M50" s="19"/>
      <c r="N50" s="19"/>
      <c r="O50" s="19"/>
      <c r="P50" s="19"/>
      <c r="Q50" s="19"/>
      <c r="R50" s="19"/>
      <c r="S50" s="86"/>
    </row>
    <row r="51" spans="2:19" outlineLevel="1" x14ac:dyDescent="0.25">
      <c r="B51" s="1"/>
      <c r="C51" s="28"/>
      <c r="D51" s="28"/>
      <c r="E51" s="27"/>
      <c r="F51" s="27"/>
      <c r="G51" s="27"/>
      <c r="H51" s="20"/>
      <c r="I51" s="20"/>
      <c r="J51" s="20"/>
      <c r="K51" s="20"/>
      <c r="L51" s="20"/>
      <c r="M51" s="20"/>
      <c r="N51" s="20"/>
      <c r="O51" s="20"/>
      <c r="P51" s="20"/>
      <c r="Q51" s="20"/>
      <c r="R51" s="20"/>
      <c r="S51" s="90"/>
    </row>
    <row r="52" spans="2:19" x14ac:dyDescent="0.25">
      <c r="B52" s="218" t="s">
        <v>142</v>
      </c>
      <c r="C52" s="218"/>
      <c r="D52" s="218"/>
      <c r="E52" s="218"/>
      <c r="F52" s="218"/>
      <c r="G52" s="218"/>
      <c r="H52" s="218"/>
      <c r="I52" s="218"/>
      <c r="J52" s="218"/>
      <c r="K52" s="218"/>
      <c r="L52" s="218"/>
      <c r="M52" s="218"/>
      <c r="N52" s="218"/>
      <c r="O52" s="218"/>
      <c r="P52" s="218"/>
      <c r="Q52" s="218"/>
      <c r="R52" s="218"/>
      <c r="S52" s="93"/>
    </row>
    <row r="53" spans="2:19" outlineLevel="1" x14ac:dyDescent="0.25">
      <c r="B53" s="1" t="s">
        <v>109</v>
      </c>
    </row>
    <row r="54" spans="2:19" outlineLevel="1" x14ac:dyDescent="0.25">
      <c r="B54" t="s">
        <v>103</v>
      </c>
      <c r="D54" s="29"/>
      <c r="E54" s="29"/>
      <c r="F54" s="29"/>
      <c r="G54" s="29"/>
      <c r="H54" s="36">
        <v>0</v>
      </c>
      <c r="I54" s="36">
        <v>0</v>
      </c>
      <c r="J54" s="36">
        <v>0</v>
      </c>
      <c r="K54" s="36">
        <v>0</v>
      </c>
      <c r="L54" s="36">
        <v>0</v>
      </c>
      <c r="M54" s="36">
        <v>0</v>
      </c>
      <c r="N54" s="36">
        <v>0</v>
      </c>
      <c r="O54" s="36">
        <v>0</v>
      </c>
      <c r="P54" s="36">
        <v>0</v>
      </c>
      <c r="Q54" s="36">
        <v>0</v>
      </c>
      <c r="R54" s="36">
        <v>0</v>
      </c>
      <c r="S54" s="88"/>
    </row>
    <row r="55" spans="2:19" outlineLevel="1" x14ac:dyDescent="0.25">
      <c r="B55" t="s">
        <v>104</v>
      </c>
      <c r="D55" s="29"/>
      <c r="E55" s="29"/>
      <c r="F55" s="29"/>
      <c r="G55" s="29"/>
      <c r="H55" s="36">
        <v>0</v>
      </c>
      <c r="I55" s="36">
        <v>0</v>
      </c>
      <c r="J55" s="36">
        <v>0</v>
      </c>
      <c r="K55" s="36">
        <v>0</v>
      </c>
      <c r="L55" s="36">
        <v>0</v>
      </c>
      <c r="M55" s="36">
        <v>0</v>
      </c>
      <c r="N55" s="36">
        <v>0</v>
      </c>
      <c r="O55" s="36">
        <v>0</v>
      </c>
      <c r="P55" s="36">
        <v>0</v>
      </c>
      <c r="Q55" s="36">
        <v>0</v>
      </c>
      <c r="R55" s="36">
        <v>0</v>
      </c>
      <c r="S55" s="88"/>
    </row>
    <row r="56" spans="2:19" outlineLevel="1" x14ac:dyDescent="0.25">
      <c r="B56" t="s">
        <v>105</v>
      </c>
      <c r="D56" s="29"/>
      <c r="E56" s="29"/>
      <c r="F56" s="29"/>
      <c r="G56" s="29"/>
      <c r="H56" s="36">
        <v>0</v>
      </c>
      <c r="I56" s="36">
        <v>0</v>
      </c>
      <c r="J56" s="36">
        <v>0</v>
      </c>
      <c r="K56" s="36">
        <v>0</v>
      </c>
      <c r="L56" s="36">
        <v>0</v>
      </c>
      <c r="M56" s="36">
        <v>0</v>
      </c>
      <c r="N56" s="36">
        <v>0</v>
      </c>
      <c r="O56" s="36">
        <v>0</v>
      </c>
      <c r="P56" s="36">
        <v>0</v>
      </c>
      <c r="Q56" s="36">
        <v>0</v>
      </c>
      <c r="R56" s="36">
        <v>0</v>
      </c>
      <c r="S56" s="88"/>
    </row>
    <row r="57" spans="2:19" outlineLevel="1" x14ac:dyDescent="0.25">
      <c r="B57" t="s">
        <v>106</v>
      </c>
      <c r="D57" s="29"/>
      <c r="E57" s="29"/>
      <c r="F57" s="29"/>
      <c r="G57" s="29"/>
      <c r="H57" s="36">
        <v>0</v>
      </c>
      <c r="I57" s="36">
        <v>0</v>
      </c>
      <c r="J57" s="36">
        <v>0</v>
      </c>
      <c r="K57" s="36">
        <v>0</v>
      </c>
      <c r="L57" s="36">
        <v>0</v>
      </c>
      <c r="M57" s="36">
        <v>0</v>
      </c>
      <c r="N57" s="36">
        <v>0</v>
      </c>
      <c r="O57" s="36">
        <v>0</v>
      </c>
      <c r="P57" s="36">
        <v>0</v>
      </c>
      <c r="Q57" s="36">
        <v>0</v>
      </c>
      <c r="R57" s="36">
        <v>0</v>
      </c>
      <c r="S57" s="88"/>
    </row>
    <row r="58" spans="2:19" outlineLevel="1" x14ac:dyDescent="0.25">
      <c r="B58" t="s">
        <v>107</v>
      </c>
      <c r="D58" s="29"/>
      <c r="E58" s="29"/>
      <c r="F58" s="29"/>
      <c r="G58" s="29"/>
      <c r="H58" s="36">
        <v>0</v>
      </c>
      <c r="I58" s="36">
        <v>0</v>
      </c>
      <c r="J58" s="36">
        <v>0</v>
      </c>
      <c r="K58" s="36">
        <v>0</v>
      </c>
      <c r="L58" s="36">
        <v>0</v>
      </c>
      <c r="M58" s="36">
        <v>0</v>
      </c>
      <c r="N58" s="36">
        <v>0</v>
      </c>
      <c r="O58" s="36">
        <v>0</v>
      </c>
      <c r="P58" s="36">
        <v>0</v>
      </c>
      <c r="Q58" s="36">
        <v>0</v>
      </c>
      <c r="R58" s="36">
        <v>0</v>
      </c>
      <c r="S58" s="88"/>
    </row>
    <row r="59" spans="2:19" outlineLevel="1" x14ac:dyDescent="0.25">
      <c r="B59" t="s">
        <v>108</v>
      </c>
      <c r="D59" s="29"/>
      <c r="E59" s="29"/>
      <c r="F59" s="29"/>
      <c r="G59" s="29"/>
      <c r="H59" s="36">
        <v>0</v>
      </c>
      <c r="I59" s="36">
        <v>0</v>
      </c>
      <c r="J59" s="36">
        <v>0</v>
      </c>
      <c r="K59" s="36">
        <v>0</v>
      </c>
      <c r="L59" s="36">
        <v>0</v>
      </c>
      <c r="M59" s="36">
        <v>0</v>
      </c>
      <c r="N59" s="36">
        <v>0</v>
      </c>
      <c r="O59" s="36">
        <v>0</v>
      </c>
      <c r="P59" s="36">
        <v>0</v>
      </c>
      <c r="Q59" s="36">
        <v>0</v>
      </c>
      <c r="R59" s="36">
        <v>0</v>
      </c>
      <c r="S59" s="88"/>
    </row>
    <row r="60" spans="2:19" outlineLevel="1" x14ac:dyDescent="0.25">
      <c r="B60" s="11" t="s">
        <v>2</v>
      </c>
      <c r="C60" s="9"/>
      <c r="D60" s="19"/>
      <c r="E60" s="19"/>
      <c r="F60" s="19"/>
      <c r="G60" s="19"/>
      <c r="H60" s="19"/>
      <c r="I60" s="19"/>
      <c r="J60" s="19"/>
      <c r="K60" s="19"/>
      <c r="L60" s="19"/>
      <c r="M60" s="19"/>
      <c r="N60" s="19"/>
      <c r="O60" s="19"/>
      <c r="P60" s="19"/>
      <c r="Q60" s="19"/>
      <c r="R60" s="19"/>
      <c r="S60" s="86"/>
    </row>
  </sheetData>
  <pageMargins left="0.7" right="0.7" top="0.75" bottom="0.75" header="0.3" footer="0.3"/>
  <pageSetup scale="4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1280-A4C5-4C21-B0D0-2335E7D2B7B6}">
  <dimension ref="A1:Q59"/>
  <sheetViews>
    <sheetView showGridLines="0" topLeftCell="A20" zoomScale="70" zoomScaleNormal="70" workbookViewId="0">
      <selection activeCell="F34" sqref="F34"/>
    </sheetView>
  </sheetViews>
  <sheetFormatPr defaultColWidth="12.75" defaultRowHeight="15.6" x14ac:dyDescent="0.3"/>
  <cols>
    <col min="1" max="1" width="3.375" style="69" customWidth="1"/>
    <col min="2" max="2" width="30.75" style="69" customWidth="1"/>
    <col min="3" max="5" width="12.75" style="69"/>
    <col min="6" max="6" width="11.375" style="69" bestFit="1" customWidth="1"/>
    <col min="7" max="16384" width="12.75" style="69"/>
  </cols>
  <sheetData>
    <row r="1" spans="1:15" ht="16.5" customHeight="1" x14ac:dyDescent="0.3">
      <c r="A1" s="67" t="s">
        <v>76</v>
      </c>
      <c r="B1" s="68"/>
      <c r="C1" s="68"/>
      <c r="D1" s="68"/>
      <c r="E1" s="68"/>
      <c r="F1" s="68"/>
      <c r="G1" s="68"/>
      <c r="H1" s="68"/>
      <c r="I1" s="68"/>
      <c r="J1" s="68"/>
      <c r="K1" s="68"/>
      <c r="L1" s="68"/>
      <c r="M1" s="68"/>
      <c r="N1" s="68"/>
      <c r="O1" s="68"/>
    </row>
    <row r="2" spans="1:15" ht="20.100000000000001" customHeight="1" x14ac:dyDescent="0.3">
      <c r="A2" s="101" t="s">
        <v>319</v>
      </c>
      <c r="B2" s="102"/>
      <c r="C2" s="102"/>
      <c r="D2" s="102"/>
      <c r="E2" s="102"/>
      <c r="F2" s="102"/>
      <c r="G2" s="102"/>
      <c r="H2" s="102"/>
      <c r="I2" s="102"/>
      <c r="J2" s="102"/>
      <c r="K2" s="102"/>
      <c r="L2" s="102"/>
      <c r="M2" s="102"/>
      <c r="N2" s="102"/>
      <c r="O2" s="102"/>
    </row>
    <row r="3" spans="1:15" ht="16.5" customHeight="1" x14ac:dyDescent="0.3">
      <c r="A3" s="71" t="s">
        <v>214</v>
      </c>
      <c r="B3" s="72"/>
      <c r="C3" s="72"/>
      <c r="D3" s="72"/>
      <c r="E3" s="72"/>
      <c r="F3" s="72"/>
      <c r="G3" s="72"/>
      <c r="H3" s="72"/>
      <c r="I3" s="72"/>
      <c r="J3" s="72"/>
      <c r="K3" s="72"/>
      <c r="L3" s="72"/>
      <c r="M3" s="72"/>
      <c r="N3" s="72"/>
      <c r="O3" s="72"/>
    </row>
    <row r="5" spans="1:15" x14ac:dyDescent="0.3">
      <c r="E5" s="144">
        <f>Scenarios!H5</f>
        <v>2021</v>
      </c>
      <c r="F5" s="144">
        <f>Scenarios!I5</f>
        <v>2022</v>
      </c>
      <c r="G5" s="144">
        <f>Scenarios!J5</f>
        <v>2023</v>
      </c>
      <c r="H5" s="144">
        <f>Scenarios!K5</f>
        <v>2024</v>
      </c>
      <c r="I5" s="144">
        <f>Scenarios!L5</f>
        <v>2025</v>
      </c>
      <c r="J5" s="144">
        <f>Scenarios!M5</f>
        <v>2026</v>
      </c>
      <c r="K5" s="144">
        <f>Scenarios!N5</f>
        <v>2027</v>
      </c>
      <c r="L5" s="144">
        <f>Scenarios!O5</f>
        <v>2028</v>
      </c>
      <c r="M5" s="144">
        <f>Scenarios!P5</f>
        <v>2029</v>
      </c>
      <c r="N5" s="144">
        <f>Scenarios!Q5</f>
        <v>2030</v>
      </c>
      <c r="O5" s="144">
        <f>Scenarios!R5</f>
        <v>2031</v>
      </c>
    </row>
    <row r="6" spans="1:15" ht="5.25" customHeight="1" x14ac:dyDescent="0.3"/>
    <row r="7" spans="1:15" x14ac:dyDescent="0.3">
      <c r="B7" s="74" t="s">
        <v>257</v>
      </c>
      <c r="C7" s="74"/>
      <c r="D7" s="74"/>
      <c r="E7" s="74"/>
      <c r="F7" s="74"/>
      <c r="G7" s="74"/>
      <c r="H7" s="74"/>
      <c r="I7" s="74"/>
      <c r="J7" s="74"/>
      <c r="K7" s="74"/>
      <c r="L7" s="74"/>
      <c r="M7" s="74"/>
      <c r="N7" s="74"/>
      <c r="O7" s="74"/>
    </row>
    <row r="8" spans="1:15" ht="5.25" customHeight="1" x14ac:dyDescent="0.3"/>
    <row r="9" spans="1:15" x14ac:dyDescent="0.3">
      <c r="B9" s="112" t="s">
        <v>89</v>
      </c>
    </row>
    <row r="10" spans="1:15" x14ac:dyDescent="0.3">
      <c r="B10" s="69" t="s">
        <v>324</v>
      </c>
      <c r="D10" s="445">
        <f>_Vdate</f>
        <v>44275</v>
      </c>
      <c r="E10" s="149">
        <f>_YEdate_After</f>
        <v>44561</v>
      </c>
      <c r="F10" s="149">
        <f>DATE(YEAR(E10)+1,12,31)</f>
        <v>44926</v>
      </c>
      <c r="G10" s="149">
        <f t="shared" ref="G10:O10" si="0">DATE(YEAR(F10)+1,12,31)</f>
        <v>45291</v>
      </c>
      <c r="H10" s="149">
        <f t="shared" si="0"/>
        <v>45657</v>
      </c>
      <c r="I10" s="149">
        <f t="shared" si="0"/>
        <v>46022</v>
      </c>
      <c r="J10" s="149">
        <f t="shared" si="0"/>
        <v>46387</v>
      </c>
      <c r="K10" s="149">
        <f t="shared" si="0"/>
        <v>46752</v>
      </c>
      <c r="L10" s="149">
        <f t="shared" si="0"/>
        <v>47118</v>
      </c>
      <c r="M10" s="149">
        <f t="shared" si="0"/>
        <v>47483</v>
      </c>
      <c r="N10" s="149">
        <f t="shared" si="0"/>
        <v>47848</v>
      </c>
      <c r="O10" s="149">
        <f t="shared" si="0"/>
        <v>48213</v>
      </c>
    </row>
    <row r="11" spans="1:15" x14ac:dyDescent="0.3">
      <c r="B11" s="69" t="s">
        <v>323</v>
      </c>
      <c r="D11" s="149">
        <f>D10</f>
        <v>44275</v>
      </c>
      <c r="E11" s="149">
        <f>AVERAGE(D10:E10)</f>
        <v>44418</v>
      </c>
      <c r="F11" s="149">
        <f t="shared" ref="F11:O11" si="1">AVERAGE(E10:F10)</f>
        <v>44743.5</v>
      </c>
      <c r="G11" s="149">
        <f t="shared" si="1"/>
        <v>45108.5</v>
      </c>
      <c r="H11" s="149">
        <f t="shared" si="1"/>
        <v>45474</v>
      </c>
      <c r="I11" s="149">
        <f t="shared" si="1"/>
        <v>45839.5</v>
      </c>
      <c r="J11" s="149">
        <f t="shared" si="1"/>
        <v>46204.5</v>
      </c>
      <c r="K11" s="149">
        <f t="shared" si="1"/>
        <v>46569.5</v>
      </c>
      <c r="L11" s="149">
        <f t="shared" si="1"/>
        <v>46935</v>
      </c>
      <c r="M11" s="149">
        <f t="shared" si="1"/>
        <v>47300.5</v>
      </c>
      <c r="N11" s="149">
        <f t="shared" si="1"/>
        <v>47665.5</v>
      </c>
      <c r="O11" s="149">
        <f t="shared" si="1"/>
        <v>48030.5</v>
      </c>
    </row>
    <row r="12" spans="1:15" x14ac:dyDescent="0.3">
      <c r="B12" s="69" t="s">
        <v>322</v>
      </c>
      <c r="E12" s="150">
        <f>YEARFRAC(D10,E10)</f>
        <v>0.78055555555555556</v>
      </c>
      <c r="F12" s="150">
        <f t="shared" ref="F12:O12" si="2">YEARFRAC(E10,F10)</f>
        <v>1</v>
      </c>
      <c r="G12" s="150">
        <f t="shared" si="2"/>
        <v>1</v>
      </c>
      <c r="H12" s="150">
        <f t="shared" si="2"/>
        <v>1</v>
      </c>
      <c r="I12" s="150">
        <f t="shared" si="2"/>
        <v>1</v>
      </c>
      <c r="J12" s="150">
        <f t="shared" si="2"/>
        <v>1</v>
      </c>
      <c r="K12" s="150">
        <f t="shared" si="2"/>
        <v>1</v>
      </c>
      <c r="L12" s="150">
        <f t="shared" si="2"/>
        <v>1</v>
      </c>
      <c r="M12" s="150">
        <f t="shared" si="2"/>
        <v>1</v>
      </c>
      <c r="N12" s="150">
        <f t="shared" si="2"/>
        <v>1</v>
      </c>
      <c r="O12" s="150">
        <f t="shared" si="2"/>
        <v>1</v>
      </c>
    </row>
    <row r="13" spans="1:15" x14ac:dyDescent="0.3">
      <c r="E13" s="150"/>
      <c r="F13" s="150"/>
      <c r="G13" s="150"/>
      <c r="H13" s="150"/>
      <c r="I13" s="150"/>
      <c r="J13" s="150"/>
      <c r="K13" s="150"/>
      <c r="L13" s="150"/>
      <c r="M13" s="150"/>
      <c r="N13" s="150"/>
      <c r="O13" s="150"/>
    </row>
    <row r="14" spans="1:15" x14ac:dyDescent="0.3">
      <c r="B14" s="69" t="s">
        <v>127</v>
      </c>
      <c r="E14" s="446">
        <f>'Financial Statements'!H334</f>
        <v>49814.076150155794</v>
      </c>
      <c r="F14" s="446">
        <f>'Financial Statements'!I334</f>
        <v>61444.900915308972</v>
      </c>
      <c r="G14" s="446">
        <f>'Financial Statements'!J334</f>
        <v>73810.928804834708</v>
      </c>
      <c r="H14" s="446">
        <f>'Financial Statements'!K334</f>
        <v>86688.249883494107</v>
      </c>
      <c r="I14" s="446">
        <f>'Financial Statements'!L334</f>
        <v>99885.016275553135</v>
      </c>
      <c r="J14" s="446">
        <f>'Financial Statements'!M334</f>
        <v>113249.83116839967</v>
      </c>
      <c r="K14" s="446">
        <f>'Financial Statements'!N334</f>
        <v>122594.68371827368</v>
      </c>
      <c r="L14" s="446">
        <f>'Financial Statements'!O334</f>
        <v>134980.53005170301</v>
      </c>
      <c r="M14" s="446">
        <f>'Financial Statements'!P334</f>
        <v>148323.10841487415</v>
      </c>
      <c r="N14" s="446">
        <f>'Financial Statements'!Q334</f>
        <v>161579.05208283942</v>
      </c>
      <c r="O14" s="446">
        <f>'Financial Statements'!R334</f>
        <v>161752.20222011532</v>
      </c>
    </row>
    <row r="15" spans="1:15" x14ac:dyDescent="0.3">
      <c r="B15" s="69" t="s">
        <v>128</v>
      </c>
      <c r="E15" s="446">
        <f>'Financial Statements'!H345</f>
        <v>15540.817847496823</v>
      </c>
      <c r="F15" s="446">
        <f>'Financial Statements'!I345</f>
        <v>33835.674320852508</v>
      </c>
      <c r="G15" s="446">
        <f>'Financial Statements'!J345</f>
        <v>39521.808999315981</v>
      </c>
      <c r="H15" s="446">
        <f>'Financial Statements'!K345</f>
        <v>45553.027096940736</v>
      </c>
      <c r="I15" s="446">
        <f>'Financial Statements'!L345</f>
        <v>52251.335180977068</v>
      </c>
      <c r="J15" s="446">
        <f>'Financial Statements'!M345</f>
        <v>59302.927075325955</v>
      </c>
      <c r="K15" s="446">
        <f>'Financial Statements'!N345</f>
        <v>62913.317811688074</v>
      </c>
      <c r="L15" s="446">
        <f>'Financial Statements'!O345</f>
        <v>70083.041071929358</v>
      </c>
      <c r="M15" s="446">
        <f>'Financial Statements'!P345</f>
        <v>79073.154159888101</v>
      </c>
      <c r="N15" s="446">
        <f>'Financial Statements'!Q345</f>
        <v>88350.44794259638</v>
      </c>
      <c r="O15" s="446">
        <f>'Financial Statements'!R345</f>
        <v>85196.636661880242</v>
      </c>
    </row>
    <row r="16" spans="1:15" x14ac:dyDescent="0.3">
      <c r="E16" s="150"/>
      <c r="F16" s="150"/>
      <c r="G16" s="150"/>
      <c r="H16" s="150"/>
      <c r="I16" s="150"/>
      <c r="J16" s="150"/>
      <c r="K16" s="150"/>
      <c r="L16" s="150"/>
      <c r="M16" s="150"/>
      <c r="N16" s="150"/>
      <c r="O16" s="150"/>
    </row>
    <row r="17" spans="1:17" x14ac:dyDescent="0.3">
      <c r="B17" s="112" t="s">
        <v>138</v>
      </c>
    </row>
    <row r="18" spans="1:17" x14ac:dyDescent="0.3">
      <c r="B18" s="69" t="s">
        <v>326</v>
      </c>
      <c r="O18" s="151">
        <f>O14*'Control Panel'!F26</f>
        <v>4043805.0555028827</v>
      </c>
    </row>
    <row r="19" spans="1:17" x14ac:dyDescent="0.3">
      <c r="B19" s="124" t="s">
        <v>327</v>
      </c>
      <c r="C19" s="124"/>
      <c r="D19" s="124"/>
      <c r="E19" s="124"/>
      <c r="F19" s="124"/>
      <c r="G19" s="124"/>
      <c r="H19" s="124"/>
      <c r="I19" s="124"/>
      <c r="J19" s="124"/>
      <c r="K19" s="124"/>
      <c r="L19" s="124"/>
      <c r="M19" s="124"/>
      <c r="N19" s="124"/>
      <c r="O19" s="152">
        <f>IF(_WACC=_LTGrowth,"0",(O15*(1+_LTGrowth)/(_WACC-_LTGrowth)))</f>
        <v>2215112.5532088862</v>
      </c>
    </row>
    <row r="20" spans="1:17" x14ac:dyDescent="0.3">
      <c r="B20" s="69" t="s">
        <v>328</v>
      </c>
      <c r="O20" s="151">
        <f>AVERAGE(O18:O19)</f>
        <v>3129458.8043558844</v>
      </c>
    </row>
    <row r="21" spans="1:17" x14ac:dyDescent="0.3">
      <c r="Q21" s="413"/>
    </row>
    <row r="22" spans="1:17" x14ac:dyDescent="0.3">
      <c r="B22" s="124" t="s">
        <v>331</v>
      </c>
      <c r="C22" s="124"/>
      <c r="D22" s="124"/>
      <c r="E22" s="124"/>
      <c r="F22" s="124"/>
      <c r="G22" s="124"/>
      <c r="H22" s="124"/>
      <c r="I22" s="124"/>
      <c r="J22" s="124"/>
      <c r="K22" s="124"/>
      <c r="L22" s="124"/>
      <c r="M22" s="124"/>
      <c r="N22" s="124"/>
      <c r="O22" s="152">
        <f>CHOOSE('Control Panel'!$W$18,DCF!O18,DCF!O19,DCF!O20)</f>
        <v>3129458.8043558844</v>
      </c>
    </row>
    <row r="23" spans="1:17" s="112" customFormat="1" x14ac:dyDescent="0.3">
      <c r="A23" s="112" t="s">
        <v>279</v>
      </c>
      <c r="B23" s="112" t="s">
        <v>330</v>
      </c>
      <c r="D23" s="156">
        <v>0</v>
      </c>
      <c r="E23" s="156">
        <f>E12*E15</f>
        <v>12130.471708740575</v>
      </c>
      <c r="F23" s="156">
        <f t="shared" ref="F23:O23" si="3">F12*F15</f>
        <v>33835.674320852508</v>
      </c>
      <c r="G23" s="156">
        <f t="shared" si="3"/>
        <v>39521.808999315981</v>
      </c>
      <c r="H23" s="156">
        <f t="shared" si="3"/>
        <v>45553.027096940736</v>
      </c>
      <c r="I23" s="156">
        <f t="shared" si="3"/>
        <v>52251.335180977068</v>
      </c>
      <c r="J23" s="156">
        <f t="shared" si="3"/>
        <v>59302.927075325955</v>
      </c>
      <c r="K23" s="156">
        <f t="shared" si="3"/>
        <v>62913.317811688074</v>
      </c>
      <c r="L23" s="156">
        <f t="shared" si="3"/>
        <v>70083.041071929358</v>
      </c>
      <c r="M23" s="156">
        <f t="shared" si="3"/>
        <v>79073.154159888101</v>
      </c>
      <c r="N23" s="156">
        <f t="shared" si="3"/>
        <v>88350.44794259638</v>
      </c>
      <c r="O23" s="156">
        <f t="shared" si="3"/>
        <v>85196.636661880242</v>
      </c>
      <c r="Q23" s="462"/>
    </row>
    <row r="24" spans="1:17" s="112" customFormat="1" x14ac:dyDescent="0.3">
      <c r="B24" s="112" t="s">
        <v>138</v>
      </c>
      <c r="D24" s="156">
        <v>0</v>
      </c>
      <c r="E24" s="156">
        <v>0</v>
      </c>
      <c r="F24" s="156">
        <v>0</v>
      </c>
      <c r="G24" s="156">
        <v>0</v>
      </c>
      <c r="H24" s="156">
        <v>0</v>
      </c>
      <c r="I24" s="156">
        <v>0</v>
      </c>
      <c r="J24" s="156">
        <v>0</v>
      </c>
      <c r="K24" s="156">
        <v>0</v>
      </c>
      <c r="L24" s="156">
        <v>0</v>
      </c>
      <c r="M24" s="156">
        <v>0</v>
      </c>
      <c r="N24" s="156">
        <v>0</v>
      </c>
      <c r="O24" s="156">
        <f>O22</f>
        <v>3129458.8043558844</v>
      </c>
    </row>
    <row r="27" spans="1:17" x14ac:dyDescent="0.3">
      <c r="B27" s="333" t="s">
        <v>481</v>
      </c>
      <c r="C27" s="332"/>
      <c r="D27" s="332"/>
      <c r="E27" s="332"/>
      <c r="F27" s="332"/>
      <c r="I27" s="332" t="s">
        <v>445</v>
      </c>
      <c r="J27" s="332"/>
      <c r="K27" s="332"/>
      <c r="L27" s="332"/>
      <c r="M27" s="332"/>
      <c r="N27" s="332"/>
      <c r="O27" s="332"/>
    </row>
    <row r="28" spans="1:17" x14ac:dyDescent="0.3">
      <c r="B28" s="69" t="s">
        <v>530</v>
      </c>
      <c r="D28" s="151"/>
      <c r="E28" s="151"/>
      <c r="F28" s="151">
        <f>XNPV(_WACC,$D$23:$O$23,$D$11:$O$11)</f>
        <v>390414.39872419642</v>
      </c>
      <c r="I28" s="308"/>
      <c r="J28"/>
      <c r="K28"/>
      <c r="L28"/>
      <c r="M28"/>
      <c r="N28"/>
      <c r="O28" s="309"/>
    </row>
    <row r="29" spans="1:17" x14ac:dyDescent="0.3">
      <c r="B29" s="69" t="s">
        <v>531</v>
      </c>
      <c r="D29" s="151"/>
      <c r="E29" s="151"/>
      <c r="F29" s="151">
        <f>XNPV(_WACC,$D$24:$O$24,$D$11:$O$11)</f>
        <v>1417805.4163726312</v>
      </c>
      <c r="I29" s="308"/>
      <c r="J29"/>
      <c r="K29" s="321" t="s">
        <v>415</v>
      </c>
      <c r="L29" s="322"/>
      <c r="M29" s="322"/>
      <c r="N29" s="322"/>
      <c r="O29" s="323"/>
    </row>
    <row r="30" spans="1:17" s="112" customFormat="1" x14ac:dyDescent="0.3">
      <c r="A30" s="69"/>
      <c r="B30" s="324" t="s">
        <v>164</v>
      </c>
      <c r="C30" s="324"/>
      <c r="D30" s="388"/>
      <c r="E30" s="388"/>
      <c r="F30" s="388">
        <f>SUM(F28:F29)</f>
        <v>1808219.8150968277</v>
      </c>
      <c r="G30" s="69"/>
      <c r="H30" s="69"/>
      <c r="I30" s="308"/>
      <c r="J30" s="310">
        <f>F34</f>
        <v>3375.3624374697561</v>
      </c>
      <c r="K30" s="301">
        <f t="shared" ref="K30:L30" si="4">L30-5</f>
        <v>15</v>
      </c>
      <c r="L30" s="301">
        <f>M30-5</f>
        <v>20</v>
      </c>
      <c r="M30" s="370">
        <f>'Control Panel'!F26</f>
        <v>25</v>
      </c>
      <c r="N30" s="301">
        <f>M30+5</f>
        <v>30</v>
      </c>
      <c r="O30" s="379">
        <f t="shared" ref="O30" si="5">N30+5</f>
        <v>35</v>
      </c>
    </row>
    <row r="31" spans="1:17" x14ac:dyDescent="0.3">
      <c r="A31" s="112"/>
      <c r="B31" s="124" t="s">
        <v>263</v>
      </c>
      <c r="C31" s="124"/>
      <c r="D31" s="447"/>
      <c r="E31" s="447"/>
      <c r="F31" s="447">
        <f>-Comps!I10</f>
        <v>-59107</v>
      </c>
      <c r="G31" s="112"/>
      <c r="H31" s="112"/>
      <c r="I31" s="586" t="s">
        <v>416</v>
      </c>
      <c r="J31" s="273">
        <f t="shared" ref="J31:J32" si="6">J32+1%</f>
        <v>9.9999999999999992E-2</v>
      </c>
      <c r="K31" s="276">
        <f t="dataTable" ref="K31:O35" dt2D="1" dtr="1" r1="L47" r2="L48"/>
        <v>-104.14914035640382</v>
      </c>
      <c r="L31" s="277">
        <v>-105.56615441320425</v>
      </c>
      <c r="M31" s="277">
        <v>-106.48205679336776</v>
      </c>
      <c r="N31" s="277">
        <v>-107.13497413827901</v>
      </c>
      <c r="O31" s="311">
        <v>-107.63047556596545</v>
      </c>
    </row>
    <row r="32" spans="1:17" x14ac:dyDescent="0.3">
      <c r="B32" s="112" t="s">
        <v>139</v>
      </c>
      <c r="C32" s="112"/>
      <c r="D32" s="388"/>
      <c r="E32" s="388"/>
      <c r="F32" s="388">
        <f>SUM(F30:F31)</f>
        <v>1749112.8150968277</v>
      </c>
      <c r="I32" s="586"/>
      <c r="J32" s="273">
        <f>J33+1%</f>
        <v>0.09</v>
      </c>
      <c r="K32" s="312">
        <v>-104.14914035640382</v>
      </c>
      <c r="L32" s="313">
        <v>-105.56615441320425</v>
      </c>
      <c r="M32" s="313">
        <v>-106.48205679336776</v>
      </c>
      <c r="N32" s="313">
        <v>-107.13497413827901</v>
      </c>
      <c r="O32" s="314">
        <v>-107.63047556596545</v>
      </c>
    </row>
    <row r="33" spans="2:15" x14ac:dyDescent="0.3">
      <c r="B33" s="124" t="s">
        <v>480</v>
      </c>
      <c r="C33" s="124"/>
      <c r="D33" s="448"/>
      <c r="E33" s="448"/>
      <c r="F33" s="448">
        <f>Comps!E10</f>
        <v>518.20000000000005</v>
      </c>
      <c r="I33" s="586"/>
      <c r="J33" s="371">
        <f>WACC!R33</f>
        <v>0.08</v>
      </c>
      <c r="K33" s="312">
        <v>-104.14914035640382</v>
      </c>
      <c r="L33" s="313">
        <v>-105.56615441320425</v>
      </c>
      <c r="M33" s="315">
        <v>-106.48205679336776</v>
      </c>
      <c r="N33" s="313">
        <v>-107.13497413827901</v>
      </c>
      <c r="O33" s="314">
        <v>-107.63047556596545</v>
      </c>
    </row>
    <row r="34" spans="2:15" ht="16.5" customHeight="1" x14ac:dyDescent="0.3">
      <c r="B34" s="112" t="s">
        <v>479</v>
      </c>
      <c r="C34" s="112"/>
      <c r="D34" s="156"/>
      <c r="E34" s="156"/>
      <c r="F34" s="156">
        <f>F32/F33</f>
        <v>3375.3624374697561</v>
      </c>
      <c r="I34" s="586"/>
      <c r="J34" s="273">
        <f>J33-1%</f>
        <v>7.0000000000000007E-2</v>
      </c>
      <c r="K34" s="312">
        <v>-104.14914035640382</v>
      </c>
      <c r="L34" s="313">
        <v>-105.56615441320425</v>
      </c>
      <c r="M34" s="313">
        <v>-106.48205679336776</v>
      </c>
      <c r="N34" s="313">
        <v>-107.13497413827901</v>
      </c>
      <c r="O34" s="314">
        <v>-107.63047556596545</v>
      </c>
    </row>
    <row r="35" spans="2:15" x14ac:dyDescent="0.3">
      <c r="I35" s="586"/>
      <c r="J35" s="273">
        <f>J34-1%</f>
        <v>6.0000000000000005E-2</v>
      </c>
      <c r="K35" s="312">
        <v>-104.14914035640382</v>
      </c>
      <c r="L35" s="312">
        <v>-105.56615441320425</v>
      </c>
      <c r="M35" s="312">
        <v>-106.48205679336776</v>
      </c>
      <c r="N35" s="312">
        <v>-107.13497413827901</v>
      </c>
      <c r="O35" s="314">
        <v>-107.63047556596545</v>
      </c>
    </row>
    <row r="36" spans="2:15" x14ac:dyDescent="0.3">
      <c r="B36" s="460"/>
      <c r="C36" s="184"/>
      <c r="D36" s="184"/>
      <c r="E36" s="184"/>
      <c r="F36" s="184"/>
      <c r="I36" s="316"/>
      <c r="O36" s="317"/>
    </row>
    <row r="37" spans="2:15" x14ac:dyDescent="0.3">
      <c r="B37" s="148"/>
      <c r="C37" s="184"/>
      <c r="D37" s="184"/>
      <c r="E37" s="184"/>
      <c r="F37" s="184"/>
      <c r="I37" s="308"/>
      <c r="J37"/>
      <c r="K37" s="321" t="s">
        <v>443</v>
      </c>
      <c r="L37" s="322"/>
      <c r="M37" s="322"/>
      <c r="N37" s="322"/>
      <c r="O37" s="323"/>
    </row>
    <row r="38" spans="2:15" x14ac:dyDescent="0.3">
      <c r="I38" s="308"/>
      <c r="J38" s="310">
        <f>F34</f>
        <v>3375.3624374697561</v>
      </c>
      <c r="K38" s="302">
        <f t="shared" ref="K38:L38" si="7">L38-5%</f>
        <v>0.51406673065772179</v>
      </c>
      <c r="L38" s="302">
        <f>M38-5%</f>
        <v>0.56406673065772184</v>
      </c>
      <c r="M38" s="369">
        <f>'Control Panel'!W25</f>
        <v>0.61406673065772188</v>
      </c>
      <c r="N38" s="302">
        <f>M38+5%</f>
        <v>0.66406673065772193</v>
      </c>
      <c r="O38" s="318">
        <f t="shared" ref="O38" si="8">N38+5%</f>
        <v>0.71406673065772197</v>
      </c>
    </row>
    <row r="39" spans="2:15" ht="15.6" customHeight="1" x14ac:dyDescent="0.3">
      <c r="I39" s="587" t="s">
        <v>380</v>
      </c>
      <c r="J39" s="273">
        <f>J40+1%</f>
        <v>0.22000000000000003</v>
      </c>
      <c r="K39" s="276">
        <f t="dataTable" ref="K39:O43" dt2D="1" dtr="1" r1="L49" r2="L50" ca="1"/>
        <v>3375.3624374697561</v>
      </c>
      <c r="L39" s="277">
        <v>3375.3624374697561</v>
      </c>
      <c r="M39" s="277">
        <v>3375.3624374697561</v>
      </c>
      <c r="N39" s="277">
        <v>3375.3624374697561</v>
      </c>
      <c r="O39" s="311">
        <v>3375.3624374697561</v>
      </c>
    </row>
    <row r="40" spans="2:15" ht="16.5" customHeight="1" x14ac:dyDescent="0.3">
      <c r="I40" s="587"/>
      <c r="J40" s="273">
        <f>J41+1%</f>
        <v>0.21000000000000002</v>
      </c>
      <c r="K40" s="312">
        <v>3375.3624374697561</v>
      </c>
      <c r="L40" s="313">
        <v>3375.3624374697561</v>
      </c>
      <c r="M40" s="313">
        <v>3375.3624374697561</v>
      </c>
      <c r="N40" s="313">
        <v>3375.3624374697561</v>
      </c>
      <c r="O40" s="314">
        <v>3375.3624374697561</v>
      </c>
    </row>
    <row r="41" spans="2:15" x14ac:dyDescent="0.3">
      <c r="I41" s="587"/>
      <c r="J41" s="371">
        <f>'Control Panel'!W24</f>
        <v>0.2</v>
      </c>
      <c r="K41" s="312">
        <v>3375.3624374697561</v>
      </c>
      <c r="L41" s="313">
        <v>3375.3624374697561</v>
      </c>
      <c r="M41" s="315">
        <v>3375.3624374697561</v>
      </c>
      <c r="N41" s="313">
        <v>3375.3624374697561</v>
      </c>
      <c r="O41" s="314">
        <v>3375.3624374697561</v>
      </c>
    </row>
    <row r="42" spans="2:15" ht="16.5" customHeight="1" x14ac:dyDescent="0.3">
      <c r="I42" s="587"/>
      <c r="J42" s="273">
        <f>J41-1%</f>
        <v>0.19</v>
      </c>
      <c r="K42" s="312">
        <v>3375.3624374697561</v>
      </c>
      <c r="L42" s="313">
        <v>3375.3624374697561</v>
      </c>
      <c r="M42" s="313">
        <v>3375.3624374697561</v>
      </c>
      <c r="N42" s="313">
        <v>3375.3624374697561</v>
      </c>
      <c r="O42" s="314">
        <v>3375.3624374697561</v>
      </c>
    </row>
    <row r="43" spans="2:15" x14ac:dyDescent="0.3">
      <c r="I43" s="587"/>
      <c r="J43" s="273">
        <f t="shared" ref="J43" si="9">J42-1%</f>
        <v>0.18</v>
      </c>
      <c r="K43" s="312">
        <v>3375.3624374697561</v>
      </c>
      <c r="L43" s="312">
        <v>3375.3624374697561</v>
      </c>
      <c r="M43" s="312">
        <v>3375.3624374697561</v>
      </c>
      <c r="N43" s="312">
        <v>3375.3624374697561</v>
      </c>
      <c r="O43" s="314">
        <v>3375.3624374697561</v>
      </c>
    </row>
    <row r="44" spans="2:15" x14ac:dyDescent="0.3">
      <c r="I44" s="319"/>
      <c r="J44" s="124"/>
      <c r="K44" s="124"/>
      <c r="L44" s="124"/>
      <c r="M44" s="124"/>
      <c r="N44" s="124"/>
      <c r="O44" s="320"/>
    </row>
    <row r="46" spans="2:15" x14ac:dyDescent="0.3">
      <c r="I46" s="494" t="s">
        <v>581</v>
      </c>
      <c r="J46" s="334"/>
      <c r="K46" s="335"/>
      <c r="L46" s="335"/>
    </row>
    <row r="47" spans="2:15" x14ac:dyDescent="0.3">
      <c r="I47" s="275" t="s">
        <v>416</v>
      </c>
      <c r="L47" s="577"/>
    </row>
    <row r="48" spans="2:15" x14ac:dyDescent="0.3">
      <c r="G48" s="184"/>
      <c r="H48" s="184"/>
      <c r="I48" s="275" t="s">
        <v>325</v>
      </c>
      <c r="L48" s="578"/>
    </row>
    <row r="49" spans="2:17" x14ac:dyDescent="0.3">
      <c r="I49" s="275" t="s">
        <v>380</v>
      </c>
      <c r="L49" s="579"/>
    </row>
    <row r="50" spans="2:17" x14ac:dyDescent="0.3">
      <c r="I50" s="303" t="s">
        <v>444</v>
      </c>
      <c r="L50" s="579"/>
      <c r="Q50" s="413"/>
    </row>
    <row r="55" spans="2:17" x14ac:dyDescent="0.3">
      <c r="B55" s="185" t="s">
        <v>546</v>
      </c>
    </row>
    <row r="56" spans="2:17" x14ac:dyDescent="0.3">
      <c r="C56" s="180"/>
      <c r="D56" s="180"/>
      <c r="E56" s="180"/>
      <c r="F56" s="180"/>
    </row>
    <row r="57" spans="2:17" x14ac:dyDescent="0.3">
      <c r="B57" s="185" t="str">
        <f>B28</f>
        <v>NPV - Future Cash Flows</v>
      </c>
      <c r="C57" s="186">
        <f>F28/_RoundBillions</f>
        <v>390.41439872419642</v>
      </c>
      <c r="D57" s="186"/>
      <c r="E57" s="186"/>
      <c r="F57" s="186"/>
      <c r="G57" s="459"/>
      <c r="H57" s="458"/>
    </row>
    <row r="58" spans="2:17" x14ac:dyDescent="0.3">
      <c r="B58" s="185" t="str">
        <f>B29</f>
        <v>NPV - Terminal Value</v>
      </c>
      <c r="C58" s="186">
        <f>F29/_RoundBillions</f>
        <v>1417.8054163726313</v>
      </c>
      <c r="D58" s="186"/>
      <c r="E58" s="186"/>
      <c r="F58" s="186"/>
    </row>
    <row r="59" spans="2:17" x14ac:dyDescent="0.3">
      <c r="B59" s="185" t="str">
        <f>B30</f>
        <v>Enterprise Value</v>
      </c>
      <c r="C59" s="186">
        <f>F30/_RoundBillions</f>
        <v>1808.2198150968277</v>
      </c>
      <c r="D59" s="186"/>
      <c r="E59" s="186"/>
      <c r="F59" s="414"/>
    </row>
  </sheetData>
  <mergeCells count="2">
    <mergeCell ref="I31:I35"/>
    <mergeCell ref="I39:I43"/>
  </mergeCells>
  <dataValidations disablePrompts="1" count="1">
    <dataValidation allowBlank="1" showErrorMessage="1" sqref="O22" xr:uid="{02E12F0B-8A79-4169-907B-82B45000B7F9}"/>
  </dataValidations>
  <pageMargins left="0.7" right="0.7" top="0.75" bottom="0.75" header="0.3" footer="0.3"/>
  <pageSetup scale="43" orientation="portrait" r:id="rId1"/>
  <customProperties>
    <customPr name="Guid" r:id="rId2"/>
  </customPropertie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6C688-2CDD-4A6C-9B9C-22F9AE96E406}">
  <dimension ref="A1:S33"/>
  <sheetViews>
    <sheetView showGridLines="0" topLeftCell="A4" zoomScale="70" zoomScaleNormal="70" workbookViewId="0">
      <selection activeCell="R33" sqref="R33"/>
    </sheetView>
  </sheetViews>
  <sheetFormatPr defaultColWidth="10.75" defaultRowHeight="16.5" customHeight="1" outlineLevelCol="1" x14ac:dyDescent="0.3"/>
  <cols>
    <col min="1" max="1" width="3.375" style="69" customWidth="1"/>
    <col min="2" max="2" width="12.875" style="69" customWidth="1" outlineLevel="1"/>
    <col min="3" max="3" width="28.75" style="69" customWidth="1"/>
    <col min="4" max="4" width="16.625" style="69" bestFit="1" customWidth="1"/>
    <col min="5" max="5" width="11.25" style="69" bestFit="1" customWidth="1"/>
    <col min="6" max="6" width="11.5" style="69" bestFit="1" customWidth="1"/>
    <col min="7" max="10" width="10.75" style="69"/>
    <col min="11" max="11" width="11.25" style="69" bestFit="1" customWidth="1"/>
    <col min="12" max="12" width="5.75" style="69" customWidth="1"/>
    <col min="13" max="16" width="10.75" style="69"/>
    <col min="17" max="17" width="14.5" style="69" bestFit="1" customWidth="1"/>
    <col min="18" max="18" width="11.375" style="69" bestFit="1" customWidth="1"/>
    <col min="19" max="16384" width="10.75" style="69"/>
  </cols>
  <sheetData>
    <row r="1" spans="1:18" ht="15.6" x14ac:dyDescent="0.3">
      <c r="A1" s="67" t="s">
        <v>76</v>
      </c>
      <c r="B1" s="68"/>
      <c r="C1" s="68"/>
      <c r="D1" s="68"/>
      <c r="E1" s="68"/>
      <c r="F1" s="68"/>
      <c r="G1" s="68"/>
      <c r="H1" s="68"/>
      <c r="I1" s="68"/>
      <c r="J1" s="68"/>
      <c r="K1" s="68"/>
      <c r="L1" s="68"/>
      <c r="M1" s="68"/>
      <c r="N1" s="68"/>
      <c r="O1" s="68"/>
      <c r="P1" s="68"/>
      <c r="Q1" s="68"/>
      <c r="R1" s="68"/>
    </row>
    <row r="2" spans="1:18" s="117" customFormat="1" ht="20.100000000000001" customHeight="1" x14ac:dyDescent="0.3">
      <c r="A2" s="70" t="s">
        <v>320</v>
      </c>
      <c r="B2" s="116"/>
      <c r="C2" s="116"/>
      <c r="D2" s="116"/>
      <c r="E2" s="116"/>
      <c r="F2" s="116"/>
      <c r="G2" s="116"/>
      <c r="H2" s="116"/>
      <c r="I2" s="116"/>
      <c r="J2" s="116"/>
      <c r="K2" s="116"/>
      <c r="L2" s="116"/>
      <c r="M2" s="116"/>
      <c r="N2" s="116"/>
      <c r="O2" s="116"/>
      <c r="P2" s="116"/>
      <c r="Q2" s="116"/>
      <c r="R2" s="116"/>
    </row>
    <row r="3" spans="1:18" ht="16.5" customHeight="1" x14ac:dyDescent="0.3">
      <c r="A3" s="71" t="s">
        <v>214</v>
      </c>
      <c r="B3" s="72"/>
      <c r="C3" s="72"/>
      <c r="D3" s="72"/>
      <c r="E3" s="72"/>
      <c r="F3" s="72"/>
      <c r="G3" s="72"/>
      <c r="H3" s="72"/>
      <c r="I3" s="72"/>
      <c r="J3" s="72"/>
      <c r="K3" s="72"/>
      <c r="L3" s="72"/>
      <c r="M3" s="72"/>
      <c r="N3" s="72"/>
      <c r="O3" s="72"/>
      <c r="P3" s="72"/>
      <c r="Q3" s="72"/>
      <c r="R3" s="72"/>
    </row>
    <row r="6" spans="1:18" ht="16.5" customHeight="1" x14ac:dyDescent="0.3">
      <c r="B6" s="74"/>
      <c r="C6" s="74" t="s">
        <v>304</v>
      </c>
      <c r="D6" s="74"/>
      <c r="E6" s="74"/>
      <c r="F6" s="74"/>
      <c r="G6" s="74"/>
      <c r="H6" s="74"/>
      <c r="I6" s="74"/>
      <c r="J6" s="74"/>
      <c r="K6" s="74"/>
      <c r="M6" s="74" t="s">
        <v>306</v>
      </c>
      <c r="N6" s="74"/>
      <c r="O6" s="74"/>
      <c r="P6" s="74"/>
      <c r="Q6" s="74"/>
      <c r="R6" s="74"/>
    </row>
    <row r="7" spans="1:18" ht="5.25" customHeight="1" x14ac:dyDescent="0.3"/>
    <row r="8" spans="1:18" ht="16.5" customHeight="1" x14ac:dyDescent="0.3">
      <c r="B8" s="118"/>
      <c r="C8" s="118"/>
      <c r="E8" s="119" t="s">
        <v>147</v>
      </c>
      <c r="F8" s="119" t="s">
        <v>148</v>
      </c>
      <c r="G8" s="119" t="s">
        <v>224</v>
      </c>
      <c r="H8" s="119" t="s">
        <v>224</v>
      </c>
      <c r="I8" s="119" t="s">
        <v>305</v>
      </c>
      <c r="J8" s="119" t="s">
        <v>146</v>
      </c>
      <c r="K8" s="119" t="s">
        <v>149</v>
      </c>
      <c r="M8" s="495" t="s">
        <v>307</v>
      </c>
      <c r="N8" s="106"/>
      <c r="O8" s="106"/>
      <c r="P8" s="106"/>
      <c r="Q8" s="106"/>
      <c r="R8" s="106"/>
    </row>
    <row r="9" spans="1:18" ht="16.5" customHeight="1" x14ac:dyDescent="0.3">
      <c r="B9" s="120" t="s">
        <v>145</v>
      </c>
      <c r="C9" s="121" t="s">
        <v>143</v>
      </c>
      <c r="D9" s="122" t="s">
        <v>154</v>
      </c>
      <c r="E9" s="123" t="s">
        <v>151</v>
      </c>
      <c r="F9" s="123" t="s">
        <v>152</v>
      </c>
      <c r="G9" s="123" t="s">
        <v>152</v>
      </c>
      <c r="H9" s="123" t="s">
        <v>372</v>
      </c>
      <c r="I9" s="123" t="s">
        <v>77</v>
      </c>
      <c r="J9" s="123" t="s">
        <v>590</v>
      </c>
      <c r="K9" s="123" t="s">
        <v>150</v>
      </c>
      <c r="M9" s="124"/>
      <c r="N9" s="124"/>
      <c r="O9" s="124"/>
      <c r="P9" s="124"/>
      <c r="Q9" s="125" t="s">
        <v>180</v>
      </c>
      <c r="R9" s="125" t="s">
        <v>256</v>
      </c>
    </row>
    <row r="10" spans="1:18" ht="16.5" customHeight="1" x14ac:dyDescent="0.3">
      <c r="B10" s="127" t="s">
        <v>239</v>
      </c>
      <c r="C10" s="229" t="s">
        <v>691</v>
      </c>
      <c r="D10" s="127" t="s">
        <v>695</v>
      </c>
      <c r="E10" s="438">
        <f>Comps!G13</f>
        <v>63640</v>
      </c>
      <c r="F10" s="438">
        <f>Comps!F13</f>
        <v>372925.43583898002</v>
      </c>
      <c r="G10" s="128">
        <f>E10/F10</f>
        <v>0.17065073573441683</v>
      </c>
      <c r="H10" s="128">
        <f>E10/(E10+F10)</f>
        <v>0.14577425232416377</v>
      </c>
      <c r="I10" s="298">
        <v>0.32200000000000001</v>
      </c>
      <c r="J10" s="129">
        <v>0.47127999999999998</v>
      </c>
      <c r="K10" s="130">
        <f>J10/(1+(1-I10)*G10)</f>
        <v>0.42240700332229508</v>
      </c>
      <c r="M10" s="69" t="s">
        <v>309</v>
      </c>
      <c r="Q10" s="434">
        <f>'Control Panel'!F36</f>
        <v>0.05</v>
      </c>
      <c r="R10" s="434">
        <f>'Control Panel'!G36</f>
        <v>0.1</v>
      </c>
    </row>
    <row r="11" spans="1:18" ht="16.5" customHeight="1" x14ac:dyDescent="0.3">
      <c r="B11" s="127" t="s">
        <v>238</v>
      </c>
      <c r="C11" s="229" t="s">
        <v>692</v>
      </c>
      <c r="D11" s="127" t="s">
        <v>695</v>
      </c>
      <c r="E11" s="438">
        <f>Comps!G14</f>
        <v>43422</v>
      </c>
      <c r="F11" s="438">
        <f>Comps!F14</f>
        <v>312292.50292</v>
      </c>
      <c r="G11" s="128">
        <f t="shared" ref="G11:G27" si="0">E11/F11</f>
        <v>0.13904272306890256</v>
      </c>
      <c r="H11" s="128">
        <f t="shared" ref="H11:H27" si="1">E11/(E11+F11)</f>
        <v>0.12206980497999427</v>
      </c>
      <c r="I11" s="298">
        <v>0.32200000000000001</v>
      </c>
      <c r="J11" s="129">
        <v>1.01098</v>
      </c>
      <c r="K11" s="130">
        <f t="shared" ref="K11:K27" si="2">J11/(1+(1-I11)*G11)</f>
        <v>0.92388451415570705</v>
      </c>
      <c r="M11" s="69" t="s">
        <v>310</v>
      </c>
      <c r="Q11" s="131">
        <f>1-Q10</f>
        <v>0.95</v>
      </c>
      <c r="R11" s="131">
        <f>1-R10</f>
        <v>0.9</v>
      </c>
    </row>
    <row r="12" spans="1:18" ht="16.5" customHeight="1" x14ac:dyDescent="0.3">
      <c r="B12" s="127" t="s">
        <v>237</v>
      </c>
      <c r="C12" s="229" t="s">
        <v>693</v>
      </c>
      <c r="D12" s="127" t="s">
        <v>695</v>
      </c>
      <c r="E12" s="438">
        <f>Comps!G15</f>
        <v>26211</v>
      </c>
      <c r="F12" s="438">
        <f>Comps!F15</f>
        <v>131995.55592000001</v>
      </c>
      <c r="G12" s="128">
        <f t="shared" si="0"/>
        <v>0.19857486729239571</v>
      </c>
      <c r="H12" s="128">
        <f t="shared" si="1"/>
        <v>0.16567581442866416</v>
      </c>
      <c r="I12" s="298">
        <v>0.32200000000000001</v>
      </c>
      <c r="J12" s="129">
        <v>1.3357300000000001</v>
      </c>
      <c r="K12" s="130">
        <f t="shared" si="2"/>
        <v>1.177234493684957</v>
      </c>
      <c r="M12" s="69" t="s">
        <v>311</v>
      </c>
      <c r="Q12" s="574">
        <f>Q10/Q11</f>
        <v>5.2631578947368425E-2</v>
      </c>
      <c r="R12" s="574">
        <f>R10/R11</f>
        <v>0.11111111111111112</v>
      </c>
    </row>
    <row r="13" spans="1:18" ht="16.5" customHeight="1" x14ac:dyDescent="0.3">
      <c r="B13" s="127" t="s">
        <v>236</v>
      </c>
      <c r="C13" s="229" t="s">
        <v>694</v>
      </c>
      <c r="D13" s="127" t="s">
        <v>695</v>
      </c>
      <c r="E13" s="438">
        <f>Comps!G16</f>
        <v>15109</v>
      </c>
      <c r="F13" s="438">
        <f>Comps!F16</f>
        <v>95746.137521500015</v>
      </c>
      <c r="G13" s="128">
        <f t="shared" si="0"/>
        <v>0.15780271028277501</v>
      </c>
      <c r="H13" s="128">
        <f t="shared" si="1"/>
        <v>0.13629499126343744</v>
      </c>
      <c r="I13" s="298">
        <v>0.32200000000000001</v>
      </c>
      <c r="J13" s="129">
        <v>0.99399000000000004</v>
      </c>
      <c r="K13" s="130">
        <f t="shared" si="2"/>
        <v>0.89792119773377832</v>
      </c>
      <c r="M13" s="496" t="s">
        <v>316</v>
      </c>
      <c r="N13" s="106"/>
      <c r="O13" s="106"/>
      <c r="P13" s="106"/>
      <c r="Q13" s="106"/>
      <c r="R13" s="106"/>
    </row>
    <row r="14" spans="1:18" ht="16.5" customHeight="1" x14ac:dyDescent="0.3">
      <c r="B14" s="127" t="s">
        <v>243</v>
      </c>
      <c r="C14" s="229" t="s">
        <v>626</v>
      </c>
      <c r="D14" s="127" t="s">
        <v>696</v>
      </c>
      <c r="E14" s="438">
        <f>Comps!G23</f>
        <v>22676.377759999999</v>
      </c>
      <c r="F14" s="438">
        <f>Comps!F23</f>
        <v>666540.62970659998</v>
      </c>
      <c r="G14" s="128">
        <f t="shared" si="0"/>
        <v>3.4020998494843087E-2</v>
      </c>
      <c r="H14" s="128">
        <f t="shared" si="1"/>
        <v>3.2901651460043112E-2</v>
      </c>
      <c r="I14" s="298">
        <v>0.25</v>
      </c>
      <c r="J14" s="129">
        <v>0.88324000000000003</v>
      </c>
      <c r="K14" s="130">
        <f t="shared" si="2"/>
        <v>0.86126419898695195</v>
      </c>
      <c r="M14" s="69" t="s">
        <v>153</v>
      </c>
      <c r="Q14" s="413"/>
      <c r="R14" s="437">
        <f>Comps!F10</f>
        <v>1593444.2720000001</v>
      </c>
    </row>
    <row r="15" spans="1:18" ht="16.5" customHeight="1" x14ac:dyDescent="0.3">
      <c r="B15" s="127" t="s">
        <v>241</v>
      </c>
      <c r="C15" s="229" t="s">
        <v>627</v>
      </c>
      <c r="D15" s="127" t="s">
        <v>695</v>
      </c>
      <c r="E15" s="438">
        <f>Comps!G24</f>
        <v>8317</v>
      </c>
      <c r="F15" s="438">
        <f>Comps!F24</f>
        <v>42647.22</v>
      </c>
      <c r="G15" s="128">
        <f t="shared" si="0"/>
        <v>0.19501857330911604</v>
      </c>
      <c r="H15" s="128">
        <f t="shared" si="1"/>
        <v>0.1631929224071319</v>
      </c>
      <c r="I15" s="298">
        <v>0.32200000000000001</v>
      </c>
      <c r="J15" s="129">
        <v>1.1569400000000001</v>
      </c>
      <c r="K15" s="130">
        <f t="shared" si="2"/>
        <v>1.0218308727062211</v>
      </c>
      <c r="M15" s="69" t="s">
        <v>317</v>
      </c>
      <c r="Q15" s="413"/>
      <c r="R15" s="436">
        <f>Comps!G10</f>
        <v>101229</v>
      </c>
    </row>
    <row r="16" spans="1:18" ht="16.5" customHeight="1" x14ac:dyDescent="0.3">
      <c r="B16" s="127" t="s">
        <v>242</v>
      </c>
      <c r="C16" s="229" t="s">
        <v>628</v>
      </c>
      <c r="D16" s="127" t="s">
        <v>695</v>
      </c>
      <c r="E16" s="438">
        <f>Comps!G25</f>
        <v>-206.38200000000006</v>
      </c>
      <c r="F16" s="438">
        <f>Comps!F25</f>
        <v>31155.716525257354</v>
      </c>
      <c r="G16" s="128">
        <f t="shared" si="0"/>
        <v>-6.6242097122911634E-3</v>
      </c>
      <c r="H16" s="128">
        <f t="shared" si="1"/>
        <v>-6.6683824762556482E-3</v>
      </c>
      <c r="I16" s="298">
        <v>0.32200000000000001</v>
      </c>
      <c r="J16" s="129">
        <v>1.6172200000000001</v>
      </c>
      <c r="K16" s="130">
        <f t="shared" si="2"/>
        <v>1.6245160495252799</v>
      </c>
      <c r="M16" s="69" t="s">
        <v>311</v>
      </c>
      <c r="R16" s="272">
        <f>R15/R14</f>
        <v>6.3528421908940147E-2</v>
      </c>
    </row>
    <row r="17" spans="2:19" ht="16.5" customHeight="1" x14ac:dyDescent="0.3">
      <c r="B17" s="127" t="s">
        <v>264</v>
      </c>
      <c r="C17" s="229" t="s">
        <v>629</v>
      </c>
      <c r="D17" s="127" t="s">
        <v>695</v>
      </c>
      <c r="E17" s="438">
        <f>Comps!G32</f>
        <v>27872</v>
      </c>
      <c r="F17" s="438">
        <f>Comps!F32</f>
        <v>1415764.0500702399</v>
      </c>
      <c r="G17" s="128">
        <f t="shared" si="0"/>
        <v>1.9686896272452455E-2</v>
      </c>
      <c r="H17" s="128">
        <f t="shared" si="1"/>
        <v>1.930680520110584E-2</v>
      </c>
      <c r="I17" s="298">
        <v>0.32200000000000001</v>
      </c>
      <c r="J17" s="129">
        <v>0.99927999999999995</v>
      </c>
      <c r="K17" s="130">
        <f t="shared" si="2"/>
        <v>0.98611758288379436</v>
      </c>
    </row>
    <row r="18" spans="2:19" ht="16.5" customHeight="1" x14ac:dyDescent="0.3">
      <c r="B18" s="127" t="s">
        <v>245</v>
      </c>
      <c r="C18" s="229" t="s">
        <v>630</v>
      </c>
      <c r="D18" s="127" t="s">
        <v>695</v>
      </c>
      <c r="E18" s="438">
        <f>Comps!G33</f>
        <v>11177</v>
      </c>
      <c r="F18" s="438">
        <f>Comps!F33</f>
        <v>857349.60827000008</v>
      </c>
      <c r="G18" s="128">
        <f t="shared" si="0"/>
        <v>1.3036688758222529E-2</v>
      </c>
      <c r="H18" s="128">
        <f t="shared" si="1"/>
        <v>1.2868920645117864E-2</v>
      </c>
      <c r="I18" s="298">
        <v>0.32200000000000001</v>
      </c>
      <c r="J18" s="129">
        <v>1.25265</v>
      </c>
      <c r="K18" s="130">
        <f t="shared" si="2"/>
        <v>1.2416749899999879</v>
      </c>
      <c r="M18" s="496" t="s">
        <v>270</v>
      </c>
      <c r="N18" s="106"/>
      <c r="O18" s="106"/>
      <c r="P18" s="106"/>
      <c r="Q18" s="106"/>
      <c r="R18" s="106"/>
    </row>
    <row r="19" spans="2:19" ht="16.5" customHeight="1" x14ac:dyDescent="0.3">
      <c r="B19" s="127" t="s">
        <v>244</v>
      </c>
      <c r="C19" s="229" t="s">
        <v>631</v>
      </c>
      <c r="D19" s="127" t="s">
        <v>695</v>
      </c>
      <c r="E19" s="438">
        <f>Comps!G34</f>
        <v>2644.4559999999997</v>
      </c>
      <c r="F19" s="438">
        <f>Comps!F34</f>
        <v>58620.605461727697</v>
      </c>
      <c r="G19" s="128">
        <f t="shared" si="0"/>
        <v>4.5111373026102838E-2</v>
      </c>
      <c r="H19" s="128">
        <f t="shared" si="1"/>
        <v>4.3164177704318345E-2</v>
      </c>
      <c r="I19" s="298">
        <v>0.32200000000000001</v>
      </c>
      <c r="J19" s="129">
        <v>0.81044000000000005</v>
      </c>
      <c r="K19" s="130">
        <f t="shared" si="2"/>
        <v>0.78638792358244203</v>
      </c>
      <c r="M19" s="69" t="s">
        <v>312</v>
      </c>
      <c r="Q19" s="434">
        <f>'Control Panel'!F22</f>
        <v>2.9971907651739387E-2</v>
      </c>
      <c r="R19" s="434">
        <f>Q19</f>
        <v>2.9971907651739387E-2</v>
      </c>
    </row>
    <row r="20" spans="2:19" ht="16.5" customHeight="1" x14ac:dyDescent="0.3">
      <c r="B20" s="127" t="s">
        <v>247</v>
      </c>
      <c r="C20" s="229" t="s">
        <v>632</v>
      </c>
      <c r="D20" s="127" t="s">
        <v>695</v>
      </c>
      <c r="E20" s="438">
        <f>Comps!G41</f>
        <v>6413</v>
      </c>
      <c r="F20" s="438">
        <f>Comps!F41</f>
        <v>204522.4</v>
      </c>
      <c r="G20" s="128">
        <f t="shared" si="0"/>
        <v>3.1355978611633736E-2</v>
      </c>
      <c r="H20" s="128">
        <f t="shared" si="1"/>
        <v>3.0402673045870916E-2</v>
      </c>
      <c r="I20" s="298">
        <v>0.32200000000000001</v>
      </c>
      <c r="J20" s="129">
        <v>1.11138</v>
      </c>
      <c r="K20" s="130">
        <f t="shared" si="2"/>
        <v>1.0882446228693741</v>
      </c>
      <c r="M20" s="124" t="s">
        <v>77</v>
      </c>
      <c r="N20" s="124"/>
      <c r="O20" s="124"/>
      <c r="P20" s="124"/>
      <c r="Q20" s="435">
        <f>_TaxRate</f>
        <v>0.32200000000000001</v>
      </c>
      <c r="R20" s="435">
        <f>_TaxRate</f>
        <v>0.32200000000000001</v>
      </c>
    </row>
    <row r="21" spans="2:19" ht="16.5" customHeight="1" x14ac:dyDescent="0.3">
      <c r="B21" s="127" t="s">
        <v>246</v>
      </c>
      <c r="C21" s="229" t="s">
        <v>633</v>
      </c>
      <c r="D21" s="127" t="s">
        <v>695</v>
      </c>
      <c r="E21" s="438">
        <f>Comps!G42</f>
        <v>69299</v>
      </c>
      <c r="F21" s="438">
        <f>Comps!F42</f>
        <v>193280.42</v>
      </c>
      <c r="G21" s="128">
        <f t="shared" si="0"/>
        <v>0.35854123247455688</v>
      </c>
      <c r="H21" s="128">
        <f t="shared" si="1"/>
        <v>0.26391634195855862</v>
      </c>
      <c r="I21" s="298">
        <v>0.32200000000000001</v>
      </c>
      <c r="J21" s="129">
        <v>0.78769</v>
      </c>
      <c r="K21" s="130">
        <f t="shared" si="2"/>
        <v>0.63365435685963967</v>
      </c>
      <c r="M21" s="112" t="s">
        <v>314</v>
      </c>
      <c r="N21" s="112"/>
      <c r="O21" s="112"/>
      <c r="P21" s="112"/>
      <c r="Q21" s="132">
        <f>Q19*(1-Q20)</f>
        <v>2.0320953387879304E-2</v>
      </c>
      <c r="R21" s="132">
        <f>R19*(1-R20)</f>
        <v>2.0320953387879304E-2</v>
      </c>
    </row>
    <row r="22" spans="2:19" ht="16.5" customHeight="1" x14ac:dyDescent="0.3">
      <c r="B22" s="127" t="s">
        <v>290</v>
      </c>
      <c r="C22" s="229" t="s">
        <v>634</v>
      </c>
      <c r="D22" s="127" t="s">
        <v>697</v>
      </c>
      <c r="E22" s="438">
        <f>Comps!G43</f>
        <v>18914.984710000001</v>
      </c>
      <c r="F22" s="438">
        <f>Comps!F43</f>
        <v>147559.42229339117</v>
      </c>
      <c r="G22" s="128">
        <f t="shared" si="0"/>
        <v>0.12818554326128692</v>
      </c>
      <c r="H22" s="128">
        <f t="shared" si="1"/>
        <v>0.11362097664426397</v>
      </c>
      <c r="I22" s="298">
        <v>0.29899999999999999</v>
      </c>
      <c r="J22" s="129">
        <v>0.94703999999999999</v>
      </c>
      <c r="K22" s="130">
        <f t="shared" si="2"/>
        <v>0.86895718781702136</v>
      </c>
    </row>
    <row r="23" spans="2:19" ht="16.5" customHeight="1" x14ac:dyDescent="0.3">
      <c r="B23" s="127" t="s">
        <v>248</v>
      </c>
      <c r="C23" s="229" t="s">
        <v>635</v>
      </c>
      <c r="D23" s="127" t="s">
        <v>695</v>
      </c>
      <c r="E23" s="438">
        <f>Comps!G44</f>
        <v>5878</v>
      </c>
      <c r="F23" s="438">
        <f>Comps!F44</f>
        <v>64159.961759999984</v>
      </c>
      <c r="G23" s="128">
        <f t="shared" si="0"/>
        <v>9.1614767820273113E-2</v>
      </c>
      <c r="H23" s="128">
        <f t="shared" si="1"/>
        <v>8.3925914636725454E-2</v>
      </c>
      <c r="I23" s="298">
        <v>0.32200000000000001</v>
      </c>
      <c r="J23" s="129">
        <v>0.94062999999999997</v>
      </c>
      <c r="K23" s="130">
        <f t="shared" si="2"/>
        <v>0.88561988671752057</v>
      </c>
      <c r="M23" s="496" t="s">
        <v>315</v>
      </c>
      <c r="N23" s="106"/>
      <c r="O23" s="106"/>
      <c r="P23" s="106"/>
      <c r="Q23" s="106"/>
      <c r="R23" s="106"/>
    </row>
    <row r="24" spans="2:19" ht="16.5" customHeight="1" x14ac:dyDescent="0.3">
      <c r="B24" s="127" t="s">
        <v>252</v>
      </c>
      <c r="C24" s="229" t="s">
        <v>636</v>
      </c>
      <c r="D24" s="127" t="s">
        <v>695</v>
      </c>
      <c r="E24" s="438">
        <f>Comps!G51</f>
        <v>18510.826000000001</v>
      </c>
      <c r="F24" s="438">
        <f>Comps!F51</f>
        <v>233754.11953225997</v>
      </c>
      <c r="G24" s="128">
        <f t="shared" si="0"/>
        <v>7.918930385928602E-2</v>
      </c>
      <c r="H24" s="128">
        <f t="shared" si="1"/>
        <v>7.3378510680283213E-2</v>
      </c>
      <c r="I24" s="298">
        <v>0.32200000000000001</v>
      </c>
      <c r="J24" s="129">
        <v>0.82816999999999996</v>
      </c>
      <c r="K24" s="130">
        <f t="shared" si="2"/>
        <v>0.78597094635904929</v>
      </c>
      <c r="M24" s="69" t="s">
        <v>157</v>
      </c>
      <c r="Q24" s="434">
        <f>'Control Panel'!F31</f>
        <v>2.4E-2</v>
      </c>
      <c r="R24" s="434">
        <f>'Control Panel'!G31</f>
        <v>2.4E-2</v>
      </c>
      <c r="S24" s="113"/>
    </row>
    <row r="25" spans="2:19" ht="16.5" customHeight="1" x14ac:dyDescent="0.3">
      <c r="B25" s="127" t="s">
        <v>250</v>
      </c>
      <c r="C25" s="229" t="s">
        <v>637</v>
      </c>
      <c r="D25" s="127" t="s">
        <v>698</v>
      </c>
      <c r="E25" s="438">
        <f>Comps!G52</f>
        <v>743.73089000000004</v>
      </c>
      <c r="F25" s="438">
        <f>Comps!F52</f>
        <v>53986.366357960003</v>
      </c>
      <c r="G25" s="128">
        <f t="shared" si="0"/>
        <v>1.377627242160818E-2</v>
      </c>
      <c r="H25" s="128">
        <f t="shared" si="1"/>
        <v>1.3589065749882652E-2</v>
      </c>
      <c r="I25" s="298">
        <v>0.26400000000000001</v>
      </c>
      <c r="J25" s="129">
        <v>1.6309199999999999</v>
      </c>
      <c r="K25" s="130">
        <f t="shared" si="2"/>
        <v>1.614549538925198</v>
      </c>
      <c r="M25" s="69" t="s">
        <v>266</v>
      </c>
      <c r="Q25" s="434">
        <f>'Control Panel'!F32</f>
        <v>4.5600000000000002E-2</v>
      </c>
      <c r="R25" s="434">
        <f>'Control Panel'!G32</f>
        <v>4.5600000000000002E-2</v>
      </c>
      <c r="S25" s="113"/>
    </row>
    <row r="26" spans="2:19" ht="16.5" customHeight="1" x14ac:dyDescent="0.3">
      <c r="B26" s="127" t="s">
        <v>249</v>
      </c>
      <c r="C26" s="229" t="s">
        <v>638</v>
      </c>
      <c r="D26" s="127" t="s">
        <v>695</v>
      </c>
      <c r="E26" s="438">
        <f>Comps!G53</f>
        <v>438.32499999999999</v>
      </c>
      <c r="F26" s="438">
        <f>Comps!F53</f>
        <v>49187.79402999999</v>
      </c>
      <c r="G26" s="128">
        <f t="shared" si="0"/>
        <v>8.9112554983185946E-3</v>
      </c>
      <c r="H26" s="128">
        <f t="shared" si="1"/>
        <v>8.8325464204650726E-3</v>
      </c>
      <c r="I26" s="298">
        <v>0.32200000000000001</v>
      </c>
      <c r="J26" s="129">
        <v>1.8938600000000001</v>
      </c>
      <c r="K26" s="130">
        <f t="shared" si="2"/>
        <v>1.8824863352735246</v>
      </c>
      <c r="M26" s="69" t="s">
        <v>268</v>
      </c>
      <c r="Q26" s="434">
        <f>'Control Panel'!F33</f>
        <v>0</v>
      </c>
      <c r="R26" s="434">
        <f>'Control Panel'!G33</f>
        <v>0</v>
      </c>
      <c r="S26" s="113"/>
    </row>
    <row r="27" spans="2:19" ht="16.5" customHeight="1" x14ac:dyDescent="0.3">
      <c r="B27" s="133" t="s">
        <v>251</v>
      </c>
      <c r="C27" s="229" t="s">
        <v>639</v>
      </c>
      <c r="D27" s="133" t="s">
        <v>695</v>
      </c>
      <c r="E27" s="439">
        <f>Comps!G54</f>
        <v>8968</v>
      </c>
      <c r="F27" s="439">
        <f>Comps!F54</f>
        <v>25372.590199999999</v>
      </c>
      <c r="G27" s="134">
        <f t="shared" si="0"/>
        <v>0.35345228568741083</v>
      </c>
      <c r="H27" s="134">
        <f t="shared" si="1"/>
        <v>0.26114868579049644</v>
      </c>
      <c r="I27" s="299">
        <v>0.32200000000000001</v>
      </c>
      <c r="J27" s="135">
        <v>1.1033599999999999</v>
      </c>
      <c r="K27" s="136">
        <f t="shared" si="2"/>
        <v>0.89006439105600643</v>
      </c>
      <c r="M27" s="69" t="s">
        <v>155</v>
      </c>
      <c r="Q27" s="434">
        <f>'Control Panel'!F34</f>
        <v>0</v>
      </c>
      <c r="R27" s="434">
        <f>'Control Panel'!G34</f>
        <v>0</v>
      </c>
      <c r="S27" s="113"/>
    </row>
    <row r="28" spans="2:19" ht="16.5" customHeight="1" x14ac:dyDescent="0.3">
      <c r="B28" s="126"/>
      <c r="C28" s="391" t="s">
        <v>156</v>
      </c>
      <c r="D28" s="138"/>
      <c r="E28" s="138"/>
      <c r="F28" s="138"/>
      <c r="G28" s="139">
        <f>AVERAGE(G10:G27)</f>
        <v>0.11285266645340612</v>
      </c>
      <c r="H28" s="139">
        <f t="shared" ref="H28:J28" si="3">AVERAGE(H10:H27)</f>
        <v>9.3521981825792633E-2</v>
      </c>
      <c r="I28" s="139">
        <f t="shared" si="3"/>
        <v>0.31350000000000006</v>
      </c>
      <c r="J28" s="583">
        <f t="shared" si="3"/>
        <v>1.0986</v>
      </c>
      <c r="K28" s="140">
        <f>AVERAGE(K10:K27)</f>
        <v>1.0329325606921527</v>
      </c>
      <c r="M28" s="69" t="s">
        <v>269</v>
      </c>
      <c r="Q28" s="434">
        <f>'Control Panel'!F35</f>
        <v>0.01</v>
      </c>
      <c r="R28" s="434">
        <f>'Control Panel'!G35</f>
        <v>0.02</v>
      </c>
      <c r="S28" s="113"/>
    </row>
    <row r="29" spans="2:19" ht="16.5" customHeight="1" x14ac:dyDescent="0.3">
      <c r="B29" s="126"/>
      <c r="C29" s="137" t="s">
        <v>165</v>
      </c>
      <c r="D29" s="138"/>
      <c r="E29" s="138"/>
      <c r="F29" s="138"/>
      <c r="G29" s="139">
        <f>MEDIAN(G10:G27)</f>
        <v>8.5402035839779566E-2</v>
      </c>
      <c r="H29" s="139">
        <f t="shared" ref="H29:J29" si="4">MEDIAN(H10:H27)</f>
        <v>7.8652212658504334E-2</v>
      </c>
      <c r="I29" s="139">
        <f t="shared" si="4"/>
        <v>0.32200000000000001</v>
      </c>
      <c r="J29" s="583">
        <f t="shared" si="4"/>
        <v>1.0051299999999999</v>
      </c>
      <c r="K29" s="140">
        <f>MEDIAN(K10:K27)</f>
        <v>0.91090285594474274</v>
      </c>
      <c r="M29" s="124" t="s">
        <v>267</v>
      </c>
      <c r="N29" s="124"/>
      <c r="O29" s="124"/>
      <c r="P29" s="124"/>
      <c r="Q29" s="575">
        <f>$K$29*(1+(1-_TaxRate)*Q12)</f>
        <v>0.94340770522529727</v>
      </c>
      <c r="R29" s="575">
        <f>$K$29*(1+(1-_TaxRate)*R12)</f>
        <v>0.97952420442591326</v>
      </c>
    </row>
    <row r="30" spans="2:19" ht="16.5" customHeight="1" x14ac:dyDescent="0.3">
      <c r="M30" s="112" t="s">
        <v>315</v>
      </c>
      <c r="N30" s="112"/>
      <c r="O30" s="112"/>
      <c r="P30" s="112"/>
      <c r="Q30" s="141">
        <f>Q24+Q26+Q27+Q28+(Q29*Q25)</f>
        <v>7.7019391358273556E-2</v>
      </c>
      <c r="R30" s="141">
        <f>R24+R26+R27+R28+(R29*R25)</f>
        <v>8.8666303721821646E-2</v>
      </c>
    </row>
    <row r="31" spans="2:19" ht="16.5" customHeight="1" x14ac:dyDescent="0.3">
      <c r="C31" s="112" t="s">
        <v>159</v>
      </c>
      <c r="D31" s="297"/>
      <c r="E31" s="297"/>
      <c r="F31" s="297"/>
      <c r="G31" s="297"/>
      <c r="H31" s="297"/>
      <c r="I31" s="297"/>
      <c r="J31" s="297"/>
      <c r="K31" s="297"/>
    </row>
    <row r="32" spans="2:19" ht="16.5" customHeight="1" x14ac:dyDescent="0.3">
      <c r="C32" s="170" t="s">
        <v>605</v>
      </c>
      <c r="K32" s="151"/>
      <c r="M32" s="142" t="s">
        <v>158</v>
      </c>
      <c r="N32" s="142"/>
      <c r="O32" s="142"/>
      <c r="P32" s="142"/>
      <c r="Q32" s="233">
        <f>(Q30*Q11)+(Q21*Q10)</f>
        <v>7.4184469459753835E-2</v>
      </c>
      <c r="R32" s="233">
        <f>(R30*R11)+(R21*R10)</f>
        <v>8.1831768688427411E-2</v>
      </c>
    </row>
    <row r="33" spans="11:18" ht="16.5" customHeight="1" thickBot="1" x14ac:dyDescent="0.35">
      <c r="K33" s="296"/>
      <c r="M33" s="231" t="s">
        <v>271</v>
      </c>
      <c r="N33" s="231"/>
      <c r="O33" s="231"/>
      <c r="P33" s="231"/>
      <c r="Q33" s="231"/>
      <c r="R33" s="232">
        <f>ROUND(AVERAGE(Q32:R32),2)</f>
        <v>0.08</v>
      </c>
    </row>
  </sheetData>
  <pageMargins left="0.7" right="0.7" top="0.75" bottom="0.75" header="0.3" footer="0.3"/>
  <pageSetup scale="4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98EF-E30B-4F07-A14C-68BDA322C5BA}">
  <dimension ref="A1:Q75"/>
  <sheetViews>
    <sheetView showGridLines="0" topLeftCell="A33" zoomScale="85" zoomScaleNormal="85" workbookViewId="0">
      <selection activeCell="J56" sqref="J56"/>
    </sheetView>
  </sheetViews>
  <sheetFormatPr defaultColWidth="10.75" defaultRowHeight="13.8" outlineLevelRow="1" x14ac:dyDescent="0.25"/>
  <cols>
    <col min="1" max="1" width="3.375" customWidth="1"/>
    <col min="2" max="2" width="30.75" customWidth="1"/>
    <col min="5" max="5" width="1.75" customWidth="1"/>
    <col min="9" max="9" width="1.75" customWidth="1"/>
    <col min="10" max="10" width="10.75" customWidth="1"/>
    <col min="11" max="12" width="11" bestFit="1" customWidth="1"/>
    <col min="17" max="17" width="12.375" bestFit="1" customWidth="1"/>
  </cols>
  <sheetData>
    <row r="1" spans="1:13" s="69" customFormat="1" ht="15.6" x14ac:dyDescent="0.3">
      <c r="A1" s="67" t="s">
        <v>76</v>
      </c>
      <c r="B1" s="68"/>
      <c r="C1" s="68"/>
      <c r="D1" s="68"/>
      <c r="E1" s="68"/>
      <c r="F1" s="68"/>
      <c r="G1" s="68"/>
      <c r="H1" s="68"/>
      <c r="I1" s="68"/>
      <c r="J1" s="68"/>
      <c r="K1" s="68"/>
      <c r="L1" s="68"/>
    </row>
    <row r="2" spans="1:13" s="53" customFormat="1" ht="18" x14ac:dyDescent="0.25">
      <c r="A2" s="70" t="s">
        <v>358</v>
      </c>
      <c r="B2" s="70"/>
      <c r="C2" s="70"/>
      <c r="D2" s="70"/>
      <c r="E2" s="70"/>
      <c r="F2" s="70"/>
      <c r="G2" s="70"/>
      <c r="H2" s="70"/>
      <c r="I2" s="70"/>
      <c r="J2" s="70"/>
      <c r="K2" s="70"/>
      <c r="L2" s="70"/>
    </row>
    <row r="3" spans="1:13" s="69" customFormat="1" ht="15.6" x14ac:dyDescent="0.3">
      <c r="A3" s="66" t="s">
        <v>214</v>
      </c>
      <c r="B3" s="71"/>
      <c r="C3" s="72"/>
      <c r="D3" s="71"/>
      <c r="E3" s="71"/>
      <c r="F3" s="72"/>
      <c r="G3" s="72"/>
      <c r="H3" s="72"/>
      <c r="I3" s="72"/>
      <c r="J3" s="72"/>
      <c r="K3" s="72"/>
      <c r="L3" s="72"/>
    </row>
    <row r="6" spans="1:13" x14ac:dyDescent="0.25">
      <c r="D6" s="63" t="s">
        <v>338</v>
      </c>
      <c r="E6" s="62"/>
      <c r="F6" s="61" t="s">
        <v>359</v>
      </c>
      <c r="G6" s="61"/>
      <c r="H6" s="61"/>
      <c r="I6" s="62"/>
      <c r="J6" s="61" t="s">
        <v>361</v>
      </c>
      <c r="K6" s="61"/>
      <c r="L6" s="61"/>
    </row>
    <row r="7" spans="1:13" x14ac:dyDescent="0.25">
      <c r="D7" s="63" t="s">
        <v>119</v>
      </c>
      <c r="E7" s="63"/>
      <c r="F7" s="63" t="s">
        <v>180</v>
      </c>
      <c r="G7" s="63" t="s">
        <v>255</v>
      </c>
      <c r="H7" s="63" t="s">
        <v>256</v>
      </c>
      <c r="I7" s="63"/>
      <c r="J7" s="63" t="s">
        <v>180</v>
      </c>
      <c r="K7" s="63" t="s">
        <v>255</v>
      </c>
      <c r="L7" s="63" t="s">
        <v>256</v>
      </c>
    </row>
    <row r="8" spans="1:13" ht="5.25" customHeight="1" x14ac:dyDescent="0.25">
      <c r="F8" s="47"/>
      <c r="G8" s="47"/>
      <c r="H8" s="47"/>
      <c r="J8" s="47"/>
      <c r="K8" s="47"/>
      <c r="L8" s="47"/>
    </row>
    <row r="9" spans="1:13" x14ac:dyDescent="0.25">
      <c r="A9" s="289"/>
      <c r="B9" s="218" t="s">
        <v>117</v>
      </c>
      <c r="C9" s="218"/>
      <c r="D9" s="218"/>
      <c r="E9" s="218"/>
      <c r="F9" s="219"/>
      <c r="G9" s="219"/>
      <c r="H9" s="219"/>
      <c r="I9" s="218"/>
      <c r="J9" s="219"/>
      <c r="K9" s="219"/>
      <c r="L9" s="219"/>
      <c r="M9" s="286"/>
    </row>
    <row r="10" spans="1:13" x14ac:dyDescent="0.25">
      <c r="B10" t="s">
        <v>103</v>
      </c>
      <c r="D10" s="440">
        <f>'Financial Statements'!H26</f>
        <v>229381.8774928145</v>
      </c>
      <c r="E10" s="23"/>
      <c r="F10" s="295"/>
      <c r="G10" s="295"/>
      <c r="H10" s="295"/>
      <c r="J10" s="47"/>
      <c r="K10" s="47"/>
      <c r="L10" s="47"/>
    </row>
    <row r="11" spans="1:13" x14ac:dyDescent="0.25">
      <c r="B11" t="s">
        <v>104</v>
      </c>
      <c r="D11" s="440">
        <f>'Financial Statements'!H27</f>
        <v>16835.512500000001</v>
      </c>
      <c r="E11" s="23"/>
      <c r="F11" s="47"/>
      <c r="G11" s="47"/>
      <c r="H11" s="47"/>
      <c r="J11" s="47"/>
      <c r="K11" s="47"/>
      <c r="L11" s="47"/>
    </row>
    <row r="12" spans="1:13" s="1" customFormat="1" x14ac:dyDescent="0.25">
      <c r="B12" s="1" t="s">
        <v>360</v>
      </c>
      <c r="D12" s="336">
        <f>SUM(D10:D11)</f>
        <v>246217.38999281451</v>
      </c>
      <c r="E12" s="41"/>
      <c r="F12" s="441">
        <f>Comps!U19</f>
        <v>0.75849072042773957</v>
      </c>
      <c r="G12" s="441">
        <f>Comps!U17</f>
        <v>1.5659958191304209</v>
      </c>
      <c r="H12" s="441">
        <f>Comps!U20</f>
        <v>2.6684399313891571</v>
      </c>
      <c r="J12" s="224">
        <f>$D12*F12</f>
        <v>186753.60551748759</v>
      </c>
      <c r="K12" s="224">
        <f t="shared" ref="K12:L12" si="0">$D12*G12</f>
        <v>385575.40332595183</v>
      </c>
      <c r="L12" s="224">
        <f t="shared" si="0"/>
        <v>657016.31525924325</v>
      </c>
    </row>
    <row r="13" spans="1:13" x14ac:dyDescent="0.25">
      <c r="D13" s="220"/>
      <c r="F13" s="222"/>
      <c r="G13" s="222"/>
      <c r="H13" s="222"/>
      <c r="J13" s="220"/>
      <c r="K13" s="220"/>
      <c r="L13" s="220"/>
    </row>
    <row r="14" spans="1:13" x14ac:dyDescent="0.25">
      <c r="B14" s="218" t="s">
        <v>118</v>
      </c>
      <c r="C14" s="218"/>
      <c r="D14" s="221"/>
      <c r="E14" s="218"/>
      <c r="F14" s="223"/>
      <c r="G14" s="223"/>
      <c r="H14" s="223"/>
      <c r="I14" s="218"/>
      <c r="J14" s="221"/>
      <c r="K14" s="221"/>
      <c r="L14" s="221"/>
    </row>
    <row r="15" spans="1:13" x14ac:dyDescent="0.25">
      <c r="B15" t="s">
        <v>105</v>
      </c>
      <c r="D15" s="440">
        <f>'Financial Statements'!H28</f>
        <v>102814.15373594449</v>
      </c>
      <c r="F15" s="222"/>
      <c r="G15" s="222"/>
      <c r="H15" s="222"/>
      <c r="J15" s="220"/>
      <c r="K15" s="220"/>
      <c r="L15" s="220"/>
    </row>
    <row r="16" spans="1:13" s="1" customFormat="1" x14ac:dyDescent="0.25">
      <c r="B16" s="1" t="s">
        <v>362</v>
      </c>
      <c r="D16" s="336">
        <f>SUM(D15)</f>
        <v>102814.15373594449</v>
      </c>
      <c r="F16" s="441">
        <f>Comps!U28</f>
        <v>4.1567456161423113</v>
      </c>
      <c r="G16" s="441">
        <f>Comps!U26</f>
        <v>7.913264267383286</v>
      </c>
      <c r="H16" s="441">
        <f>Comps!U29</f>
        <v>13.71726054595795</v>
      </c>
      <c r="J16" s="224">
        <f>$D16*F16</f>
        <v>427372.28281926893</v>
      </c>
      <c r="K16" s="224">
        <f t="shared" ref="K16" si="1">$D16*G16</f>
        <v>813595.56893990131</v>
      </c>
      <c r="L16" s="224">
        <f t="shared" ref="L16" si="2">$D16*H16</f>
        <v>1410328.5346081266</v>
      </c>
    </row>
    <row r="17" spans="2:12" x14ac:dyDescent="0.25">
      <c r="D17" s="220"/>
      <c r="F17" s="222"/>
      <c r="G17" s="222"/>
      <c r="H17" s="222"/>
      <c r="J17" s="220"/>
      <c r="K17" s="220"/>
      <c r="L17" s="220"/>
    </row>
    <row r="18" spans="2:12" x14ac:dyDescent="0.25">
      <c r="B18" s="218" t="s">
        <v>115</v>
      </c>
      <c r="C18" s="218"/>
      <c r="D18" s="221"/>
      <c r="E18" s="218"/>
      <c r="F18" s="223"/>
      <c r="G18" s="223"/>
      <c r="H18" s="223"/>
      <c r="I18" s="218"/>
      <c r="J18" s="221"/>
      <c r="K18" s="221"/>
      <c r="L18" s="221"/>
    </row>
    <row r="19" spans="2:12" x14ac:dyDescent="0.25">
      <c r="B19" t="s">
        <v>108</v>
      </c>
      <c r="D19" s="440">
        <f>'Financial Statements'!H31</f>
        <v>32177.665001113543</v>
      </c>
      <c r="F19" s="222"/>
      <c r="G19" s="222"/>
      <c r="H19" s="222"/>
      <c r="J19" s="220"/>
      <c r="K19" s="220"/>
      <c r="L19" s="220"/>
    </row>
    <row r="20" spans="2:12" s="1" customFormat="1" x14ac:dyDescent="0.25">
      <c r="B20" s="1" t="s">
        <v>364</v>
      </c>
      <c r="D20" s="336">
        <f>SUM(D19)</f>
        <v>32177.665001113543</v>
      </c>
      <c r="F20" s="441">
        <f>Comps!U37</f>
        <v>6.2847710010592825</v>
      </c>
      <c r="G20" s="441">
        <f>Comps!U35</f>
        <v>8.8375400622801763</v>
      </c>
      <c r="H20" s="441">
        <f>Comps!U38</f>
        <v>12.322375194948316</v>
      </c>
      <c r="J20" s="224">
        <f>$D20*F20</f>
        <v>202229.25588079859</v>
      </c>
      <c r="K20" s="224">
        <f t="shared" ref="K20" si="3">$D20*G20</f>
        <v>284371.40355797164</v>
      </c>
      <c r="L20" s="224">
        <f t="shared" ref="L20" si="4">$D20*H20</f>
        <v>396505.26104107808</v>
      </c>
    </row>
    <row r="21" spans="2:12" x14ac:dyDescent="0.25">
      <c r="D21" s="220"/>
      <c r="F21" s="222"/>
      <c r="G21" s="222"/>
      <c r="H21" s="222"/>
      <c r="J21" s="220"/>
      <c r="K21" s="220"/>
      <c r="L21" s="220"/>
    </row>
    <row r="22" spans="2:12" x14ac:dyDescent="0.25">
      <c r="B22" s="218" t="s">
        <v>116</v>
      </c>
      <c r="C22" s="218"/>
      <c r="D22" s="221"/>
      <c r="E22" s="218"/>
      <c r="F22" s="223"/>
      <c r="G22" s="223"/>
      <c r="H22" s="223"/>
      <c r="I22" s="218"/>
      <c r="J22" s="221"/>
      <c r="K22" s="221"/>
      <c r="L22" s="221"/>
    </row>
    <row r="23" spans="2:12" x14ac:dyDescent="0.25">
      <c r="B23" t="s">
        <v>107</v>
      </c>
      <c r="D23" s="440">
        <f>'Financial Statements'!H30</f>
        <v>58631.16690344744</v>
      </c>
      <c r="F23" s="222"/>
      <c r="G23" s="222"/>
      <c r="H23" s="222"/>
      <c r="J23" s="220"/>
      <c r="K23" s="220"/>
      <c r="L23" s="220"/>
    </row>
    <row r="24" spans="2:12" s="1" customFormat="1" x14ac:dyDescent="0.25">
      <c r="B24" s="1" t="s">
        <v>365</v>
      </c>
      <c r="D24" s="336">
        <f>SUM(D23)</f>
        <v>58631.16690344744</v>
      </c>
      <c r="F24" s="441">
        <f>Comps!U47</f>
        <v>4.8754736374204439</v>
      </c>
      <c r="G24" s="441">
        <f>Comps!U45</f>
        <v>6.5395421500994555</v>
      </c>
      <c r="H24" s="441">
        <f>Comps!U48</f>
        <v>9.6957528747698376</v>
      </c>
      <c r="J24" s="224">
        <f>$D24*F24</f>
        <v>285854.70856895606</v>
      </c>
      <c r="K24" s="224">
        <f t="shared" ref="K24" si="5">$D24*G24</f>
        <v>383420.98727461073</v>
      </c>
      <c r="L24" s="224">
        <f t="shared" ref="L24" si="6">$D24*H24</f>
        <v>568473.30505521072</v>
      </c>
    </row>
    <row r="25" spans="2:12" s="1" customFormat="1" x14ac:dyDescent="0.25">
      <c r="D25" s="224"/>
      <c r="F25" s="225"/>
      <c r="G25" s="225"/>
      <c r="H25" s="225"/>
      <c r="J25" s="224"/>
      <c r="K25" s="224"/>
      <c r="L25" s="224"/>
    </row>
    <row r="26" spans="2:12" x14ac:dyDescent="0.25">
      <c r="B26" s="218" t="s">
        <v>168</v>
      </c>
      <c r="C26" s="218"/>
      <c r="D26" s="221"/>
      <c r="E26" s="218"/>
      <c r="F26" s="223"/>
      <c r="G26" s="223"/>
      <c r="H26" s="223"/>
      <c r="I26" s="218"/>
      <c r="J26" s="221"/>
      <c r="K26" s="221"/>
      <c r="L26" s="221"/>
    </row>
    <row r="27" spans="2:12" x14ac:dyDescent="0.25">
      <c r="B27" t="s">
        <v>254</v>
      </c>
      <c r="D27" s="440">
        <f>'Financial Statements'!H29</f>
        <v>32985.793530058021</v>
      </c>
      <c r="F27" s="222"/>
      <c r="G27" s="222"/>
      <c r="H27" s="222"/>
      <c r="J27" s="220"/>
      <c r="K27" s="220"/>
      <c r="L27" s="220"/>
    </row>
    <row r="28" spans="2:12" s="1" customFormat="1" x14ac:dyDescent="0.25">
      <c r="B28" s="1" t="s">
        <v>363</v>
      </c>
      <c r="D28" s="336">
        <f>SUM(D27)</f>
        <v>32985.793530058021</v>
      </c>
      <c r="F28" s="441">
        <f>Comps!U57</f>
        <v>4.0762518134943164</v>
      </c>
      <c r="G28" s="441">
        <f>Comps!U55</f>
        <v>9.0238301078619276</v>
      </c>
      <c r="H28" s="441">
        <f>Comps!U58</f>
        <v>19.184401591358139</v>
      </c>
      <c r="J28" s="224">
        <f>$D28*F28</f>
        <v>134458.40069644811</v>
      </c>
      <c r="K28" s="224">
        <f t="shared" ref="K28" si="7">$D28*G28</f>
        <v>297658.19678825478</v>
      </c>
      <c r="L28" s="224">
        <f t="shared" ref="L28" si="8">$D28*H28</f>
        <v>632812.70989025605</v>
      </c>
    </row>
    <row r="29" spans="2:12" x14ac:dyDescent="0.25">
      <c r="D29" s="220"/>
      <c r="F29" s="222"/>
      <c r="G29" s="222"/>
      <c r="H29" s="222"/>
      <c r="J29" s="220"/>
      <c r="K29" s="220"/>
      <c r="L29" s="220"/>
    </row>
    <row r="30" spans="2:12" ht="5.25" customHeight="1" x14ac:dyDescent="0.25">
      <c r="D30" s="220"/>
      <c r="F30" s="222"/>
      <c r="G30" s="222"/>
      <c r="H30" s="222"/>
      <c r="J30" s="220"/>
      <c r="K30" s="220"/>
      <c r="L30" s="220"/>
    </row>
    <row r="31" spans="2:12" s="1" customFormat="1" x14ac:dyDescent="0.25">
      <c r="B31" s="226" t="s">
        <v>366</v>
      </c>
      <c r="C31" s="226"/>
      <c r="D31" s="227">
        <f>D12+D16+D20+D24+D28</f>
        <v>472826.16916337796</v>
      </c>
      <c r="E31" s="226"/>
      <c r="F31" s="228">
        <f>J31/$D$31</f>
        <v>2.6154818284933952</v>
      </c>
      <c r="G31" s="228">
        <f t="shared" ref="G31:H31" si="9">K31/$D$31</f>
        <v>4.5780493996700464</v>
      </c>
      <c r="H31" s="228">
        <f t="shared" si="9"/>
        <v>7.7515509184676343</v>
      </c>
      <c r="I31" s="226"/>
      <c r="J31" s="227">
        <f>J12+J16+J20+J24+J28</f>
        <v>1236668.2534829592</v>
      </c>
      <c r="K31" s="227">
        <f t="shared" ref="K31:L31" si="10">K12+K16+K20+K24+K28</f>
        <v>2164621.5598866902</v>
      </c>
      <c r="L31" s="227">
        <f t="shared" si="10"/>
        <v>3665136.1258539152</v>
      </c>
    </row>
    <row r="32" spans="2:12" ht="5.25" customHeight="1" x14ac:dyDescent="0.25">
      <c r="J32" s="220"/>
      <c r="K32" s="220"/>
      <c r="L32" s="220"/>
    </row>
    <row r="33" spans="2:12" x14ac:dyDescent="0.25">
      <c r="B33" s="76" t="s">
        <v>263</v>
      </c>
      <c r="C33" s="76"/>
      <c r="D33" s="76"/>
      <c r="E33" s="76"/>
      <c r="F33" s="76"/>
      <c r="G33" s="76"/>
      <c r="H33" s="76"/>
      <c r="I33" s="76"/>
      <c r="J33" s="383">
        <f>-Comps!$I$10</f>
        <v>-59107</v>
      </c>
      <c r="K33" s="383">
        <f>-Comps!$I$10</f>
        <v>-59107</v>
      </c>
      <c r="L33" s="383">
        <f>-Comps!$I$10</f>
        <v>-59107</v>
      </c>
    </row>
    <row r="34" spans="2:12" x14ac:dyDescent="0.25">
      <c r="B34" s="226" t="s">
        <v>367</v>
      </c>
      <c r="C34" s="226"/>
      <c r="D34" s="226"/>
      <c r="E34" s="226"/>
      <c r="F34" s="226"/>
      <c r="G34" s="226"/>
      <c r="H34" s="226"/>
      <c r="I34" s="226"/>
      <c r="J34" s="341">
        <f>J31+J33</f>
        <v>1177561.2534829592</v>
      </c>
      <c r="K34" s="341">
        <f t="shared" ref="K34:L34" si="11">K31+K33</f>
        <v>2105514.5598866902</v>
      </c>
      <c r="L34" s="341">
        <f t="shared" si="11"/>
        <v>3606029.1258539152</v>
      </c>
    </row>
    <row r="35" spans="2:12" ht="5.25" customHeight="1" x14ac:dyDescent="0.25">
      <c r="B35" s="1"/>
      <c r="C35" s="1"/>
      <c r="D35" s="1"/>
      <c r="E35" s="1"/>
      <c r="F35" s="1"/>
      <c r="G35" s="1"/>
      <c r="H35" s="1"/>
      <c r="I35" s="1"/>
      <c r="J35" s="224"/>
      <c r="K35" s="224"/>
      <c r="L35" s="224"/>
    </row>
    <row r="36" spans="2:12" x14ac:dyDescent="0.25">
      <c r="B36" s="76" t="s">
        <v>368</v>
      </c>
      <c r="C36" s="76"/>
      <c r="D36" s="76"/>
      <c r="E36" s="76"/>
      <c r="F36" s="76"/>
      <c r="G36" s="76"/>
      <c r="H36" s="76"/>
      <c r="I36" s="76"/>
      <c r="J36" s="442">
        <f>Comps!$E$10</f>
        <v>518.20000000000005</v>
      </c>
      <c r="K36" s="442">
        <f>Comps!$E$10</f>
        <v>518.20000000000005</v>
      </c>
      <c r="L36" s="442">
        <f>Comps!$E$10</f>
        <v>518.20000000000005</v>
      </c>
    </row>
    <row r="37" spans="2:12" s="1" customFormat="1" x14ac:dyDescent="0.25">
      <c r="B37" s="226" t="s">
        <v>369</v>
      </c>
      <c r="C37" s="226"/>
      <c r="D37" s="226"/>
      <c r="E37" s="226"/>
      <c r="F37" s="226"/>
      <c r="G37" s="226"/>
      <c r="H37" s="226"/>
      <c r="I37" s="226"/>
      <c r="J37" s="227">
        <f>J34/J36</f>
        <v>2272.406895953221</v>
      </c>
      <c r="K37" s="227">
        <f t="shared" ref="K37:L37" si="12">K34/K36</f>
        <v>4063.1311460569086</v>
      </c>
      <c r="L37" s="227">
        <f t="shared" si="12"/>
        <v>6958.7594092124946</v>
      </c>
    </row>
    <row r="39" spans="2:12" outlineLevel="1" x14ac:dyDescent="0.25"/>
    <row r="40" spans="2:12" outlineLevel="1" x14ac:dyDescent="0.25"/>
    <row r="41" spans="2:12" outlineLevel="1" x14ac:dyDescent="0.25">
      <c r="D41" s="63" t="str">
        <f>D6</f>
        <v>2021E</v>
      </c>
      <c r="E41" s="62"/>
      <c r="F41" s="61" t="str">
        <f>F6</f>
        <v>Comparable Multiple Range</v>
      </c>
      <c r="G41" s="61"/>
      <c r="H41" s="61"/>
      <c r="I41" s="62"/>
      <c r="J41" s="61" t="str">
        <f>J6</f>
        <v>Implied Enterprise Value</v>
      </c>
      <c r="K41" s="61"/>
      <c r="L41" s="61"/>
    </row>
    <row r="42" spans="2:12" outlineLevel="1" x14ac:dyDescent="0.25">
      <c r="D42" s="63" t="str">
        <f>D7</f>
        <v>Revenue</v>
      </c>
      <c r="E42" s="63"/>
      <c r="F42" s="63" t="str">
        <f>F7</f>
        <v>Low</v>
      </c>
      <c r="G42" s="63" t="str">
        <f>G7</f>
        <v>Mid</v>
      </c>
      <c r="H42" s="63" t="str">
        <f>H7</f>
        <v>High</v>
      </c>
      <c r="I42" s="63"/>
      <c r="J42" s="63" t="str">
        <f>J7</f>
        <v>Low</v>
      </c>
      <c r="K42" s="63" t="str">
        <f>K7</f>
        <v>Mid</v>
      </c>
      <c r="L42" s="63" t="str">
        <f>L7</f>
        <v>High</v>
      </c>
    </row>
    <row r="43" spans="2:12" outlineLevel="1" x14ac:dyDescent="0.25">
      <c r="B43" s="337" t="str">
        <f>B9</f>
        <v>Amazon 1P</v>
      </c>
      <c r="C43" s="337"/>
      <c r="D43" s="338">
        <f>D12</f>
        <v>246217.38999281451</v>
      </c>
      <c r="E43" s="337"/>
      <c r="F43" s="339">
        <f>F12</f>
        <v>0.75849072042773957</v>
      </c>
      <c r="G43" s="339">
        <f>G12</f>
        <v>1.5659958191304209</v>
      </c>
      <c r="H43" s="339">
        <f>H12</f>
        <v>2.6684399313891571</v>
      </c>
      <c r="I43" s="337"/>
      <c r="J43" s="338">
        <f>J12</f>
        <v>186753.60551748759</v>
      </c>
      <c r="K43" s="338">
        <f>K12</f>
        <v>385575.40332595183</v>
      </c>
      <c r="L43" s="338">
        <f>L12</f>
        <v>657016.31525924325</v>
      </c>
    </row>
    <row r="44" spans="2:12" outlineLevel="1" x14ac:dyDescent="0.25">
      <c r="B44" s="337" t="str">
        <f>B14</f>
        <v>Amazon 3P</v>
      </c>
      <c r="C44" s="337"/>
      <c r="D44" s="338">
        <f>D16</f>
        <v>102814.15373594449</v>
      </c>
      <c r="E44" s="337"/>
      <c r="F44" s="339">
        <f>F16</f>
        <v>4.1567456161423113</v>
      </c>
      <c r="G44" s="339">
        <f>G16</f>
        <v>7.913264267383286</v>
      </c>
      <c r="H44" s="339">
        <f>H16</f>
        <v>13.71726054595795</v>
      </c>
      <c r="I44" s="337"/>
      <c r="J44" s="338">
        <f>J16</f>
        <v>427372.28281926893</v>
      </c>
      <c r="K44" s="338">
        <f>K16</f>
        <v>813595.56893990131</v>
      </c>
      <c r="L44" s="338">
        <f>L16</f>
        <v>1410328.5346081266</v>
      </c>
    </row>
    <row r="45" spans="2:12" outlineLevel="1" x14ac:dyDescent="0.25">
      <c r="B45" s="337" t="str">
        <f>B18</f>
        <v>Advertising</v>
      </c>
      <c r="C45" s="337"/>
      <c r="D45" s="338">
        <f>D20</f>
        <v>32177.665001113543</v>
      </c>
      <c r="E45" s="337"/>
      <c r="F45" s="339">
        <f>F20</f>
        <v>6.2847710010592825</v>
      </c>
      <c r="G45" s="339">
        <f>G20</f>
        <v>8.8375400622801763</v>
      </c>
      <c r="H45" s="339">
        <f>H20</f>
        <v>12.322375194948316</v>
      </c>
      <c r="I45" s="337"/>
      <c r="J45" s="338">
        <f>J20</f>
        <v>202229.25588079859</v>
      </c>
      <c r="K45" s="338">
        <f>K20</f>
        <v>284371.40355797164</v>
      </c>
      <c r="L45" s="338">
        <f>L20</f>
        <v>396505.26104107808</v>
      </c>
    </row>
    <row r="46" spans="2:12" outlineLevel="1" x14ac:dyDescent="0.25">
      <c r="B46" s="337" t="str">
        <f>B22</f>
        <v>Cloud</v>
      </c>
      <c r="C46" s="337"/>
      <c r="D46" s="338">
        <f>D24</f>
        <v>58631.16690344744</v>
      </c>
      <c r="E46" s="337"/>
      <c r="F46" s="339">
        <f>F24</f>
        <v>4.8754736374204439</v>
      </c>
      <c r="G46" s="339">
        <f>G24</f>
        <v>6.5395421500994555</v>
      </c>
      <c r="H46" s="339">
        <f>H24</f>
        <v>9.6957528747698376</v>
      </c>
      <c r="I46" s="337"/>
      <c r="J46" s="338">
        <f>J24</f>
        <v>285854.70856895606</v>
      </c>
      <c r="K46" s="338">
        <f>K24</f>
        <v>383420.98727461073</v>
      </c>
      <c r="L46" s="338">
        <f>L24</f>
        <v>568473.30505521072</v>
      </c>
    </row>
    <row r="47" spans="2:12" outlineLevel="1" x14ac:dyDescent="0.25">
      <c r="B47" s="337" t="str">
        <f>B26</f>
        <v>Subscription</v>
      </c>
      <c r="C47" s="337"/>
      <c r="D47" s="338">
        <f>D28</f>
        <v>32985.793530058021</v>
      </c>
      <c r="E47" s="337"/>
      <c r="F47" s="339">
        <f>F28</f>
        <v>4.0762518134943164</v>
      </c>
      <c r="G47" s="339">
        <f>G28</f>
        <v>9.0238301078619276</v>
      </c>
      <c r="H47" s="339">
        <f>H28</f>
        <v>19.184401591358139</v>
      </c>
      <c r="I47" s="337"/>
      <c r="J47" s="338">
        <f>J28</f>
        <v>134458.40069644811</v>
      </c>
      <c r="K47" s="338">
        <f>K28</f>
        <v>297658.19678825478</v>
      </c>
      <c r="L47" s="338">
        <f>L28</f>
        <v>632812.70989025605</v>
      </c>
    </row>
    <row r="48" spans="2:12" outlineLevel="1" x14ac:dyDescent="0.25">
      <c r="B48" s="340" t="s">
        <v>366</v>
      </c>
      <c r="C48" s="340"/>
      <c r="D48" s="341">
        <f>SUM(D43:D47)</f>
        <v>472826.16916337796</v>
      </c>
      <c r="E48" s="340"/>
      <c r="F48" s="342">
        <f>+J48/D48</f>
        <v>2.6154818284933952</v>
      </c>
      <c r="G48" s="342">
        <f>+K48/D48</f>
        <v>4.5780493996700464</v>
      </c>
      <c r="H48" s="342">
        <f>+L48/D48</f>
        <v>7.7515509184676343</v>
      </c>
      <c r="I48" s="340"/>
      <c r="J48" s="341">
        <f>SUM(J43:J47)</f>
        <v>1236668.2534829592</v>
      </c>
      <c r="K48" s="341">
        <f>SUM(K43:K47)</f>
        <v>2164621.5598866902</v>
      </c>
      <c r="L48" s="341">
        <f>SUM(L43:L47)</f>
        <v>3665136.1258539152</v>
      </c>
    </row>
    <row r="49" spans="2:16" ht="5.4" customHeight="1" outlineLevel="1" x14ac:dyDescent="0.25">
      <c r="B49" s="1"/>
      <c r="C49" s="1"/>
      <c r="D49" s="224"/>
      <c r="E49" s="1"/>
      <c r="F49" s="225"/>
      <c r="G49" s="225"/>
      <c r="H49" s="225"/>
      <c r="I49" s="1"/>
      <c r="J49" s="224"/>
      <c r="K49" s="224"/>
      <c r="L49" s="224"/>
    </row>
    <row r="50" spans="2:16" outlineLevel="1" x14ac:dyDescent="0.25">
      <c r="B50" t="str">
        <f>B33</f>
        <v>Less: Net Debt</v>
      </c>
      <c r="J50" s="204">
        <f>J33</f>
        <v>-59107</v>
      </c>
      <c r="K50" s="204">
        <f>K33</f>
        <v>-59107</v>
      </c>
      <c r="L50" s="204">
        <f>L33</f>
        <v>-59107</v>
      </c>
      <c r="M50" s="204"/>
      <c r="N50" s="204"/>
      <c r="O50" s="204"/>
      <c r="P50" s="204"/>
    </row>
    <row r="51" spans="2:16" ht="5.4" customHeight="1" outlineLevel="1" x14ac:dyDescent="0.25">
      <c r="J51" s="376"/>
      <c r="K51" s="376"/>
      <c r="L51" s="376"/>
    </row>
    <row r="52" spans="2:16" outlineLevel="1" x14ac:dyDescent="0.25">
      <c r="B52" s="340" t="str">
        <f>B34</f>
        <v>Total Amazon Implied Equity Value</v>
      </c>
      <c r="C52" s="340"/>
      <c r="D52" s="341"/>
      <c r="E52" s="340"/>
      <c r="F52" s="342"/>
      <c r="G52" s="342"/>
      <c r="H52" s="342"/>
      <c r="I52" s="340"/>
      <c r="J52" s="341">
        <f>J34</f>
        <v>1177561.2534829592</v>
      </c>
      <c r="K52" s="341">
        <f>K34</f>
        <v>2105514.5598866902</v>
      </c>
      <c r="L52" s="341">
        <f>L34</f>
        <v>3606029.1258539152</v>
      </c>
    </row>
    <row r="53" spans="2:16" ht="5.4" customHeight="1" outlineLevel="1" x14ac:dyDescent="0.25">
      <c r="H53" s="225"/>
      <c r="I53" s="225"/>
      <c r="J53" s="377"/>
      <c r="K53" s="378"/>
      <c r="L53" s="378"/>
    </row>
    <row r="54" spans="2:16" outlineLevel="1" x14ac:dyDescent="0.25">
      <c r="B54" t="str">
        <f>B36</f>
        <v>Fully Diluted Shares Outstanding (MM)</v>
      </c>
      <c r="J54" s="378">
        <f>J36</f>
        <v>518.20000000000005</v>
      </c>
      <c r="K54" s="378">
        <f>K36</f>
        <v>518.20000000000005</v>
      </c>
      <c r="L54" s="378">
        <f>L36</f>
        <v>518.20000000000005</v>
      </c>
    </row>
    <row r="55" spans="2:16" ht="5.4" customHeight="1" outlineLevel="1" x14ac:dyDescent="0.25"/>
    <row r="56" spans="2:16" outlineLevel="1" x14ac:dyDescent="0.25">
      <c r="B56" s="340" t="str">
        <f>B37</f>
        <v>Total Amazon Implied Equity Value per Share ($/sh.)</v>
      </c>
      <c r="C56" s="340"/>
      <c r="D56" s="341"/>
      <c r="E56" s="340"/>
      <c r="F56" s="342"/>
      <c r="G56" s="342"/>
      <c r="H56" s="342"/>
      <c r="I56" s="340"/>
      <c r="J56" s="341">
        <f>J37</f>
        <v>2272.406895953221</v>
      </c>
      <c r="K56" s="341">
        <f>K37</f>
        <v>4063.1311460569086</v>
      </c>
      <c r="L56" s="341">
        <f>L37</f>
        <v>6958.7594092124946</v>
      </c>
    </row>
    <row r="58" spans="2:16" ht="15.6" x14ac:dyDescent="0.3">
      <c r="B58" s="148"/>
      <c r="C58" s="184"/>
      <c r="D58" s="184"/>
      <c r="E58" s="184"/>
      <c r="F58" s="184"/>
    </row>
    <row r="59" spans="2:16" ht="15.6" x14ac:dyDescent="0.3">
      <c r="B59" s="69"/>
      <c r="C59" s="69"/>
      <c r="D59" s="69"/>
      <c r="E59" s="69"/>
      <c r="F59" s="69"/>
    </row>
    <row r="60" spans="2:16" ht="15.6" x14ac:dyDescent="0.3">
      <c r="B60" s="69"/>
      <c r="C60" s="69"/>
      <c r="D60" s="69"/>
      <c r="E60" s="69"/>
      <c r="F60" s="69"/>
    </row>
    <row r="61" spans="2:16" ht="15.6" x14ac:dyDescent="0.3">
      <c r="B61" s="69"/>
      <c r="C61" s="69"/>
      <c r="D61" s="69"/>
      <c r="E61" s="69"/>
      <c r="F61" s="69"/>
    </row>
    <row r="62" spans="2:16" ht="15.6" x14ac:dyDescent="0.3">
      <c r="B62" s="69"/>
      <c r="C62" s="69"/>
      <c r="D62" s="69"/>
      <c r="E62" s="69"/>
      <c r="F62" s="69"/>
    </row>
    <row r="63" spans="2:16" ht="15.6" x14ac:dyDescent="0.3">
      <c r="B63" s="69"/>
      <c r="C63" s="69"/>
      <c r="D63" s="69"/>
      <c r="E63" s="69"/>
      <c r="F63" s="69"/>
    </row>
    <row r="64" spans="2:16" ht="15.6" x14ac:dyDescent="0.3">
      <c r="B64" s="69"/>
      <c r="C64" s="69"/>
      <c r="D64" s="69"/>
      <c r="E64" s="69"/>
      <c r="F64" s="69"/>
    </row>
    <row r="65" spans="2:17" ht="15.6" x14ac:dyDescent="0.3">
      <c r="B65" s="69"/>
      <c r="C65" s="69"/>
      <c r="D65" s="69"/>
      <c r="E65" s="69"/>
      <c r="F65" s="69"/>
      <c r="P65" s="185" t="s">
        <v>478</v>
      </c>
      <c r="Q65" s="69"/>
    </row>
    <row r="66" spans="2:17" ht="15.6" x14ac:dyDescent="0.3">
      <c r="B66" s="69"/>
      <c r="C66" s="69"/>
      <c r="D66" s="69"/>
      <c r="E66" s="69"/>
      <c r="F66" s="69"/>
      <c r="P66" s="375" t="s">
        <v>516</v>
      </c>
      <c r="Q66" s="180"/>
    </row>
    <row r="67" spans="2:17" ht="15.6" x14ac:dyDescent="0.3">
      <c r="B67" s="69"/>
      <c r="C67" s="69"/>
      <c r="E67" s="69"/>
      <c r="F67" s="69"/>
      <c r="P67" s="375" t="str">
        <f>B43</f>
        <v>Amazon 1P</v>
      </c>
      <c r="Q67" s="415">
        <f>K43/_RoundBillions</f>
        <v>385.57540332595181</v>
      </c>
    </row>
    <row r="68" spans="2:17" ht="15.6" x14ac:dyDescent="0.3">
      <c r="B68" s="69"/>
      <c r="C68" s="69"/>
      <c r="D68" s="69"/>
      <c r="E68" s="69"/>
      <c r="F68" s="69"/>
      <c r="P68" s="375" t="str">
        <f>B44</f>
        <v>Amazon 3P</v>
      </c>
      <c r="Q68" s="415">
        <f t="shared" ref="Q68:Q71" si="13">K44/_RoundBillions</f>
        <v>813.59556893990134</v>
      </c>
    </row>
    <row r="69" spans="2:17" ht="15.6" x14ac:dyDescent="0.3">
      <c r="B69" s="69"/>
      <c r="C69" s="69"/>
      <c r="D69" s="69"/>
      <c r="E69" s="69"/>
      <c r="F69" s="69"/>
      <c r="P69" s="375" t="str">
        <f>B46</f>
        <v>Cloud</v>
      </c>
      <c r="Q69" s="415">
        <f t="shared" si="13"/>
        <v>284.37140355797163</v>
      </c>
    </row>
    <row r="70" spans="2:17" ht="15.6" x14ac:dyDescent="0.3">
      <c r="B70" s="69"/>
      <c r="C70" s="69"/>
      <c r="D70" s="69"/>
      <c r="E70" s="69"/>
      <c r="F70" s="69"/>
      <c r="P70" s="375" t="str">
        <f>B45</f>
        <v>Advertising</v>
      </c>
      <c r="Q70" s="415">
        <f t="shared" si="13"/>
        <v>383.42098727461075</v>
      </c>
    </row>
    <row r="71" spans="2:17" ht="15.6" x14ac:dyDescent="0.3">
      <c r="B71" s="69"/>
      <c r="C71" s="69"/>
      <c r="D71" s="69"/>
      <c r="E71" s="69"/>
      <c r="F71" s="69"/>
      <c r="P71" s="375" t="str">
        <f>B47</f>
        <v>Subscription</v>
      </c>
      <c r="Q71" s="415">
        <f t="shared" si="13"/>
        <v>297.65819678825477</v>
      </c>
    </row>
    <row r="72" spans="2:17" ht="15.6" x14ac:dyDescent="0.3">
      <c r="B72" s="185"/>
      <c r="C72" s="69"/>
      <c r="D72" s="69"/>
      <c r="E72" s="69"/>
      <c r="F72" s="69"/>
      <c r="P72" s="375" t="s">
        <v>532</v>
      </c>
      <c r="Q72" s="415">
        <f>K48/_RoundBillions</f>
        <v>2164.6215598866902</v>
      </c>
    </row>
    <row r="73" spans="2:17" ht="15.6" x14ac:dyDescent="0.3">
      <c r="B73" s="69"/>
      <c r="C73" s="180"/>
      <c r="D73" s="180"/>
      <c r="E73" s="180"/>
      <c r="F73" s="180"/>
    </row>
    <row r="74" spans="2:17" ht="15.6" x14ac:dyDescent="0.3">
      <c r="B74" s="185"/>
      <c r="C74" s="374"/>
      <c r="D74" s="374"/>
      <c r="E74" s="374"/>
      <c r="F74" s="374"/>
    </row>
    <row r="75" spans="2:17" ht="15.6" x14ac:dyDescent="0.3">
      <c r="B75" s="69"/>
      <c r="C75" s="69"/>
      <c r="D75" s="69"/>
      <c r="E75" s="69"/>
      <c r="F75" s="69"/>
    </row>
  </sheetData>
  <pageMargins left="0.7" right="0.7" top="0.75" bottom="0.75" header="0.3" footer="0.3"/>
  <pageSetup scale="75"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E61B7-0EA3-46EC-B73D-C94EDE61A848}">
  <dimension ref="A1:AE65"/>
  <sheetViews>
    <sheetView showGridLines="0" topLeftCell="B1" zoomScale="70" zoomScaleNormal="70" workbookViewId="0">
      <selection activeCell="F13" sqref="F13"/>
    </sheetView>
  </sheetViews>
  <sheetFormatPr defaultColWidth="11.75" defaultRowHeight="13.8" outlineLevelCol="1" x14ac:dyDescent="0.25"/>
  <cols>
    <col min="1" max="1" width="5.75" style="53" customWidth="1"/>
    <col min="2" max="2" width="30.75" style="53" customWidth="1"/>
    <col min="3" max="3" width="0.875" style="53" customWidth="1"/>
    <col min="4" max="4" width="11.75" style="53"/>
    <col min="5" max="5" width="11.75" style="53" customWidth="1" outlineLevel="1"/>
    <col min="6" max="10" width="11.75" style="53"/>
    <col min="11" max="11" width="0.875" style="53" customWidth="1"/>
    <col min="12" max="19" width="11.75" style="53" customWidth="1" outlineLevel="1"/>
    <col min="20" max="20" width="0.875" style="53" customWidth="1" outlineLevel="1"/>
    <col min="21" max="28" width="11.75" style="53"/>
    <col min="29" max="29" width="0.875" style="53" customWidth="1"/>
    <col min="30" max="16384" width="11.75" style="53"/>
  </cols>
  <sheetData>
    <row r="1" spans="1:31" s="69" customFormat="1" ht="15.6" x14ac:dyDescent="0.3">
      <c r="A1" s="67" t="s">
        <v>76</v>
      </c>
      <c r="B1" s="68"/>
      <c r="C1" s="68"/>
      <c r="D1" s="68"/>
      <c r="E1" s="68"/>
      <c r="F1" s="68"/>
      <c r="G1" s="68"/>
      <c r="H1" s="68" t="s">
        <v>279</v>
      </c>
      <c r="I1" s="68"/>
      <c r="J1" s="68"/>
      <c r="K1" s="68"/>
      <c r="L1" s="68"/>
      <c r="M1" s="68"/>
      <c r="N1" s="68"/>
      <c r="O1" s="68"/>
      <c r="P1" s="68"/>
      <c r="Q1" s="68"/>
      <c r="R1" s="68"/>
      <c r="S1" s="68"/>
      <c r="T1" s="68"/>
      <c r="U1" s="68"/>
      <c r="V1" s="68"/>
      <c r="W1" s="68"/>
      <c r="X1" s="68"/>
      <c r="Y1" s="68"/>
      <c r="Z1" s="68"/>
      <c r="AA1" s="68"/>
      <c r="AB1" s="68"/>
      <c r="AC1" s="68"/>
      <c r="AD1" s="68"/>
      <c r="AE1" s="68"/>
    </row>
    <row r="2" spans="1:31" ht="18" x14ac:dyDescent="0.25">
      <c r="A2" s="70" t="s">
        <v>213</v>
      </c>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row>
    <row r="3" spans="1:31" s="69" customFormat="1" ht="15.6" x14ac:dyDescent="0.3">
      <c r="A3" s="66" t="s">
        <v>214</v>
      </c>
      <c r="B3" s="71"/>
      <c r="C3" s="72"/>
      <c r="D3" s="71"/>
      <c r="E3" s="72"/>
      <c r="F3" s="72"/>
      <c r="G3" s="72"/>
      <c r="H3" s="72"/>
      <c r="I3" s="72"/>
      <c r="J3" s="72"/>
      <c r="K3" s="72"/>
      <c r="L3" s="72"/>
      <c r="M3" s="72"/>
      <c r="N3" s="72"/>
      <c r="O3" s="72"/>
      <c r="P3" s="72"/>
      <c r="Q3" s="72"/>
      <c r="R3" s="72"/>
      <c r="S3" s="72"/>
      <c r="T3" s="72"/>
      <c r="U3" s="72"/>
      <c r="V3" s="72"/>
      <c r="W3" s="72"/>
      <c r="X3" s="72"/>
      <c r="Y3" s="72"/>
      <c r="Z3" s="72"/>
      <c r="AA3" s="72"/>
      <c r="AB3" s="72"/>
      <c r="AC3" s="72"/>
      <c r="AD3" s="72"/>
      <c r="AE3" s="72"/>
    </row>
    <row r="4" spans="1:31" x14ac:dyDescent="0.25">
      <c r="A4" s="45"/>
    </row>
    <row r="5" spans="1:31" s="192" customFormat="1" ht="19.2" x14ac:dyDescent="0.4">
      <c r="A5" s="1"/>
      <c r="D5" s="253" t="s">
        <v>215</v>
      </c>
      <c r="E5" s="253"/>
      <c r="F5" s="253"/>
      <c r="G5" s="253"/>
      <c r="H5" s="253"/>
      <c r="I5" s="253"/>
      <c r="J5" s="253"/>
      <c r="L5" s="253" t="s">
        <v>342</v>
      </c>
      <c r="M5" s="253"/>
      <c r="N5" s="253"/>
      <c r="O5" s="253"/>
      <c r="P5" s="253"/>
      <c r="Q5" s="253"/>
      <c r="R5" s="253"/>
      <c r="S5" s="253"/>
      <c r="U5" s="253" t="s">
        <v>424</v>
      </c>
      <c r="V5" s="253"/>
      <c r="W5" s="253"/>
      <c r="X5" s="253"/>
      <c r="Y5" s="253"/>
      <c r="Z5" s="253"/>
      <c r="AA5" s="253"/>
      <c r="AB5" s="253"/>
      <c r="AD5" s="253" t="s">
        <v>216</v>
      </c>
      <c r="AE5" s="253"/>
    </row>
    <row r="6" spans="1:31" s="193" customFormat="1" ht="15.6" x14ac:dyDescent="0.4">
      <c r="B6" s="194"/>
      <c r="C6" s="194"/>
      <c r="D6" s="195" t="s">
        <v>217</v>
      </c>
      <c r="E6" s="195"/>
      <c r="F6" s="195" t="s">
        <v>174</v>
      </c>
      <c r="H6" s="195"/>
      <c r="I6" s="194"/>
      <c r="J6" s="195" t="s">
        <v>218</v>
      </c>
      <c r="K6" s="194"/>
      <c r="L6" s="253" t="s">
        <v>119</v>
      </c>
      <c r="M6" s="196"/>
      <c r="N6" s="253" t="s">
        <v>219</v>
      </c>
      <c r="O6" s="196"/>
      <c r="P6" s="253" t="s">
        <v>220</v>
      </c>
      <c r="Q6" s="196"/>
      <c r="R6" s="253" t="s">
        <v>221</v>
      </c>
      <c r="S6" s="196"/>
      <c r="T6" s="194"/>
      <c r="U6" s="253" t="s">
        <v>160</v>
      </c>
      <c r="V6" s="196"/>
      <c r="W6" s="253" t="s">
        <v>161</v>
      </c>
      <c r="X6" s="196"/>
      <c r="Y6" s="253" t="s">
        <v>222</v>
      </c>
      <c r="Z6" s="196"/>
      <c r="AA6" s="253" t="s">
        <v>223</v>
      </c>
      <c r="AB6" s="196"/>
      <c r="AC6" s="194"/>
      <c r="AD6" s="253" t="s">
        <v>224</v>
      </c>
      <c r="AE6" s="253"/>
    </row>
    <row r="7" spans="1:31" s="193" customFormat="1" ht="19.2" x14ac:dyDescent="0.4">
      <c r="B7" s="256" t="s">
        <v>162</v>
      </c>
      <c r="C7" s="195"/>
      <c r="D7" s="257" t="s">
        <v>173</v>
      </c>
      <c r="E7" s="257" t="s">
        <v>240</v>
      </c>
      <c r="F7" s="257" t="s">
        <v>262</v>
      </c>
      <c r="G7" s="257" t="s">
        <v>317</v>
      </c>
      <c r="H7" s="257" t="s">
        <v>371</v>
      </c>
      <c r="I7" s="257" t="s">
        <v>225</v>
      </c>
      <c r="J7" s="257" t="s">
        <v>253</v>
      </c>
      <c r="K7" s="195"/>
      <c r="L7" s="257" t="s">
        <v>226</v>
      </c>
      <c r="M7" s="257" t="s">
        <v>227</v>
      </c>
      <c r="N7" s="257" t="s">
        <v>226</v>
      </c>
      <c r="O7" s="257" t="s">
        <v>227</v>
      </c>
      <c r="P7" s="257" t="s">
        <v>226</v>
      </c>
      <c r="Q7" s="257" t="s">
        <v>227</v>
      </c>
      <c r="R7" s="257" t="s">
        <v>226</v>
      </c>
      <c r="S7" s="257" t="s">
        <v>227</v>
      </c>
      <c r="T7" s="195"/>
      <c r="U7" s="257" t="s">
        <v>226</v>
      </c>
      <c r="V7" s="257" t="s">
        <v>227</v>
      </c>
      <c r="W7" s="257" t="s">
        <v>226</v>
      </c>
      <c r="X7" s="257" t="s">
        <v>227</v>
      </c>
      <c r="Y7" s="257" t="s">
        <v>226</v>
      </c>
      <c r="Z7" s="257" t="s">
        <v>227</v>
      </c>
      <c r="AA7" s="257" t="s">
        <v>226</v>
      </c>
      <c r="AB7" s="257" t="s">
        <v>227</v>
      </c>
      <c r="AC7" s="195"/>
      <c r="AD7" s="257" t="s">
        <v>152</v>
      </c>
      <c r="AE7" s="257" t="s">
        <v>228</v>
      </c>
    </row>
    <row r="8" spans="1:31" s="197" customFormat="1" ht="10.199999999999999" x14ac:dyDescent="0.2">
      <c r="C8" s="198"/>
      <c r="D8" s="199" t="s">
        <v>229</v>
      </c>
      <c r="E8" s="200" t="s">
        <v>230</v>
      </c>
      <c r="F8" s="199" t="s">
        <v>231</v>
      </c>
      <c r="G8" s="199"/>
      <c r="H8" s="199"/>
      <c r="I8" s="199" t="s">
        <v>231</v>
      </c>
      <c r="J8" s="199" t="s">
        <v>231</v>
      </c>
      <c r="K8" s="198"/>
      <c r="L8" s="199" t="s">
        <v>231</v>
      </c>
      <c r="M8" s="199" t="s">
        <v>231</v>
      </c>
      <c r="N8" s="199" t="s">
        <v>231</v>
      </c>
      <c r="O8" s="199" t="s">
        <v>231</v>
      </c>
      <c r="P8" s="199" t="s">
        <v>231</v>
      </c>
      <c r="Q8" s="199" t="s">
        <v>231</v>
      </c>
      <c r="R8" s="199" t="s">
        <v>231</v>
      </c>
      <c r="S8" s="199" t="s">
        <v>231</v>
      </c>
      <c r="T8" s="201"/>
      <c r="U8" s="199" t="s">
        <v>232</v>
      </c>
      <c r="V8" s="199" t="s">
        <v>232</v>
      </c>
      <c r="W8" s="199" t="s">
        <v>232</v>
      </c>
      <c r="X8" s="199" t="s">
        <v>232</v>
      </c>
      <c r="Y8" s="199" t="s">
        <v>232</v>
      </c>
      <c r="Z8" s="199" t="s">
        <v>232</v>
      </c>
      <c r="AA8" s="199" t="s">
        <v>232</v>
      </c>
      <c r="AB8" s="199" t="s">
        <v>232</v>
      </c>
      <c r="AC8" s="198"/>
      <c r="AD8" s="199" t="s">
        <v>232</v>
      </c>
      <c r="AE8" s="199" t="s">
        <v>233</v>
      </c>
    </row>
    <row r="9" spans="1:31" s="197" customFormat="1" ht="10.199999999999999" x14ac:dyDescent="0.2">
      <c r="C9" s="198"/>
      <c r="D9" s="199"/>
      <c r="E9" s="200"/>
      <c r="F9" s="199"/>
      <c r="G9" s="199"/>
      <c r="H9" s="199"/>
      <c r="I9" s="199"/>
      <c r="J9" s="199"/>
      <c r="K9" s="198"/>
      <c r="L9" s="199"/>
      <c r="M9" s="199"/>
      <c r="N9" s="199"/>
      <c r="O9" s="199"/>
      <c r="P9" s="199"/>
      <c r="Q9" s="199"/>
      <c r="R9" s="199"/>
      <c r="S9" s="199"/>
      <c r="T9" s="201"/>
      <c r="U9" s="199"/>
      <c r="V9" s="199"/>
      <c r="W9" s="199"/>
      <c r="X9" s="199"/>
      <c r="Y9" s="199"/>
      <c r="Z9" s="199"/>
      <c r="AA9" s="199"/>
      <c r="AB9" s="199"/>
      <c r="AC9" s="198"/>
      <c r="AD9" s="199"/>
      <c r="AE9" s="199"/>
    </row>
    <row r="10" spans="1:31" s="202" customFormat="1" x14ac:dyDescent="0.25">
      <c r="B10" s="203" t="s">
        <v>169</v>
      </c>
      <c r="C10" s="204"/>
      <c r="D10" s="205">
        <v>3074.96</v>
      </c>
      <c r="E10" s="203">
        <v>518.20000000000005</v>
      </c>
      <c r="F10" s="204">
        <v>1593444.2720000001</v>
      </c>
      <c r="G10" s="204">
        <v>101229</v>
      </c>
      <c r="H10" s="204">
        <v>42122</v>
      </c>
      <c r="I10" s="204">
        <v>59107</v>
      </c>
      <c r="J10" s="204">
        <f t="shared" ref="J10" si="0">+F10+I10</f>
        <v>1652551.2720000001</v>
      </c>
      <c r="K10" s="204"/>
      <c r="L10" s="204">
        <v>472903.18890000001</v>
      </c>
      <c r="M10" s="204">
        <v>557294.06279</v>
      </c>
      <c r="N10" s="204">
        <v>72595.857380000001</v>
      </c>
      <c r="O10" s="204">
        <v>90109.997310000006</v>
      </c>
      <c r="P10" s="204">
        <v>24840.682000000001</v>
      </c>
      <c r="Q10" s="204">
        <v>35107.151360000003</v>
      </c>
      <c r="R10" s="204">
        <v>71886.194589999999</v>
      </c>
      <c r="S10" s="204">
        <v>89037.85656</v>
      </c>
      <c r="T10" s="206"/>
      <c r="U10" s="207">
        <f>$J10/L10</f>
        <v>3.4944811343817102</v>
      </c>
      <c r="V10" s="207">
        <f t="shared" ref="V10:X10" si="1">$J10/M10</f>
        <v>2.9653128973360618</v>
      </c>
      <c r="W10" s="207">
        <f t="shared" si="1"/>
        <v>22.763713132414555</v>
      </c>
      <c r="X10" s="207">
        <f t="shared" si="1"/>
        <v>18.339266688853929</v>
      </c>
      <c r="Y10" s="207">
        <f>$F10/P10</f>
        <v>64.146558939082269</v>
      </c>
      <c r="Z10" s="207">
        <f>$F10/Q10</f>
        <v>45.388025239083369</v>
      </c>
      <c r="AA10" s="207">
        <f t="shared" ref="AA10:AB10" si="2">$F10/R10</f>
        <v>22.166207031658097</v>
      </c>
      <c r="AB10" s="207">
        <f t="shared" si="2"/>
        <v>17.896255969798922</v>
      </c>
      <c r="AC10" s="204"/>
      <c r="AD10" s="208">
        <v>1.0837758554237507</v>
      </c>
      <c r="AE10" s="209">
        <v>0.5201019354374643</v>
      </c>
    </row>
    <row r="11" spans="1:31" s="202" customFormat="1" x14ac:dyDescent="0.25">
      <c r="B11" s="203"/>
      <c r="C11" s="204"/>
      <c r="D11" s="205"/>
      <c r="E11" s="203"/>
      <c r="F11" s="204"/>
      <c r="G11" s="204"/>
      <c r="H11" s="204"/>
      <c r="I11" s="204"/>
      <c r="J11" s="204"/>
      <c r="K11" s="204"/>
      <c r="L11" s="204"/>
      <c r="M11" s="204"/>
      <c r="N11" s="204"/>
      <c r="O11" s="204"/>
      <c r="P11" s="204"/>
      <c r="Q11" s="204"/>
      <c r="R11" s="204"/>
      <c r="S11" s="204"/>
      <c r="T11" s="206"/>
      <c r="U11" s="207"/>
      <c r="V11" s="207"/>
      <c r="W11" s="207"/>
      <c r="X11" s="207"/>
      <c r="Y11" s="207"/>
      <c r="Z11" s="207"/>
      <c r="AA11" s="207"/>
      <c r="AB11" s="207"/>
      <c r="AC11" s="204"/>
      <c r="AD11" s="208"/>
      <c r="AE11" s="209"/>
    </row>
    <row r="12" spans="1:31" s="202" customFormat="1" x14ac:dyDescent="0.25">
      <c r="B12" s="497" t="s">
        <v>343</v>
      </c>
      <c r="C12" s="498"/>
      <c r="D12" s="499"/>
      <c r="E12" s="497"/>
      <c r="F12" s="498"/>
      <c r="G12" s="498"/>
      <c r="H12" s="498"/>
      <c r="I12" s="498"/>
      <c r="J12" s="498"/>
      <c r="K12" s="498"/>
      <c r="L12" s="498"/>
      <c r="M12" s="498"/>
      <c r="N12" s="498"/>
      <c r="O12" s="498"/>
      <c r="P12" s="498"/>
      <c r="Q12" s="498"/>
      <c r="R12" s="498"/>
      <c r="S12" s="498"/>
      <c r="T12" s="500"/>
      <c r="U12" s="501"/>
      <c r="V12" s="501"/>
      <c r="W12" s="501"/>
      <c r="X12" s="501"/>
      <c r="Y12" s="501"/>
      <c r="Z12" s="501"/>
      <c r="AA12" s="501"/>
      <c r="AB12" s="501"/>
      <c r="AC12" s="498"/>
      <c r="AD12" s="502"/>
      <c r="AE12" s="503"/>
    </row>
    <row r="13" spans="1:31" s="202" customFormat="1" x14ac:dyDescent="0.25">
      <c r="B13" s="203" t="str">
        <f>+[1]WMT!$B$6</f>
        <v>Walmart Inc.</v>
      </c>
      <c r="C13" s="204"/>
      <c r="D13" s="204">
        <f>+[1]WMT!$E$11</f>
        <v>43.913330000000002</v>
      </c>
      <c r="E13" s="203">
        <f>+[1]WMT!$E$19</f>
        <v>8492.3060000000005</v>
      </c>
      <c r="F13" s="204">
        <f>+D13*E13</f>
        <v>372925.43583898002</v>
      </c>
      <c r="G13" s="204">
        <f>[1]WMT!E29</f>
        <v>63640</v>
      </c>
      <c r="H13" s="204">
        <f>[1]WMT!E23</f>
        <v>17741</v>
      </c>
      <c r="I13" s="204">
        <f>+[1]WMT!$E$31</f>
        <v>45899</v>
      </c>
      <c r="J13" s="204">
        <f>+F13+I13</f>
        <v>418824.43583898002</v>
      </c>
      <c r="K13" s="204"/>
      <c r="L13" s="204">
        <f>+[1]WMT!$H$11</f>
        <v>552181.35774000001</v>
      </c>
      <c r="M13" s="204">
        <f>+[1]WMT!$I$11</f>
        <v>567641.65714000002</v>
      </c>
      <c r="N13" s="204">
        <f>+[1]WMT!$H$12</f>
        <v>35135.367689999999</v>
      </c>
      <c r="O13" s="204">
        <f>+[1]WMT!$I$12</f>
        <v>37013.018450000003</v>
      </c>
      <c r="P13" s="204">
        <f>+[1]WMT!$H$13</f>
        <v>18621.81494</v>
      </c>
      <c r="Q13" s="204">
        <f>+[1]WMT!$I$13</f>
        <v>14288.424999999999</v>
      </c>
      <c r="R13" s="204">
        <f>+[1]WMT!$H$14</f>
        <v>30037.416669999999</v>
      </c>
      <c r="S13" s="204">
        <f>+[1]WMT!$I$14</f>
        <v>27681.727269999999</v>
      </c>
      <c r="T13" s="206"/>
      <c r="U13" s="207">
        <f t="shared" ref="U13:U16" si="3">$J13/L13</f>
        <v>0.75849072042773957</v>
      </c>
      <c r="V13" s="207">
        <f t="shared" ref="V13:V16" si="4">$J13/M13</f>
        <v>0.73783245216565119</v>
      </c>
      <c r="W13" s="207">
        <f t="shared" ref="W13:W16" si="5">$J13/N13</f>
        <v>11.920308890297543</v>
      </c>
      <c r="X13" s="207">
        <f t="shared" ref="X13:X16" si="6">$J13/O13</f>
        <v>11.315597953859394</v>
      </c>
      <c r="Y13" s="207">
        <f t="shared" ref="Y13:Y16" si="7">$F13/P13</f>
        <v>20.026266883252575</v>
      </c>
      <c r="Z13" s="207">
        <f t="shared" ref="Z13:Z16" si="8">$F13/Q13</f>
        <v>26.099828066353012</v>
      </c>
      <c r="AA13" s="207">
        <f t="shared" ref="AA13:AA16" si="9">$F13/R13</f>
        <v>12.415363143110802</v>
      </c>
      <c r="AB13" s="207">
        <f t="shared" ref="AB13:AB16" si="10">$F13/S13</f>
        <v>13.471899069070629</v>
      </c>
      <c r="AC13" s="204"/>
      <c r="AD13" s="208">
        <f>+[1]WMT!$I$23</f>
        <v>0.72705669991203115</v>
      </c>
      <c r="AE13" s="209">
        <f>+[1]WMT!$I$24</f>
        <v>0.42098021445912243</v>
      </c>
    </row>
    <row r="14" spans="1:31" s="202" customFormat="1" x14ac:dyDescent="0.25">
      <c r="B14" s="203" t="str">
        <f>+[1]HD!$B$6</f>
        <v>The Home Depot, Inc.</v>
      </c>
      <c r="C14" s="204"/>
      <c r="D14" s="204">
        <f>+[1]HD!$E$11</f>
        <v>289.10000000000002</v>
      </c>
      <c r="E14" s="203">
        <f>+[1]HD!$E$19</f>
        <v>1080.2231162919404</v>
      </c>
      <c r="F14" s="204">
        <f>+D14*E14</f>
        <v>312292.50292</v>
      </c>
      <c r="G14" s="204">
        <f>[1]HD!E29</f>
        <v>43422</v>
      </c>
      <c r="H14" s="204">
        <f>[1]HD!E23</f>
        <v>7895</v>
      </c>
      <c r="I14" s="204">
        <f>+[1]HD!$E$31</f>
        <v>35527</v>
      </c>
      <c r="J14" s="204">
        <f>+F14+I14</f>
        <v>347819.50292</v>
      </c>
      <c r="K14" s="204"/>
      <c r="L14" s="204">
        <f>+[1]HD!$H$11</f>
        <v>130345.63710000001</v>
      </c>
      <c r="M14" s="204">
        <f>+[1]HD!$I$11</f>
        <v>135501.82561999999</v>
      </c>
      <c r="N14" s="204">
        <f>+[1]HD!$H$12</f>
        <v>20628.049360000001</v>
      </c>
      <c r="O14" s="204">
        <f>+[1]HD!$I$12</f>
        <v>21809.92035</v>
      </c>
      <c r="P14" s="204">
        <f>+[1]HD!$H$13</f>
        <v>12804.15921</v>
      </c>
      <c r="Q14" s="204">
        <f>+[1]HD!$I$13</f>
        <v>13494.422629999999</v>
      </c>
      <c r="R14" s="204">
        <f>+[1]HD!$H$14</f>
        <v>16602.2</v>
      </c>
      <c r="S14" s="204">
        <f>+[1]HD!$I$14</f>
        <v>16511.545450000001</v>
      </c>
      <c r="T14" s="206"/>
      <c r="U14" s="207">
        <f t="shared" si="3"/>
        <v>2.6684399313891571</v>
      </c>
      <c r="V14" s="207">
        <f t="shared" si="4"/>
        <v>2.5668990165152583</v>
      </c>
      <c r="W14" s="207">
        <f t="shared" si="5"/>
        <v>16.861482966705484</v>
      </c>
      <c r="X14" s="207">
        <f t="shared" si="6"/>
        <v>15.947765848672621</v>
      </c>
      <c r="Y14" s="207">
        <f t="shared" si="7"/>
        <v>24.389926569805596</v>
      </c>
      <c r="Z14" s="207">
        <f t="shared" si="8"/>
        <v>23.142338985717689</v>
      </c>
      <c r="AA14" s="207">
        <f t="shared" si="9"/>
        <v>18.810308448277937</v>
      </c>
      <c r="AB14" s="207">
        <f t="shared" si="10"/>
        <v>18.913584065506114</v>
      </c>
      <c r="AC14" s="204"/>
      <c r="AD14" s="208">
        <f>+[1]HD!$I$23</f>
        <v>13.162170354652925</v>
      </c>
      <c r="AE14" s="209">
        <f>+[1]HD!$I$24</f>
        <v>0.92938935382376231</v>
      </c>
    </row>
    <row r="15" spans="1:31" s="202" customFormat="1" x14ac:dyDescent="0.25">
      <c r="B15" s="203" t="str">
        <f>+[1]LOW!$B$6</f>
        <v>Lowe's Companies, Inc.</v>
      </c>
      <c r="C15" s="204"/>
      <c r="D15" s="204">
        <f>+[1]LOW!$E$11</f>
        <v>179.49</v>
      </c>
      <c r="E15" s="203">
        <f>+[1]LOW!$E$19</f>
        <v>735.39225539027245</v>
      </c>
      <c r="F15" s="204">
        <f>+D15*E15</f>
        <v>131995.55592000001</v>
      </c>
      <c r="G15" s="204">
        <f>[1]LOW!E29</f>
        <v>26211</v>
      </c>
      <c r="H15" s="204">
        <f>[1]LOW!E23</f>
        <v>4690</v>
      </c>
      <c r="I15" s="204">
        <f>+[1]LOW!$E$31</f>
        <v>21521</v>
      </c>
      <c r="J15" s="204">
        <f>+F15+I15</f>
        <v>153516.55592000001</v>
      </c>
      <c r="K15" s="204"/>
      <c r="L15" s="204">
        <f>+[1]LOW!$H$11</f>
        <v>88644.389639999994</v>
      </c>
      <c r="M15" s="204">
        <f>+[1]LOW!$I$11</f>
        <v>95796.8177</v>
      </c>
      <c r="N15" s="204">
        <f>+[1]LOW!$H$12</f>
        <v>11134.244769999999</v>
      </c>
      <c r="O15" s="204">
        <f>+[1]LOW!$I$12</f>
        <v>13786.583549999999</v>
      </c>
      <c r="P15" s="204">
        <f>+[1]LOW!$H$13</f>
        <v>6024.8232500000004</v>
      </c>
      <c r="Q15" s="204">
        <f>+[1]LOW!$I$13</f>
        <v>8326.3219300000001</v>
      </c>
      <c r="R15" s="204">
        <f>+[1]LOW!$H$14</f>
        <v>9679.0833299999995</v>
      </c>
      <c r="S15" s="204">
        <f>+[1]LOW!$I$14</f>
        <v>11097.74</v>
      </c>
      <c r="T15" s="206"/>
      <c r="U15" s="207">
        <f t="shared" si="3"/>
        <v>1.7318248401670648</v>
      </c>
      <c r="V15" s="207">
        <f t="shared" si="4"/>
        <v>1.6025225013293944</v>
      </c>
      <c r="W15" s="207">
        <f t="shared" si="5"/>
        <v>13.787783463646635</v>
      </c>
      <c r="X15" s="207">
        <f t="shared" si="6"/>
        <v>11.135213837658862</v>
      </c>
      <c r="Y15" s="207">
        <f t="shared" si="7"/>
        <v>21.908618799729936</v>
      </c>
      <c r="Z15" s="207">
        <f t="shared" si="8"/>
        <v>15.85280475937591</v>
      </c>
      <c r="AA15" s="207">
        <f t="shared" si="9"/>
        <v>13.637195943017057</v>
      </c>
      <c r="AB15" s="207">
        <f t="shared" si="10"/>
        <v>11.893913167906259</v>
      </c>
      <c r="AC15" s="204"/>
      <c r="AD15" s="208">
        <f>+[1]LOW!$I$23</f>
        <v>18.240083507306888</v>
      </c>
      <c r="AE15" s="209">
        <f>+[1]LOW!$I$24</f>
        <v>0.94802517361111116</v>
      </c>
    </row>
    <row r="16" spans="1:31" s="202" customFormat="1" x14ac:dyDescent="0.25">
      <c r="B16" s="507" t="str">
        <f>+[1]TGT!$B$6</f>
        <v>Target Corporation</v>
      </c>
      <c r="C16" s="508"/>
      <c r="D16" s="508">
        <f>+[1]TGT!$E$11</f>
        <v>187.55</v>
      </c>
      <c r="E16" s="507">
        <f>+[1]TGT!$E$19</f>
        <v>510.50993079978679</v>
      </c>
      <c r="F16" s="508">
        <f>+D16*E16</f>
        <v>95746.137521500015</v>
      </c>
      <c r="G16" s="508">
        <f>[1]TGT!E29</f>
        <v>15109</v>
      </c>
      <c r="H16" s="508">
        <f>[1]TGT!E23</f>
        <v>8511</v>
      </c>
      <c r="I16" s="508">
        <f>+[1]TGT!$E$31</f>
        <v>6598</v>
      </c>
      <c r="J16" s="508">
        <f>+F16+I16</f>
        <v>102344.13752150002</v>
      </c>
      <c r="K16" s="508"/>
      <c r="L16" s="508">
        <f>+[1]TGT!$H$11</f>
        <v>92600.040420000005</v>
      </c>
      <c r="M16" s="508">
        <f>+[1]TGT!$I$11</f>
        <v>106336.68332</v>
      </c>
      <c r="N16" s="508">
        <f>+[1]TGT!$H$12</f>
        <v>8872.8074300000007</v>
      </c>
      <c r="O16" s="508">
        <f>+[1]TGT!$I$12</f>
        <v>11294.03363</v>
      </c>
      <c r="P16" s="508">
        <f>+[1]TGT!$H$13</f>
        <v>4417.3888900000002</v>
      </c>
      <c r="Q16" s="508">
        <f>+[1]TGT!$I$13</f>
        <v>6692.8571400000001</v>
      </c>
      <c r="R16" s="508">
        <f>+[1]TGT!$H$14</f>
        <v>7645.15</v>
      </c>
      <c r="S16" s="508">
        <f>+[1]TGT!$I$14</f>
        <v>8391.1749999999993</v>
      </c>
      <c r="T16" s="509"/>
      <c r="U16" s="510">
        <f t="shared" si="3"/>
        <v>1.105227784537721</v>
      </c>
      <c r="V16" s="510">
        <f t="shared" si="4"/>
        <v>0.9624537302288696</v>
      </c>
      <c r="W16" s="510">
        <f t="shared" si="5"/>
        <v>11.534583425699346</v>
      </c>
      <c r="X16" s="510">
        <f t="shared" si="6"/>
        <v>9.0617879204508807</v>
      </c>
      <c r="Y16" s="510">
        <f t="shared" si="7"/>
        <v>21.674826442889888</v>
      </c>
      <c r="Z16" s="510">
        <f t="shared" si="8"/>
        <v>14.305719593097427</v>
      </c>
      <c r="AA16" s="510">
        <f t="shared" si="9"/>
        <v>12.523774879694972</v>
      </c>
      <c r="AB16" s="510">
        <f t="shared" si="10"/>
        <v>11.410337351026527</v>
      </c>
      <c r="AC16" s="508"/>
      <c r="AD16" s="511">
        <f>+[1]TGT!$I$23</f>
        <v>1.0463296398891966</v>
      </c>
      <c r="AE16" s="512">
        <f>+[1]TGT!$I$24</f>
        <v>0.51132018003993362</v>
      </c>
    </row>
    <row r="17" spans="2:31" s="192" customFormat="1" x14ac:dyDescent="0.25">
      <c r="B17" s="504" t="s">
        <v>344</v>
      </c>
      <c r="C17" s="504"/>
      <c r="D17" s="504"/>
      <c r="E17" s="504"/>
      <c r="F17" s="504"/>
      <c r="G17" s="504"/>
      <c r="H17" s="504"/>
      <c r="I17" s="504"/>
      <c r="J17" s="504"/>
      <c r="K17" s="504"/>
      <c r="L17" s="504"/>
      <c r="M17" s="504"/>
      <c r="N17" s="504"/>
      <c r="O17" s="504"/>
      <c r="P17" s="504"/>
      <c r="Q17" s="504"/>
      <c r="R17" s="504"/>
      <c r="S17" s="504"/>
      <c r="T17" s="504"/>
      <c r="U17" s="505">
        <f>AVERAGE(U13:U16)</f>
        <v>1.5659958191304209</v>
      </c>
      <c r="V17" s="505">
        <f t="shared" ref="V17:AE17" si="11">AVERAGE(V13:V16)</f>
        <v>1.4674269250597933</v>
      </c>
      <c r="W17" s="505">
        <f t="shared" si="11"/>
        <v>13.526039686587252</v>
      </c>
      <c r="X17" s="505">
        <f t="shared" si="11"/>
        <v>11.865091390160439</v>
      </c>
      <c r="Y17" s="505">
        <f t="shared" si="11"/>
        <v>21.999909673919497</v>
      </c>
      <c r="Z17" s="505">
        <f t="shared" si="11"/>
        <v>19.850172851136008</v>
      </c>
      <c r="AA17" s="505">
        <f t="shared" si="11"/>
        <v>14.346660603525191</v>
      </c>
      <c r="AB17" s="505">
        <f t="shared" si="11"/>
        <v>13.922433413377384</v>
      </c>
      <c r="AC17" s="505" t="e">
        <f t="shared" si="11"/>
        <v>#DIV/0!</v>
      </c>
      <c r="AD17" s="505">
        <f t="shared" si="11"/>
        <v>8.2939100504402603</v>
      </c>
      <c r="AE17" s="505">
        <f t="shared" si="11"/>
        <v>0.70242873048348242</v>
      </c>
    </row>
    <row r="18" spans="2:31" s="192" customFormat="1" x14ac:dyDescent="0.25">
      <c r="B18" s="504" t="s">
        <v>345</v>
      </c>
      <c r="C18" s="504"/>
      <c r="D18" s="504"/>
      <c r="E18" s="504"/>
      <c r="F18" s="504"/>
      <c r="G18" s="504"/>
      <c r="H18" s="504"/>
      <c r="I18" s="504"/>
      <c r="J18" s="504"/>
      <c r="K18" s="504"/>
      <c r="L18" s="504"/>
      <c r="M18" s="504"/>
      <c r="N18" s="504"/>
      <c r="O18" s="504"/>
      <c r="P18" s="504"/>
      <c r="Q18" s="504"/>
      <c r="R18" s="504"/>
      <c r="S18" s="504"/>
      <c r="T18" s="504"/>
      <c r="U18" s="505">
        <f>MEDIAN(U13:U16)</f>
        <v>1.4185263123523928</v>
      </c>
      <c r="V18" s="505">
        <f t="shared" ref="V18:AE18" si="12">MEDIAN(V13:V16)</f>
        <v>1.2824881157791319</v>
      </c>
      <c r="W18" s="505">
        <f t="shared" si="12"/>
        <v>12.854046176972089</v>
      </c>
      <c r="X18" s="505">
        <f t="shared" si="12"/>
        <v>11.225405895759128</v>
      </c>
      <c r="Y18" s="505">
        <f t="shared" si="12"/>
        <v>21.791722621309912</v>
      </c>
      <c r="Z18" s="505">
        <f t="shared" si="12"/>
        <v>19.4975718725468</v>
      </c>
      <c r="AA18" s="505">
        <f t="shared" si="12"/>
        <v>13.080485411356015</v>
      </c>
      <c r="AB18" s="505">
        <f t="shared" si="12"/>
        <v>12.682906118488443</v>
      </c>
      <c r="AC18" s="505" t="e">
        <f t="shared" si="12"/>
        <v>#NUM!</v>
      </c>
      <c r="AD18" s="505">
        <f t="shared" si="12"/>
        <v>7.1042499972710615</v>
      </c>
      <c r="AE18" s="505">
        <f t="shared" si="12"/>
        <v>0.72035476693184797</v>
      </c>
    </row>
    <row r="19" spans="2:31" s="192" customFormat="1" x14ac:dyDescent="0.25">
      <c r="B19" s="504" t="s">
        <v>519</v>
      </c>
      <c r="C19" s="504"/>
      <c r="D19" s="504"/>
      <c r="E19" s="504"/>
      <c r="F19" s="504"/>
      <c r="G19" s="504"/>
      <c r="H19" s="504"/>
      <c r="I19" s="504"/>
      <c r="J19" s="504"/>
      <c r="K19" s="504"/>
      <c r="L19" s="504"/>
      <c r="M19" s="504"/>
      <c r="N19" s="504"/>
      <c r="O19" s="504"/>
      <c r="P19" s="504"/>
      <c r="Q19" s="504"/>
      <c r="R19" s="504"/>
      <c r="S19" s="504"/>
      <c r="T19" s="504"/>
      <c r="U19" s="505">
        <f>MIN(U13:U16)</f>
        <v>0.75849072042773957</v>
      </c>
      <c r="V19" s="505">
        <f t="shared" ref="V19:AE19" si="13">MIN(V13:V16)</f>
        <v>0.73783245216565119</v>
      </c>
      <c r="W19" s="505">
        <f t="shared" si="13"/>
        <v>11.534583425699346</v>
      </c>
      <c r="X19" s="505">
        <f t="shared" si="13"/>
        <v>9.0617879204508807</v>
      </c>
      <c r="Y19" s="505">
        <f t="shared" si="13"/>
        <v>20.026266883252575</v>
      </c>
      <c r="Z19" s="505">
        <f t="shared" si="13"/>
        <v>14.305719593097427</v>
      </c>
      <c r="AA19" s="505">
        <f t="shared" si="13"/>
        <v>12.415363143110802</v>
      </c>
      <c r="AB19" s="505">
        <f t="shared" si="13"/>
        <v>11.410337351026527</v>
      </c>
      <c r="AC19" s="505">
        <f t="shared" si="13"/>
        <v>0</v>
      </c>
      <c r="AD19" s="505">
        <f t="shared" si="13"/>
        <v>0.72705669991203115</v>
      </c>
      <c r="AE19" s="505">
        <f t="shared" si="13"/>
        <v>0.42098021445912243</v>
      </c>
    </row>
    <row r="20" spans="2:31" s="202" customFormat="1" x14ac:dyDescent="0.25">
      <c r="B20" s="504" t="s">
        <v>520</v>
      </c>
      <c r="C20" s="504"/>
      <c r="D20" s="504"/>
      <c r="E20" s="504"/>
      <c r="F20" s="504"/>
      <c r="G20" s="504"/>
      <c r="H20" s="504"/>
      <c r="I20" s="504"/>
      <c r="J20" s="504"/>
      <c r="K20" s="504"/>
      <c r="L20" s="504"/>
      <c r="M20" s="504"/>
      <c r="N20" s="504"/>
      <c r="O20" s="504"/>
      <c r="P20" s="504"/>
      <c r="Q20" s="504"/>
      <c r="R20" s="504"/>
      <c r="S20" s="504"/>
      <c r="T20" s="504"/>
      <c r="U20" s="505">
        <f>MAX(U13:U16)</f>
        <v>2.6684399313891571</v>
      </c>
      <c r="V20" s="505">
        <f t="shared" ref="V20:AE20" si="14">MAX(V13:V16)</f>
        <v>2.5668990165152583</v>
      </c>
      <c r="W20" s="505">
        <f t="shared" si="14"/>
        <v>16.861482966705484</v>
      </c>
      <c r="X20" s="505">
        <f t="shared" si="14"/>
        <v>15.947765848672621</v>
      </c>
      <c r="Y20" s="505">
        <f t="shared" si="14"/>
        <v>24.389926569805596</v>
      </c>
      <c r="Z20" s="505">
        <f t="shared" si="14"/>
        <v>26.099828066353012</v>
      </c>
      <c r="AA20" s="505">
        <f t="shared" si="14"/>
        <v>18.810308448277937</v>
      </c>
      <c r="AB20" s="505">
        <f t="shared" si="14"/>
        <v>18.913584065506114</v>
      </c>
      <c r="AC20" s="505">
        <f t="shared" si="14"/>
        <v>0</v>
      </c>
      <c r="AD20" s="505">
        <f t="shared" si="14"/>
        <v>18.240083507306888</v>
      </c>
      <c r="AE20" s="505">
        <f t="shared" si="14"/>
        <v>0.94802517361111116</v>
      </c>
    </row>
    <row r="21" spans="2:31" s="202" customFormat="1" x14ac:dyDescent="0.25">
      <c r="B21" s="203"/>
      <c r="C21" s="204"/>
      <c r="D21" s="205"/>
      <c r="E21" s="203"/>
      <c r="F21" s="204"/>
      <c r="G21" s="204"/>
      <c r="H21" s="204"/>
      <c r="I21" s="204"/>
      <c r="J21" s="204"/>
      <c r="K21" s="204"/>
      <c r="L21" s="204"/>
      <c r="M21" s="204"/>
      <c r="N21" s="204"/>
      <c r="O21" s="204"/>
      <c r="P21" s="204"/>
      <c r="Q21" s="204"/>
      <c r="R21" s="204"/>
      <c r="S21" s="204"/>
      <c r="T21" s="206"/>
      <c r="U21" s="207"/>
      <c r="V21" s="207"/>
      <c r="W21" s="207"/>
      <c r="X21" s="207"/>
      <c r="Y21" s="207"/>
      <c r="Z21" s="207"/>
      <c r="AA21" s="207"/>
      <c r="AB21" s="207"/>
      <c r="AC21" s="204"/>
      <c r="AD21" s="208"/>
      <c r="AE21" s="209"/>
    </row>
    <row r="22" spans="2:31" s="202" customFormat="1" x14ac:dyDescent="0.25">
      <c r="B22" s="497" t="s">
        <v>346</v>
      </c>
      <c r="C22" s="498"/>
      <c r="D22" s="499"/>
      <c r="E22" s="497"/>
      <c r="F22" s="498"/>
      <c r="G22" s="498"/>
      <c r="H22" s="498"/>
      <c r="I22" s="498"/>
      <c r="J22" s="498"/>
      <c r="K22" s="498"/>
      <c r="L22" s="498"/>
      <c r="M22" s="498"/>
      <c r="N22" s="498"/>
      <c r="O22" s="498"/>
      <c r="P22" s="498"/>
      <c r="Q22" s="498"/>
      <c r="R22" s="498"/>
      <c r="S22" s="498"/>
      <c r="T22" s="500"/>
      <c r="U22" s="501"/>
      <c r="V22" s="501"/>
      <c r="W22" s="501"/>
      <c r="X22" s="501"/>
      <c r="Y22" s="501"/>
      <c r="Z22" s="501"/>
      <c r="AA22" s="501"/>
      <c r="AB22" s="501"/>
      <c r="AC22" s="498"/>
      <c r="AD22" s="502"/>
      <c r="AE22" s="503"/>
    </row>
    <row r="23" spans="2:31" s="202" customFormat="1" x14ac:dyDescent="0.25">
      <c r="B23" s="203" t="s">
        <v>626</v>
      </c>
      <c r="C23" s="204"/>
      <c r="D23" s="204">
        <v>239.79</v>
      </c>
      <c r="E23" s="203">
        <v>2779.6848480195172</v>
      </c>
      <c r="F23" s="204">
        <f t="shared" ref="F23:F25" si="15">+D23*E23</f>
        <v>666540.62970659998</v>
      </c>
      <c r="G23" s="204">
        <v>22676.377759999999</v>
      </c>
      <c r="H23" s="204">
        <v>47810.709739999998</v>
      </c>
      <c r="I23" s="204">
        <v>-25134.331979999999</v>
      </c>
      <c r="J23" s="204">
        <f t="shared" ref="J23:J25" si="16">+F23+I23</f>
        <v>641406.29772659997</v>
      </c>
      <c r="K23" s="204"/>
      <c r="L23" s="204">
        <v>109347.02148</v>
      </c>
      <c r="M23" s="204">
        <v>142802.19070000001</v>
      </c>
      <c r="N23" s="204">
        <v>31910.3796</v>
      </c>
      <c r="O23" s="204">
        <v>39825.065390000003</v>
      </c>
      <c r="P23" s="204">
        <v>26265.21184</v>
      </c>
      <c r="Q23" s="204">
        <v>26230.71586</v>
      </c>
      <c r="R23" s="204">
        <v>40281.82632</v>
      </c>
      <c r="S23" s="204">
        <v>44889.683920000003</v>
      </c>
      <c r="T23" s="206"/>
      <c r="U23" s="207">
        <f t="shared" ref="U23:U25" si="17">$J23/L23</f>
        <v>5.8657866400495937</v>
      </c>
      <c r="V23" s="207">
        <f t="shared" ref="V23:V25" si="18">$J23/M23</f>
        <v>4.4915718350152725</v>
      </c>
      <c r="W23" s="207">
        <f t="shared" ref="W23:W25" si="19">$J23/N23</f>
        <v>20.10024029067332</v>
      </c>
      <c r="X23" s="207">
        <f t="shared" ref="X23:X25" si="20">$J23/O23</f>
        <v>16.105593084290476</v>
      </c>
      <c r="Y23" s="207">
        <f t="shared" ref="Y23:Y25" si="21">$F23/P23</f>
        <v>25.37731786695538</v>
      </c>
      <c r="Z23" s="207">
        <f t="shared" ref="Z23:Z25" si="22">$F23/Q23</f>
        <v>25.410691544374799</v>
      </c>
      <c r="AA23" s="207">
        <f t="shared" ref="AA23:AA25" si="23">$F23/R23</f>
        <v>16.546931720810814</v>
      </c>
      <c r="AB23" s="207">
        <f t="shared" ref="AB23:AB25" si="24">$F23/S23</f>
        <v>14.848414412863166</v>
      </c>
      <c r="AC23" s="204"/>
      <c r="AD23" s="208">
        <v>0.1378559303512687</v>
      </c>
      <c r="AE23" s="209">
        <v>0.12115411685617444</v>
      </c>
    </row>
    <row r="24" spans="2:31" s="202" customFormat="1" x14ac:dyDescent="0.25">
      <c r="B24" s="203" t="s">
        <v>627</v>
      </c>
      <c r="C24" s="204"/>
      <c r="D24" s="204">
        <v>59.73</v>
      </c>
      <c r="E24" s="203">
        <v>714</v>
      </c>
      <c r="F24" s="204">
        <f t="shared" si="15"/>
        <v>42647.22</v>
      </c>
      <c r="G24" s="204">
        <v>8317</v>
      </c>
      <c r="H24" s="204">
        <v>1428</v>
      </c>
      <c r="I24" s="204">
        <v>6889</v>
      </c>
      <c r="J24" s="204">
        <f t="shared" si="16"/>
        <v>49536.22</v>
      </c>
      <c r="K24" s="204"/>
      <c r="L24" s="204">
        <v>11917.06796</v>
      </c>
      <c r="M24" s="204">
        <v>12740.373869999999</v>
      </c>
      <c r="N24" s="204">
        <v>4203.6440599999996</v>
      </c>
      <c r="O24" s="204">
        <v>4595.6410699999997</v>
      </c>
      <c r="P24" s="204">
        <v>2285.2234600000002</v>
      </c>
      <c r="Q24" s="204">
        <v>2605.4357100000002</v>
      </c>
      <c r="R24" s="204">
        <v>3661.7280000000001</v>
      </c>
      <c r="S24" s="204">
        <v>3978.1798899999999</v>
      </c>
      <c r="T24" s="206"/>
      <c r="U24" s="207">
        <f t="shared" si="17"/>
        <v>4.1567456161423113</v>
      </c>
      <c r="V24" s="207">
        <f t="shared" si="18"/>
        <v>3.8881292264620178</v>
      </c>
      <c r="W24" s="207">
        <f t="shared" si="19"/>
        <v>11.784113805296828</v>
      </c>
      <c r="X24" s="207">
        <f t="shared" si="20"/>
        <v>10.778957548135935</v>
      </c>
      <c r="Y24" s="207">
        <f t="shared" si="21"/>
        <v>18.662166193585286</v>
      </c>
      <c r="Z24" s="207">
        <f t="shared" si="22"/>
        <v>16.368555875823166</v>
      </c>
      <c r="AA24" s="207">
        <f t="shared" si="23"/>
        <v>11.646747109561387</v>
      </c>
      <c r="AB24" s="207">
        <f t="shared" si="24"/>
        <v>10.72028444646328</v>
      </c>
      <c r="AC24" s="204"/>
      <c r="AD24" s="208">
        <v>2.335579893288402</v>
      </c>
      <c r="AE24" s="209">
        <v>0.70020205421788184</v>
      </c>
    </row>
    <row r="25" spans="2:31" s="202" customFormat="1" x14ac:dyDescent="0.25">
      <c r="B25" s="507" t="s">
        <v>628</v>
      </c>
      <c r="C25" s="508"/>
      <c r="D25" s="508">
        <v>215.41</v>
      </c>
      <c r="E25" s="507">
        <v>144.63449480180751</v>
      </c>
      <c r="F25" s="508">
        <f t="shared" si="15"/>
        <v>31155.716525257354</v>
      </c>
      <c r="G25" s="508">
        <v>-206.38200000000006</v>
      </c>
      <c r="H25" s="508">
        <v>1244.0989999999999</v>
      </c>
      <c r="I25" s="508">
        <v>-1450.481</v>
      </c>
      <c r="J25" s="508">
        <f t="shared" si="16"/>
        <v>29705.235525257354</v>
      </c>
      <c r="K25" s="508"/>
      <c r="L25" s="508">
        <v>2165.5370200000002</v>
      </c>
      <c r="M25" s="508">
        <v>2578.8431099999998</v>
      </c>
      <c r="N25" s="508">
        <v>649.72310000000004</v>
      </c>
      <c r="O25" s="508">
        <v>786.47409000000005</v>
      </c>
      <c r="P25" s="508">
        <v>443.44204000000002</v>
      </c>
      <c r="Q25" s="508">
        <v>547.65554999999995</v>
      </c>
      <c r="R25" s="508">
        <v>620.60207000000003</v>
      </c>
      <c r="S25" s="508">
        <v>730.79529000000002</v>
      </c>
      <c r="T25" s="509"/>
      <c r="U25" s="510">
        <f t="shared" si="17"/>
        <v>13.71726054595795</v>
      </c>
      <c r="V25" s="510">
        <f t="shared" si="18"/>
        <v>11.518822300615781</v>
      </c>
      <c r="W25" s="510">
        <f t="shared" si="19"/>
        <v>45.719838997962903</v>
      </c>
      <c r="X25" s="510">
        <f t="shared" si="20"/>
        <v>37.770138778834216</v>
      </c>
      <c r="Y25" s="510">
        <f t="shared" si="21"/>
        <v>70.258824637504716</v>
      </c>
      <c r="Z25" s="510">
        <f t="shared" si="22"/>
        <v>56.889255527963435</v>
      </c>
      <c r="AA25" s="510">
        <f t="shared" si="23"/>
        <v>50.20240510196389</v>
      </c>
      <c r="AB25" s="510">
        <f t="shared" si="24"/>
        <v>42.632618123821452</v>
      </c>
      <c r="AC25" s="508"/>
      <c r="AD25" s="511">
        <v>-0.27798400913763571</v>
      </c>
      <c r="AE25" s="512">
        <v>-0.38501087601344686</v>
      </c>
    </row>
    <row r="26" spans="2:31" s="192" customFormat="1" x14ac:dyDescent="0.25">
      <c r="B26" s="504" t="s">
        <v>347</v>
      </c>
      <c r="C26" s="504"/>
      <c r="D26" s="504"/>
      <c r="E26" s="504"/>
      <c r="F26" s="504"/>
      <c r="G26" s="504"/>
      <c r="H26" s="504"/>
      <c r="I26" s="504"/>
      <c r="J26" s="504"/>
      <c r="K26" s="504"/>
      <c r="L26" s="504"/>
      <c r="M26" s="504"/>
      <c r="N26" s="504"/>
      <c r="O26" s="504"/>
      <c r="P26" s="504"/>
      <c r="Q26" s="504"/>
      <c r="R26" s="504"/>
      <c r="S26" s="504"/>
      <c r="T26" s="504"/>
      <c r="U26" s="505">
        <f>AVERAGE(U22:U25)</f>
        <v>7.913264267383286</v>
      </c>
      <c r="V26" s="505">
        <f t="shared" ref="V26" si="25">AVERAGE(V22:V25)</f>
        <v>6.6328411206976909</v>
      </c>
      <c r="W26" s="505">
        <f t="shared" ref="W26" si="26">AVERAGE(W22:W25)</f>
        <v>25.868064364644351</v>
      </c>
      <c r="X26" s="505">
        <f t="shared" ref="X26" si="27">AVERAGE(X22:X25)</f>
        <v>21.551563137086873</v>
      </c>
      <c r="Y26" s="505">
        <f t="shared" ref="Y26" si="28">AVERAGE(Y22:Y25)</f>
        <v>38.099436232681796</v>
      </c>
      <c r="Z26" s="505">
        <f t="shared" ref="Z26" si="29">AVERAGE(Z22:Z25)</f>
        <v>32.88950098272047</v>
      </c>
      <c r="AA26" s="505">
        <f t="shared" ref="AA26" si="30">AVERAGE(AA22:AA25)</f>
        <v>26.132027977445365</v>
      </c>
      <c r="AB26" s="505">
        <f t="shared" ref="AB26" si="31">AVERAGE(AB22:AB25)</f>
        <v>22.733772327715968</v>
      </c>
      <c r="AC26" s="504" t="e">
        <f t="shared" ref="AC26" si="32">AVERAGE(AC22:AC25)</f>
        <v>#DIV/0!</v>
      </c>
      <c r="AD26" s="505">
        <f t="shared" ref="AD26" si="33">AVERAGE(AD22:AD25)</f>
        <v>0.73181727150067832</v>
      </c>
      <c r="AE26" s="506">
        <f t="shared" ref="AE26" si="34">AVERAGE(AE22:AE25)</f>
        <v>0.1454484316868698</v>
      </c>
    </row>
    <row r="27" spans="2:31" s="192" customFormat="1" x14ac:dyDescent="0.25">
      <c r="B27" s="504" t="s">
        <v>348</v>
      </c>
      <c r="C27" s="504"/>
      <c r="D27" s="504"/>
      <c r="E27" s="504"/>
      <c r="F27" s="504"/>
      <c r="G27" s="504"/>
      <c r="H27" s="504"/>
      <c r="I27" s="504"/>
      <c r="J27" s="504"/>
      <c r="K27" s="504"/>
      <c r="L27" s="504"/>
      <c r="M27" s="504"/>
      <c r="N27" s="504"/>
      <c r="O27" s="504"/>
      <c r="P27" s="504"/>
      <c r="Q27" s="504"/>
      <c r="R27" s="504"/>
      <c r="S27" s="504"/>
      <c r="T27" s="504"/>
      <c r="U27" s="505">
        <f>MEDIAN(U22:U25)</f>
        <v>5.8657866400495937</v>
      </c>
      <c r="V27" s="505">
        <f t="shared" ref="V27:AE27" si="35">MEDIAN(V22:V25)</f>
        <v>4.4915718350152725</v>
      </c>
      <c r="W27" s="505">
        <f t="shared" si="35"/>
        <v>20.10024029067332</v>
      </c>
      <c r="X27" s="505">
        <f t="shared" si="35"/>
        <v>16.105593084290476</v>
      </c>
      <c r="Y27" s="505">
        <f t="shared" si="35"/>
        <v>25.37731786695538</v>
      </c>
      <c r="Z27" s="505">
        <f t="shared" si="35"/>
        <v>25.410691544374799</v>
      </c>
      <c r="AA27" s="505">
        <f t="shared" si="35"/>
        <v>16.546931720810814</v>
      </c>
      <c r="AB27" s="505">
        <f t="shared" si="35"/>
        <v>14.848414412863166</v>
      </c>
      <c r="AC27" s="504" t="e">
        <f t="shared" si="35"/>
        <v>#NUM!</v>
      </c>
      <c r="AD27" s="505">
        <f t="shared" si="35"/>
        <v>0.1378559303512687</v>
      </c>
      <c r="AE27" s="506">
        <f t="shared" si="35"/>
        <v>0.12115411685617444</v>
      </c>
    </row>
    <row r="28" spans="2:31" s="192" customFormat="1" x14ac:dyDescent="0.25">
      <c r="B28" s="504" t="s">
        <v>521</v>
      </c>
      <c r="C28" s="504"/>
      <c r="D28" s="504"/>
      <c r="E28" s="504"/>
      <c r="F28" s="504"/>
      <c r="G28" s="504"/>
      <c r="H28" s="504"/>
      <c r="I28" s="504"/>
      <c r="J28" s="504"/>
      <c r="K28" s="504"/>
      <c r="L28" s="504"/>
      <c r="M28" s="504"/>
      <c r="N28" s="504"/>
      <c r="O28" s="504"/>
      <c r="P28" s="504"/>
      <c r="Q28" s="504"/>
      <c r="R28" s="504"/>
      <c r="S28" s="504"/>
      <c r="T28" s="504"/>
      <c r="U28" s="505">
        <f>MIN(U22:U25)</f>
        <v>4.1567456161423113</v>
      </c>
      <c r="V28" s="505">
        <f t="shared" ref="V28:AE28" si="36">MIN(V22:V25)</f>
        <v>3.8881292264620178</v>
      </c>
      <c r="W28" s="505">
        <f t="shared" si="36"/>
        <v>11.784113805296828</v>
      </c>
      <c r="X28" s="505">
        <f t="shared" si="36"/>
        <v>10.778957548135935</v>
      </c>
      <c r="Y28" s="505">
        <f t="shared" si="36"/>
        <v>18.662166193585286</v>
      </c>
      <c r="Z28" s="505">
        <f t="shared" si="36"/>
        <v>16.368555875823166</v>
      </c>
      <c r="AA28" s="505">
        <f t="shared" si="36"/>
        <v>11.646747109561387</v>
      </c>
      <c r="AB28" s="505">
        <f t="shared" si="36"/>
        <v>10.72028444646328</v>
      </c>
      <c r="AC28" s="504">
        <f t="shared" si="36"/>
        <v>0</v>
      </c>
      <c r="AD28" s="505">
        <f t="shared" si="36"/>
        <v>-0.27798400913763571</v>
      </c>
      <c r="AE28" s="506">
        <f t="shared" si="36"/>
        <v>-0.38501087601344686</v>
      </c>
    </row>
    <row r="29" spans="2:31" s="202" customFormat="1" x14ac:dyDescent="0.25">
      <c r="B29" s="504" t="s">
        <v>522</v>
      </c>
      <c r="C29" s="504"/>
      <c r="D29" s="504"/>
      <c r="E29" s="504"/>
      <c r="F29" s="504"/>
      <c r="G29" s="504"/>
      <c r="H29" s="504"/>
      <c r="I29" s="504"/>
      <c r="J29" s="504"/>
      <c r="K29" s="504"/>
      <c r="L29" s="504"/>
      <c r="M29" s="504"/>
      <c r="N29" s="504"/>
      <c r="O29" s="504"/>
      <c r="P29" s="504"/>
      <c r="Q29" s="504"/>
      <c r="R29" s="504"/>
      <c r="S29" s="504"/>
      <c r="T29" s="504"/>
      <c r="U29" s="505">
        <f>MAX(U22:U25)</f>
        <v>13.71726054595795</v>
      </c>
      <c r="V29" s="505">
        <f t="shared" ref="V29:AE29" si="37">MAX(V22:V25)</f>
        <v>11.518822300615781</v>
      </c>
      <c r="W29" s="505">
        <f t="shared" si="37"/>
        <v>45.719838997962903</v>
      </c>
      <c r="X29" s="505">
        <f t="shared" si="37"/>
        <v>37.770138778834216</v>
      </c>
      <c r="Y29" s="505">
        <f t="shared" si="37"/>
        <v>70.258824637504716</v>
      </c>
      <c r="Z29" s="505">
        <f t="shared" si="37"/>
        <v>56.889255527963435</v>
      </c>
      <c r="AA29" s="505">
        <f t="shared" si="37"/>
        <v>50.20240510196389</v>
      </c>
      <c r="AB29" s="505">
        <f t="shared" si="37"/>
        <v>42.632618123821452</v>
      </c>
      <c r="AC29" s="504">
        <f t="shared" si="37"/>
        <v>0</v>
      </c>
      <c r="AD29" s="505">
        <f t="shared" si="37"/>
        <v>2.335579893288402</v>
      </c>
      <c r="AE29" s="506">
        <f t="shared" si="37"/>
        <v>0.70020205421788184</v>
      </c>
    </row>
    <row r="30" spans="2:31" s="202" customFormat="1" x14ac:dyDescent="0.25">
      <c r="B30" s="203"/>
      <c r="C30" s="204"/>
      <c r="D30" s="205"/>
      <c r="E30" s="203"/>
      <c r="F30" s="204"/>
      <c r="G30" s="204"/>
      <c r="H30" s="204"/>
      <c r="I30" s="204"/>
      <c r="J30" s="204"/>
      <c r="K30" s="204"/>
      <c r="L30" s="204"/>
      <c r="M30" s="204"/>
      <c r="N30" s="204"/>
      <c r="O30" s="204"/>
      <c r="P30" s="204"/>
      <c r="Q30" s="204"/>
      <c r="R30" s="204"/>
      <c r="S30" s="204"/>
      <c r="T30" s="206"/>
      <c r="U30" s="207"/>
      <c r="V30" s="207"/>
      <c r="W30" s="207"/>
      <c r="X30" s="207"/>
      <c r="Y30" s="207"/>
      <c r="Z30" s="207"/>
      <c r="AA30" s="207"/>
      <c r="AB30" s="207"/>
      <c r="AC30" s="204"/>
      <c r="AD30" s="208"/>
      <c r="AE30" s="209"/>
    </row>
    <row r="31" spans="2:31" s="202" customFormat="1" x14ac:dyDescent="0.25">
      <c r="B31" s="497" t="s">
        <v>166</v>
      </c>
      <c r="C31" s="498"/>
      <c r="D31" s="499"/>
      <c r="E31" s="497"/>
      <c r="F31" s="498"/>
      <c r="G31" s="498"/>
      <c r="H31" s="498"/>
      <c r="I31" s="498"/>
      <c r="J31" s="498"/>
      <c r="K31" s="498"/>
      <c r="L31" s="498"/>
      <c r="M31" s="498"/>
      <c r="N31" s="498"/>
      <c r="O31" s="498"/>
      <c r="P31" s="498"/>
      <c r="Q31" s="498"/>
      <c r="R31" s="498"/>
      <c r="S31" s="498"/>
      <c r="T31" s="500"/>
      <c r="U31" s="501"/>
      <c r="V31" s="501"/>
      <c r="W31" s="501"/>
      <c r="X31" s="501"/>
      <c r="Y31" s="501"/>
      <c r="Z31" s="501"/>
      <c r="AA31" s="501"/>
      <c r="AB31" s="501"/>
      <c r="AC31" s="498"/>
      <c r="AD31" s="502"/>
      <c r="AE31" s="503"/>
    </row>
    <row r="32" spans="2:31" s="202" customFormat="1" x14ac:dyDescent="0.25">
      <c r="B32" s="203" t="s">
        <v>629</v>
      </c>
      <c r="C32" s="204"/>
      <c r="D32" s="204">
        <v>2026.96</v>
      </c>
      <c r="E32" s="203">
        <v>698.46669399999996</v>
      </c>
      <c r="F32" s="204">
        <f t="shared" ref="F32:F34" si="38">+D32*E32</f>
        <v>1415764.0500702399</v>
      </c>
      <c r="G32" s="204">
        <v>27872</v>
      </c>
      <c r="H32" s="204">
        <v>26465</v>
      </c>
      <c r="I32" s="204">
        <v>1407</v>
      </c>
      <c r="J32" s="204">
        <f t="shared" ref="J32:J34" si="39">+F32+I32</f>
        <v>1417171.0500702399</v>
      </c>
      <c r="K32" s="204"/>
      <c r="L32" s="204">
        <v>225492.86996000001</v>
      </c>
      <c r="M32" s="204">
        <v>263226.96321999998</v>
      </c>
      <c r="N32" s="204">
        <v>83040.118489999993</v>
      </c>
      <c r="O32" s="204">
        <v>97894.609710000004</v>
      </c>
      <c r="P32" s="204">
        <v>47115.029139999999</v>
      </c>
      <c r="Q32" s="204">
        <v>54858.74641</v>
      </c>
      <c r="R32" s="204">
        <v>78171.9228</v>
      </c>
      <c r="S32" s="204">
        <v>90193.719710000005</v>
      </c>
      <c r="T32" s="206"/>
      <c r="U32" s="207">
        <f t="shared" ref="U32:U34" si="40">$J32/L32</f>
        <v>6.2847710010592825</v>
      </c>
      <c r="V32" s="207">
        <f t="shared" ref="V32:V34" si="41">$J32/M32</f>
        <v>5.3838369471511776</v>
      </c>
      <c r="W32" s="207">
        <f t="shared" ref="W32:W34" si="42">$J32/N32</f>
        <v>17.066101010451966</v>
      </c>
      <c r="X32" s="207">
        <f t="shared" ref="X32:X34" si="43">$J32/O32</f>
        <v>14.476497268526062</v>
      </c>
      <c r="Y32" s="207">
        <f t="shared" ref="Y32:Y34" si="44">$F32/P32</f>
        <v>30.049096348075398</v>
      </c>
      <c r="Z32" s="207">
        <f t="shared" ref="Z32:Z34" si="45">$F32/Q32</f>
        <v>25.807444440840623</v>
      </c>
      <c r="AA32" s="207">
        <f t="shared" ref="AA32:AA34" si="46">$F32/R32</f>
        <v>18.110902218593502</v>
      </c>
      <c r="AB32" s="207">
        <f t="shared" ref="AB32:AB34" si="47">$F32/S32</f>
        <v>15.696924959103008</v>
      </c>
      <c r="AC32" s="204"/>
      <c r="AD32" s="208">
        <v>0.12524264864476239</v>
      </c>
      <c r="AE32" s="209">
        <v>0.11130279215385598</v>
      </c>
    </row>
    <row r="33" spans="2:31" s="202" customFormat="1" x14ac:dyDescent="0.25">
      <c r="B33" s="203" t="s">
        <v>630</v>
      </c>
      <c r="C33" s="204"/>
      <c r="D33" s="204">
        <v>290.11</v>
      </c>
      <c r="E33" s="203">
        <v>2955.2570000000001</v>
      </c>
      <c r="F33" s="204">
        <f t="shared" si="38"/>
        <v>857349.60827000008</v>
      </c>
      <c r="G33" s="204">
        <v>11177</v>
      </c>
      <c r="H33" s="204">
        <v>17576</v>
      </c>
      <c r="I33" s="204">
        <v>-6399</v>
      </c>
      <c r="J33" s="204">
        <f t="shared" si="39"/>
        <v>850950.60827000008</v>
      </c>
      <c r="K33" s="204"/>
      <c r="L33" s="204">
        <v>107640.68154000001</v>
      </c>
      <c r="M33" s="204">
        <v>128587.15763</v>
      </c>
      <c r="N33" s="204">
        <v>54305.981529999997</v>
      </c>
      <c r="O33" s="204">
        <v>65211.832920000001</v>
      </c>
      <c r="P33" s="204">
        <v>32703.955620000001</v>
      </c>
      <c r="Q33" s="204">
        <v>39218.975769999997</v>
      </c>
      <c r="R33" s="204">
        <v>51470.586669999997</v>
      </c>
      <c r="S33" s="204">
        <v>59559.92</v>
      </c>
      <c r="T33" s="206"/>
      <c r="U33" s="207">
        <f t="shared" si="40"/>
        <v>7.9054739908329275</v>
      </c>
      <c r="V33" s="207">
        <f t="shared" si="41"/>
        <v>6.6176951412095697</v>
      </c>
      <c r="W33" s="207">
        <f t="shared" si="42"/>
        <v>15.669555807584722</v>
      </c>
      <c r="X33" s="207">
        <f t="shared" si="43"/>
        <v>13.049021476116486</v>
      </c>
      <c r="Y33" s="207">
        <f t="shared" si="44"/>
        <v>26.215471248551065</v>
      </c>
      <c r="Z33" s="207">
        <f t="shared" si="45"/>
        <v>21.860581298653333</v>
      </c>
      <c r="AA33" s="207">
        <f t="shared" si="46"/>
        <v>16.657078610096988</v>
      </c>
      <c r="AB33" s="207">
        <f t="shared" si="47"/>
        <v>14.394740763083632</v>
      </c>
      <c r="AC33" s="204"/>
      <c r="AD33" s="208">
        <v>8.7122924623898979E-2</v>
      </c>
      <c r="AE33" s="209">
        <v>8.0140821843160029E-2</v>
      </c>
    </row>
    <row r="34" spans="2:31" s="202" customFormat="1" x14ac:dyDescent="0.25">
      <c r="B34" s="507" t="s">
        <v>631</v>
      </c>
      <c r="C34" s="508"/>
      <c r="D34" s="508">
        <v>66.23</v>
      </c>
      <c r="E34" s="507">
        <v>885.10652969542036</v>
      </c>
      <c r="F34" s="508">
        <f t="shared" si="38"/>
        <v>58620.605461727697</v>
      </c>
      <c r="G34" s="508">
        <v>2644.4559999999997</v>
      </c>
      <c r="H34" s="508">
        <v>1988.4290000000001</v>
      </c>
      <c r="I34" s="508">
        <v>656.02699999999959</v>
      </c>
      <c r="J34" s="508">
        <f t="shared" si="39"/>
        <v>59276.632461727699</v>
      </c>
      <c r="K34" s="508"/>
      <c r="L34" s="508">
        <v>4810.4875499999998</v>
      </c>
      <c r="M34" s="508">
        <v>5807.9865900000004</v>
      </c>
      <c r="N34" s="508">
        <v>1461.8734199999999</v>
      </c>
      <c r="O34" s="508">
        <v>1874.3901800000001</v>
      </c>
      <c r="P34" s="508">
        <v>193.92546999999999</v>
      </c>
      <c r="Q34" s="508">
        <v>399.27827000000002</v>
      </c>
      <c r="R34" s="508">
        <v>1280.7209</v>
      </c>
      <c r="S34" s="508">
        <v>1788.0740900000001</v>
      </c>
      <c r="T34" s="509"/>
      <c r="U34" s="510">
        <f t="shared" si="40"/>
        <v>12.322375194948316</v>
      </c>
      <c r="V34" s="510">
        <f t="shared" si="41"/>
        <v>10.20605532454022</v>
      </c>
      <c r="W34" s="510">
        <f t="shared" si="42"/>
        <v>40.548402926518563</v>
      </c>
      <c r="X34" s="510">
        <f t="shared" si="43"/>
        <v>31.624489444202965</v>
      </c>
      <c r="Y34" s="510">
        <f t="shared" si="44"/>
        <v>302.28419950060044</v>
      </c>
      <c r="Z34" s="510">
        <f t="shared" si="45"/>
        <v>146.81641818806642</v>
      </c>
      <c r="AA34" s="510">
        <f t="shared" si="46"/>
        <v>45.771569326094152</v>
      </c>
      <c r="AB34" s="510">
        <f t="shared" si="47"/>
        <v>32.784215033129691</v>
      </c>
      <c r="AC34" s="508"/>
      <c r="AD34" s="511">
        <v>0.33179784097578913</v>
      </c>
      <c r="AE34" s="512">
        <v>0.24913528973187524</v>
      </c>
    </row>
    <row r="35" spans="2:31" s="192" customFormat="1" x14ac:dyDescent="0.25">
      <c r="B35" s="504" t="s">
        <v>349</v>
      </c>
      <c r="C35" s="504"/>
      <c r="D35" s="504"/>
      <c r="E35" s="504"/>
      <c r="F35" s="504"/>
      <c r="G35" s="504"/>
      <c r="H35" s="504"/>
      <c r="I35" s="504"/>
      <c r="J35" s="504"/>
      <c r="K35" s="504"/>
      <c r="L35" s="504"/>
      <c r="M35" s="504"/>
      <c r="N35" s="504"/>
      <c r="O35" s="504"/>
      <c r="P35" s="504"/>
      <c r="Q35" s="504"/>
      <c r="R35" s="504"/>
      <c r="S35" s="504"/>
      <c r="T35" s="504"/>
      <c r="U35" s="505">
        <f>AVERAGE(U31:U34)</f>
        <v>8.8375400622801763</v>
      </c>
      <c r="V35" s="505">
        <f t="shared" ref="V35" si="48">AVERAGE(V31:V34)</f>
        <v>7.4025291376336559</v>
      </c>
      <c r="W35" s="505">
        <f t="shared" ref="W35" si="49">AVERAGE(W31:W34)</f>
        <v>24.428019914851749</v>
      </c>
      <c r="X35" s="505">
        <f t="shared" ref="X35" si="50">AVERAGE(X31:X34)</f>
        <v>19.716669396281837</v>
      </c>
      <c r="Y35" s="505">
        <f t="shared" ref="Y35" si="51">AVERAGE(Y31:Y34)</f>
        <v>119.51625569907564</v>
      </c>
      <c r="Z35" s="505">
        <f t="shared" ref="Z35" si="52">AVERAGE(Z31:Z34)</f>
        <v>64.828147975853469</v>
      </c>
      <c r="AA35" s="505">
        <f t="shared" ref="AA35" si="53">AVERAGE(AA31:AA34)</f>
        <v>26.846516718261551</v>
      </c>
      <c r="AB35" s="505">
        <f t="shared" ref="AB35" si="54">AVERAGE(AB31:AB34)</f>
        <v>20.958626918438778</v>
      </c>
      <c r="AC35" s="504" t="e">
        <f t="shared" ref="AC35" si="55">AVERAGE(AC31:AC34)</f>
        <v>#DIV/0!</v>
      </c>
      <c r="AD35" s="505">
        <f t="shared" ref="AD35" si="56">AVERAGE(AD31:AD34)</f>
        <v>0.18138780474815017</v>
      </c>
      <c r="AE35" s="506">
        <f t="shared" ref="AE35" si="57">AVERAGE(AE31:AE34)</f>
        <v>0.14685963457629708</v>
      </c>
    </row>
    <row r="36" spans="2:31" s="192" customFormat="1" x14ac:dyDescent="0.25">
      <c r="B36" s="504" t="s">
        <v>350</v>
      </c>
      <c r="C36" s="504"/>
      <c r="D36" s="504"/>
      <c r="E36" s="504"/>
      <c r="F36" s="504"/>
      <c r="G36" s="504"/>
      <c r="H36" s="504"/>
      <c r="I36" s="504"/>
      <c r="J36" s="504"/>
      <c r="K36" s="504"/>
      <c r="L36" s="504"/>
      <c r="M36" s="504"/>
      <c r="N36" s="504"/>
      <c r="O36" s="504"/>
      <c r="P36" s="504"/>
      <c r="Q36" s="504"/>
      <c r="R36" s="504"/>
      <c r="S36" s="504"/>
      <c r="T36" s="504"/>
      <c r="U36" s="505">
        <f>MEDIAN(U31:U34)</f>
        <v>7.9054739908329275</v>
      </c>
      <c r="V36" s="505">
        <f t="shared" ref="V36:AE36" si="58">MEDIAN(V31:V34)</f>
        <v>6.6176951412095697</v>
      </c>
      <c r="W36" s="505">
        <f t="shared" si="58"/>
        <v>17.066101010451966</v>
      </c>
      <c r="X36" s="505">
        <f t="shared" si="58"/>
        <v>14.476497268526062</v>
      </c>
      <c r="Y36" s="505">
        <f t="shared" si="58"/>
        <v>30.049096348075398</v>
      </c>
      <c r="Z36" s="505">
        <f t="shared" si="58"/>
        <v>25.807444440840623</v>
      </c>
      <c r="AA36" s="505">
        <f t="shared" si="58"/>
        <v>18.110902218593502</v>
      </c>
      <c r="AB36" s="505">
        <f t="shared" si="58"/>
        <v>15.696924959103008</v>
      </c>
      <c r="AC36" s="504" t="e">
        <f t="shared" si="58"/>
        <v>#NUM!</v>
      </c>
      <c r="AD36" s="505">
        <f t="shared" si="58"/>
        <v>0.12524264864476239</v>
      </c>
      <c r="AE36" s="506">
        <f t="shared" si="58"/>
        <v>0.11130279215385598</v>
      </c>
    </row>
    <row r="37" spans="2:31" s="202" customFormat="1" x14ac:dyDescent="0.25">
      <c r="B37" s="504" t="s">
        <v>523</v>
      </c>
      <c r="C37" s="504"/>
      <c r="D37" s="504"/>
      <c r="E37" s="504"/>
      <c r="F37" s="504"/>
      <c r="G37" s="504"/>
      <c r="H37" s="504"/>
      <c r="I37" s="504"/>
      <c r="J37" s="504"/>
      <c r="K37" s="504"/>
      <c r="L37" s="504"/>
      <c r="M37" s="504"/>
      <c r="N37" s="504"/>
      <c r="O37" s="504"/>
      <c r="P37" s="504"/>
      <c r="Q37" s="504"/>
      <c r="R37" s="504"/>
      <c r="S37" s="504"/>
      <c r="T37" s="504"/>
      <c r="U37" s="505">
        <f>MIN(U31:U34)</f>
        <v>6.2847710010592825</v>
      </c>
      <c r="V37" s="505">
        <f t="shared" ref="V37:AE37" si="59">MIN(V31:V34)</f>
        <v>5.3838369471511776</v>
      </c>
      <c r="W37" s="505">
        <f t="shared" si="59"/>
        <v>15.669555807584722</v>
      </c>
      <c r="X37" s="505">
        <f t="shared" si="59"/>
        <v>13.049021476116486</v>
      </c>
      <c r="Y37" s="505">
        <f t="shared" si="59"/>
        <v>26.215471248551065</v>
      </c>
      <c r="Z37" s="505">
        <f t="shared" si="59"/>
        <v>21.860581298653333</v>
      </c>
      <c r="AA37" s="505">
        <f t="shared" si="59"/>
        <v>16.657078610096988</v>
      </c>
      <c r="AB37" s="505">
        <f t="shared" si="59"/>
        <v>14.394740763083632</v>
      </c>
      <c r="AC37" s="504">
        <f t="shared" si="59"/>
        <v>0</v>
      </c>
      <c r="AD37" s="505">
        <f t="shared" si="59"/>
        <v>8.7122924623898979E-2</v>
      </c>
      <c r="AE37" s="506">
        <f t="shared" si="59"/>
        <v>8.0140821843160029E-2</v>
      </c>
    </row>
    <row r="38" spans="2:31" s="202" customFormat="1" x14ac:dyDescent="0.25">
      <c r="B38" s="504" t="s">
        <v>524</v>
      </c>
      <c r="C38" s="504"/>
      <c r="D38" s="504"/>
      <c r="E38" s="504"/>
      <c r="F38" s="504"/>
      <c r="G38" s="504"/>
      <c r="H38" s="504"/>
      <c r="I38" s="504"/>
      <c r="J38" s="504"/>
      <c r="K38" s="504"/>
      <c r="L38" s="504"/>
      <c r="M38" s="504"/>
      <c r="N38" s="504"/>
      <c r="O38" s="504"/>
      <c r="P38" s="504"/>
      <c r="Q38" s="504"/>
      <c r="R38" s="504"/>
      <c r="S38" s="504"/>
      <c r="T38" s="504"/>
      <c r="U38" s="505">
        <f>MAX(U31:U34)</f>
        <v>12.322375194948316</v>
      </c>
      <c r="V38" s="505">
        <f t="shared" ref="V38:AE38" si="60">MAX(V31:V34)</f>
        <v>10.20605532454022</v>
      </c>
      <c r="W38" s="505">
        <f t="shared" si="60"/>
        <v>40.548402926518563</v>
      </c>
      <c r="X38" s="505">
        <f t="shared" si="60"/>
        <v>31.624489444202965</v>
      </c>
      <c r="Y38" s="505">
        <f t="shared" si="60"/>
        <v>302.28419950060044</v>
      </c>
      <c r="Z38" s="505">
        <f t="shared" si="60"/>
        <v>146.81641818806642</v>
      </c>
      <c r="AA38" s="505">
        <f t="shared" si="60"/>
        <v>45.771569326094152</v>
      </c>
      <c r="AB38" s="505">
        <f t="shared" si="60"/>
        <v>32.784215033129691</v>
      </c>
      <c r="AC38" s="504">
        <f t="shared" si="60"/>
        <v>0</v>
      </c>
      <c r="AD38" s="505">
        <f t="shared" si="60"/>
        <v>0.33179784097578913</v>
      </c>
      <c r="AE38" s="506">
        <f t="shared" si="60"/>
        <v>0.24913528973187524</v>
      </c>
    </row>
    <row r="39" spans="2:31" s="202" customFormat="1" x14ac:dyDescent="0.25">
      <c r="B39" s="203"/>
      <c r="C39" s="204"/>
      <c r="D39" s="205"/>
      <c r="E39" s="203"/>
      <c r="F39" s="204"/>
      <c r="G39" s="204"/>
      <c r="H39" s="204"/>
      <c r="I39" s="204"/>
      <c r="J39" s="204"/>
      <c r="K39" s="204"/>
      <c r="L39" s="204"/>
      <c r="M39" s="204"/>
      <c r="N39" s="204"/>
      <c r="O39" s="204"/>
      <c r="P39" s="204"/>
      <c r="Q39" s="204"/>
      <c r="R39" s="204"/>
      <c r="S39" s="204"/>
      <c r="T39" s="206"/>
      <c r="U39" s="207"/>
      <c r="V39" s="207"/>
      <c r="W39" s="207"/>
      <c r="X39" s="207"/>
      <c r="Y39" s="207"/>
      <c r="Z39" s="207"/>
      <c r="AA39" s="207"/>
      <c r="AB39" s="207"/>
      <c r="AC39" s="204"/>
      <c r="AD39" s="208"/>
      <c r="AE39" s="209"/>
    </row>
    <row r="40" spans="2:31" s="202" customFormat="1" x14ac:dyDescent="0.25">
      <c r="B40" s="497" t="s">
        <v>167</v>
      </c>
      <c r="C40" s="498"/>
      <c r="D40" s="499"/>
      <c r="E40" s="497"/>
      <c r="F40" s="498"/>
      <c r="G40" s="498"/>
      <c r="H40" s="498"/>
      <c r="I40" s="498"/>
      <c r="J40" s="498"/>
      <c r="K40" s="498"/>
      <c r="L40" s="498"/>
      <c r="M40" s="498"/>
      <c r="N40" s="498"/>
      <c r="O40" s="498"/>
      <c r="P40" s="498"/>
      <c r="Q40" s="498"/>
      <c r="R40" s="498"/>
      <c r="S40" s="498"/>
      <c r="T40" s="500"/>
      <c r="U40" s="501"/>
      <c r="V40" s="501"/>
      <c r="W40" s="501"/>
      <c r="X40" s="501"/>
      <c r="Y40" s="501"/>
      <c r="Z40" s="501"/>
      <c r="AA40" s="501"/>
      <c r="AB40" s="501"/>
      <c r="AC40" s="498"/>
      <c r="AD40" s="502"/>
      <c r="AE40" s="503"/>
    </row>
    <row r="41" spans="2:31" s="202" customFormat="1" x14ac:dyDescent="0.25">
      <c r="B41" s="203" t="s">
        <v>632</v>
      </c>
      <c r="C41" s="204"/>
      <c r="D41" s="204">
        <v>212.2</v>
      </c>
      <c r="E41" s="203">
        <v>963.81903864278979</v>
      </c>
      <c r="F41" s="204">
        <f t="shared" ref="F41:F44" si="61">+D41*E41</f>
        <v>204522.4</v>
      </c>
      <c r="G41" s="204">
        <v>6413</v>
      </c>
      <c r="H41" s="204">
        <v>6195</v>
      </c>
      <c r="I41" s="204">
        <v>218</v>
      </c>
      <c r="J41" s="204">
        <f t="shared" ref="J41:J44" si="62">+F41+I41</f>
        <v>204740.4</v>
      </c>
      <c r="K41" s="204"/>
      <c r="L41" s="204">
        <v>21116.503550000001</v>
      </c>
      <c r="M41" s="204">
        <v>25701.604480000002</v>
      </c>
      <c r="N41" s="204">
        <v>6337.2324500000004</v>
      </c>
      <c r="O41" s="204">
        <v>7651.0971499999996</v>
      </c>
      <c r="P41" s="204">
        <v>3853.5125200000002</v>
      </c>
      <c r="Q41" s="204">
        <v>134.87329</v>
      </c>
      <c r="R41" s="204">
        <v>4850.5675700000002</v>
      </c>
      <c r="S41" s="204">
        <v>5465.7944600000001</v>
      </c>
      <c r="T41" s="206"/>
      <c r="U41" s="207">
        <f t="shared" ref="U41:U44" si="63">$J41/L41</f>
        <v>9.6957528747698376</v>
      </c>
      <c r="V41" s="207">
        <f t="shared" ref="V41:V44" si="64">$J41/M41</f>
        <v>7.9660551993678483</v>
      </c>
      <c r="W41" s="207">
        <f t="shared" ref="W41:W44" si="65">$J41/N41</f>
        <v>32.307541441059179</v>
      </c>
      <c r="X41" s="207">
        <f t="shared" ref="X41:X44" si="66">$J41/O41</f>
        <v>26.759613162146294</v>
      </c>
      <c r="Y41" s="207">
        <f t="shared" ref="Y41:Y44" si="67">$F41/P41</f>
        <v>53.074279359030079</v>
      </c>
      <c r="Z41" s="207">
        <f t="shared" ref="Z41:Z44" si="68">$F41/Q41</f>
        <v>1516.4040263272291</v>
      </c>
      <c r="AA41" s="207">
        <f t="shared" ref="AA41:AA44" si="69">$F41/R41</f>
        <v>42.164632705034144</v>
      </c>
      <c r="AB41" s="207">
        <f t="shared" ref="AB41:AB44" si="70">$F41/S41</f>
        <v>37.418604284655082</v>
      </c>
      <c r="AC41" s="204"/>
      <c r="AD41" s="208">
        <v>0.15455619020075675</v>
      </c>
      <c r="AE41" s="209">
        <v>0.13386632154636163</v>
      </c>
    </row>
    <row r="42" spans="2:31" s="202" customFormat="1" x14ac:dyDescent="0.25">
      <c r="B42" s="203" t="s">
        <v>633</v>
      </c>
      <c r="C42" s="204"/>
      <c r="D42" s="204">
        <v>66.260000000000005</v>
      </c>
      <c r="E42" s="203">
        <v>2917</v>
      </c>
      <c r="F42" s="204">
        <f t="shared" si="61"/>
        <v>193280.42</v>
      </c>
      <c r="G42" s="204">
        <v>69299</v>
      </c>
      <c r="H42" s="204">
        <v>22321</v>
      </c>
      <c r="I42" s="204">
        <v>46978</v>
      </c>
      <c r="J42" s="204">
        <f t="shared" si="62"/>
        <v>240258.42</v>
      </c>
      <c r="K42" s="204"/>
      <c r="L42" s="204">
        <v>40012.432399999998</v>
      </c>
      <c r="M42" s="204">
        <v>41013.555549999997</v>
      </c>
      <c r="N42" s="204">
        <v>20306.649720000001</v>
      </c>
      <c r="O42" s="204">
        <v>20590.603650000001</v>
      </c>
      <c r="P42" s="204">
        <v>10368.871419999999</v>
      </c>
      <c r="Q42" s="204">
        <v>10794.986150000001</v>
      </c>
      <c r="R42" s="204">
        <v>14197.866669999999</v>
      </c>
      <c r="S42" s="204">
        <v>14954.488240000001</v>
      </c>
      <c r="T42" s="206"/>
      <c r="U42" s="207">
        <f t="shared" si="63"/>
        <v>6.0045942120729459</v>
      </c>
      <c r="V42" s="207">
        <f t="shared" si="64"/>
        <v>5.8580246647257583</v>
      </c>
      <c r="W42" s="207">
        <f t="shared" si="65"/>
        <v>11.831514470029475</v>
      </c>
      <c r="X42" s="207">
        <f t="shared" si="66"/>
        <v>11.668352423460883</v>
      </c>
      <c r="Y42" s="207">
        <f t="shared" si="67"/>
        <v>18.640449106851786</v>
      </c>
      <c r="Z42" s="207">
        <f t="shared" si="68"/>
        <v>17.904647334818488</v>
      </c>
      <c r="AA42" s="207">
        <f t="shared" si="69"/>
        <v>13.61334237687978</v>
      </c>
      <c r="AB42" s="207">
        <f t="shared" si="70"/>
        <v>12.924576013441701</v>
      </c>
      <c r="AC42" s="204"/>
      <c r="AD42" s="208">
        <v>7.1909307875894992</v>
      </c>
      <c r="AE42" s="209">
        <v>0.87791375291375295</v>
      </c>
    </row>
    <row r="43" spans="2:31" s="202" customFormat="1" x14ac:dyDescent="0.25">
      <c r="B43" s="203" t="s">
        <v>634</v>
      </c>
      <c r="C43" s="204"/>
      <c r="D43" s="204">
        <v>123.30398</v>
      </c>
      <c r="E43" s="203">
        <v>1196.7125659154813</v>
      </c>
      <c r="F43" s="204">
        <f t="shared" si="61"/>
        <v>147559.42229339117</v>
      </c>
      <c r="G43" s="204">
        <v>18914.984710000001</v>
      </c>
      <c r="H43" s="204">
        <v>6496.6360800000002</v>
      </c>
      <c r="I43" s="204">
        <v>12418.34863</v>
      </c>
      <c r="J43" s="204">
        <f t="shared" si="62"/>
        <v>159977.77092339116</v>
      </c>
      <c r="K43" s="204"/>
      <c r="L43" s="204">
        <v>32812.765039999998</v>
      </c>
      <c r="M43" s="204">
        <v>34043.374669999997</v>
      </c>
      <c r="N43" s="204">
        <v>11490.18958</v>
      </c>
      <c r="O43" s="204">
        <v>11755.686960000001</v>
      </c>
      <c r="P43" s="204">
        <v>4983.72606</v>
      </c>
      <c r="Q43" s="204">
        <v>5375.7334499999997</v>
      </c>
      <c r="R43" s="204">
        <v>6956.5965999999999</v>
      </c>
      <c r="S43" s="204">
        <v>7754.1807600000002</v>
      </c>
      <c r="T43" s="206"/>
      <c r="U43" s="207">
        <f t="shared" si="63"/>
        <v>4.8754736374204439</v>
      </c>
      <c r="V43" s="207">
        <f t="shared" si="64"/>
        <v>4.6992336239911072</v>
      </c>
      <c r="W43" s="207">
        <f t="shared" si="65"/>
        <v>13.922987937627322</v>
      </c>
      <c r="X43" s="207">
        <f t="shared" si="66"/>
        <v>13.608542951826879</v>
      </c>
      <c r="Y43" s="207">
        <f t="shared" si="67"/>
        <v>29.608253045391336</v>
      </c>
      <c r="Z43" s="207">
        <f t="shared" si="68"/>
        <v>27.449170176655834</v>
      </c>
      <c r="AA43" s="207">
        <f t="shared" si="69"/>
        <v>21.211438693080346</v>
      </c>
      <c r="AB43" s="207">
        <f t="shared" si="70"/>
        <v>19.029659851957224</v>
      </c>
      <c r="AC43" s="204"/>
      <c r="AD43" s="208">
        <v>0.51667334941321708</v>
      </c>
      <c r="AE43" s="209">
        <v>0.34066224583764976</v>
      </c>
    </row>
    <row r="44" spans="2:31" s="202" customFormat="1" x14ac:dyDescent="0.25">
      <c r="B44" s="507" t="s">
        <v>635</v>
      </c>
      <c r="C44" s="508"/>
      <c r="D44" s="508">
        <v>145.97999999999999</v>
      </c>
      <c r="E44" s="507">
        <v>439.51199999999994</v>
      </c>
      <c r="F44" s="508">
        <f t="shared" si="61"/>
        <v>64159.961759999984</v>
      </c>
      <c r="G44" s="508">
        <v>5878</v>
      </c>
      <c r="H44" s="508">
        <v>4692</v>
      </c>
      <c r="I44" s="508">
        <v>1186</v>
      </c>
      <c r="J44" s="508">
        <f t="shared" si="62"/>
        <v>65345.961759999984</v>
      </c>
      <c r="K44" s="508"/>
      <c r="L44" s="508">
        <v>11705.82042</v>
      </c>
      <c r="M44" s="508">
        <v>12729.34497</v>
      </c>
      <c r="N44" s="508">
        <v>4617.1655099999998</v>
      </c>
      <c r="O44" s="508">
        <v>4414.49694</v>
      </c>
      <c r="P44" s="508">
        <v>1699.7864500000001</v>
      </c>
      <c r="Q44" s="508">
        <v>1596.44451</v>
      </c>
      <c r="R44" s="508">
        <v>3755.3091800000002</v>
      </c>
      <c r="S44" s="508">
        <v>3921.2601300000001</v>
      </c>
      <c r="T44" s="509"/>
      <c r="U44" s="510">
        <f t="shared" si="63"/>
        <v>5.5823478761345955</v>
      </c>
      <c r="V44" s="510">
        <f t="shared" si="64"/>
        <v>5.1334897368250036</v>
      </c>
      <c r="W44" s="510">
        <f t="shared" si="65"/>
        <v>14.152830696337759</v>
      </c>
      <c r="X44" s="510">
        <f t="shared" si="66"/>
        <v>14.802583997260623</v>
      </c>
      <c r="Y44" s="510">
        <f t="shared" si="67"/>
        <v>37.745895527052816</v>
      </c>
      <c r="Z44" s="510">
        <f t="shared" si="68"/>
        <v>40.189283973296376</v>
      </c>
      <c r="AA44" s="510">
        <f t="shared" si="69"/>
        <v>17.08513432174977</v>
      </c>
      <c r="AB44" s="510">
        <f t="shared" si="70"/>
        <v>16.362077401888659</v>
      </c>
      <c r="AC44" s="508"/>
      <c r="AD44" s="511">
        <v>0.64943100209921556</v>
      </c>
      <c r="AE44" s="512">
        <v>0.39373032353138188</v>
      </c>
    </row>
    <row r="45" spans="2:31" s="192" customFormat="1" x14ac:dyDescent="0.25">
      <c r="B45" s="504" t="s">
        <v>351</v>
      </c>
      <c r="C45" s="504"/>
      <c r="D45" s="504"/>
      <c r="E45" s="504"/>
      <c r="F45" s="504"/>
      <c r="G45" s="504"/>
      <c r="H45" s="504"/>
      <c r="I45" s="504"/>
      <c r="J45" s="504"/>
      <c r="K45" s="504"/>
      <c r="L45" s="504"/>
      <c r="M45" s="504"/>
      <c r="N45" s="504"/>
      <c r="O45" s="504"/>
      <c r="P45" s="504"/>
      <c r="Q45" s="504"/>
      <c r="R45" s="504"/>
      <c r="S45" s="504"/>
      <c r="T45" s="504"/>
      <c r="U45" s="505">
        <f>AVERAGE(U41:U44)</f>
        <v>6.5395421500994555</v>
      </c>
      <c r="V45" s="505">
        <f t="shared" ref="V45" si="71">AVERAGE(V41:V44)</f>
        <v>5.9142008062274289</v>
      </c>
      <c r="W45" s="505">
        <f t="shared" ref="W45" si="72">AVERAGE(W41:W44)</f>
        <v>18.053718636263433</v>
      </c>
      <c r="X45" s="505">
        <f t="shared" ref="X45" si="73">AVERAGE(X41:X44)</f>
        <v>16.709773133673668</v>
      </c>
      <c r="Y45" s="505">
        <f t="shared" ref="Y45" si="74">AVERAGE(Y41:Y44)</f>
        <v>34.767219259581502</v>
      </c>
      <c r="Z45" s="505">
        <f t="shared" ref="Z45" si="75">AVERAGE(Z41:Z44)</f>
        <v>400.48678195299993</v>
      </c>
      <c r="AA45" s="505">
        <f t="shared" ref="AA45" si="76">AVERAGE(AA41:AA44)</f>
        <v>23.518637024186006</v>
      </c>
      <c r="AB45" s="505">
        <f t="shared" ref="AB45" si="77">AVERAGE(AB41:AB44)</f>
        <v>21.433729387985665</v>
      </c>
      <c r="AC45" s="504" t="e">
        <f t="shared" ref="AC45" si="78">AVERAGE(AC41:AC44)</f>
        <v>#DIV/0!</v>
      </c>
      <c r="AD45" s="505">
        <f t="shared" ref="AD45" si="79">AVERAGE(AD41:AD44)</f>
        <v>2.1278978323256723</v>
      </c>
      <c r="AE45" s="506">
        <f t="shared" ref="AE45" si="80">AVERAGE(AE41:AE44)</f>
        <v>0.43654316095728657</v>
      </c>
    </row>
    <row r="46" spans="2:31" s="192" customFormat="1" x14ac:dyDescent="0.25">
      <c r="B46" s="504" t="s">
        <v>352</v>
      </c>
      <c r="C46" s="504"/>
      <c r="D46" s="504"/>
      <c r="E46" s="504"/>
      <c r="F46" s="504"/>
      <c r="G46" s="504"/>
      <c r="H46" s="504"/>
      <c r="I46" s="504"/>
      <c r="J46" s="504"/>
      <c r="K46" s="504"/>
      <c r="L46" s="504"/>
      <c r="M46" s="504"/>
      <c r="N46" s="504"/>
      <c r="O46" s="504"/>
      <c r="P46" s="504"/>
      <c r="Q46" s="504"/>
      <c r="R46" s="504"/>
      <c r="S46" s="504"/>
      <c r="T46" s="504"/>
      <c r="U46" s="505">
        <f>MEDIAN(U41:U44)</f>
        <v>5.7934710441037707</v>
      </c>
      <c r="V46" s="505">
        <f t="shared" ref="V46:AE46" si="81">MEDIAN(V41:V44)</f>
        <v>5.4957572007753814</v>
      </c>
      <c r="W46" s="505">
        <f t="shared" si="81"/>
        <v>14.037909316982541</v>
      </c>
      <c r="X46" s="505">
        <f t="shared" si="81"/>
        <v>14.205563474543752</v>
      </c>
      <c r="Y46" s="505">
        <f t="shared" si="81"/>
        <v>33.67707428622208</v>
      </c>
      <c r="Z46" s="505">
        <f t="shared" si="81"/>
        <v>33.819227074976105</v>
      </c>
      <c r="AA46" s="505">
        <f t="shared" si="81"/>
        <v>19.148286507415058</v>
      </c>
      <c r="AB46" s="505">
        <f t="shared" si="81"/>
        <v>17.695868626922941</v>
      </c>
      <c r="AC46" s="504" t="e">
        <f t="shared" si="81"/>
        <v>#NUM!</v>
      </c>
      <c r="AD46" s="505">
        <f t="shared" si="81"/>
        <v>0.58305217575621637</v>
      </c>
      <c r="AE46" s="506">
        <f t="shared" si="81"/>
        <v>0.36719628468451582</v>
      </c>
    </row>
    <row r="47" spans="2:31" s="192" customFormat="1" x14ac:dyDescent="0.25">
      <c r="B47" s="504" t="s">
        <v>525</v>
      </c>
      <c r="C47" s="504"/>
      <c r="D47" s="504"/>
      <c r="E47" s="504"/>
      <c r="F47" s="504"/>
      <c r="G47" s="504"/>
      <c r="H47" s="504"/>
      <c r="I47" s="504"/>
      <c r="J47" s="504"/>
      <c r="K47" s="504"/>
      <c r="L47" s="504"/>
      <c r="M47" s="504"/>
      <c r="N47" s="504"/>
      <c r="O47" s="504"/>
      <c r="P47" s="504"/>
      <c r="Q47" s="504"/>
      <c r="R47" s="504"/>
      <c r="S47" s="504"/>
      <c r="T47" s="504"/>
      <c r="U47" s="505">
        <f>MIN(U41:U44)</f>
        <v>4.8754736374204439</v>
      </c>
      <c r="V47" s="505">
        <f t="shared" ref="V47:AE47" si="82">MIN(V41:V44)</f>
        <v>4.6992336239911072</v>
      </c>
      <c r="W47" s="505">
        <f t="shared" si="82"/>
        <v>11.831514470029475</v>
      </c>
      <c r="X47" s="505">
        <f t="shared" si="82"/>
        <v>11.668352423460883</v>
      </c>
      <c r="Y47" s="505">
        <f t="shared" si="82"/>
        <v>18.640449106851786</v>
      </c>
      <c r="Z47" s="505">
        <f t="shared" si="82"/>
        <v>17.904647334818488</v>
      </c>
      <c r="AA47" s="505">
        <f t="shared" si="82"/>
        <v>13.61334237687978</v>
      </c>
      <c r="AB47" s="505">
        <f t="shared" si="82"/>
        <v>12.924576013441701</v>
      </c>
      <c r="AC47" s="504">
        <f t="shared" si="82"/>
        <v>0</v>
      </c>
      <c r="AD47" s="505">
        <f t="shared" si="82"/>
        <v>0.15455619020075675</v>
      </c>
      <c r="AE47" s="506">
        <f t="shared" si="82"/>
        <v>0.13386632154636163</v>
      </c>
    </row>
    <row r="48" spans="2:31" s="192" customFormat="1" x14ac:dyDescent="0.25">
      <c r="B48" s="504" t="s">
        <v>526</v>
      </c>
      <c r="C48" s="504"/>
      <c r="D48" s="504"/>
      <c r="E48" s="504"/>
      <c r="F48" s="504"/>
      <c r="G48" s="504"/>
      <c r="H48" s="504"/>
      <c r="I48" s="504"/>
      <c r="J48" s="504"/>
      <c r="K48" s="504"/>
      <c r="L48" s="504"/>
      <c r="M48" s="504"/>
      <c r="N48" s="504"/>
      <c r="O48" s="504"/>
      <c r="P48" s="504"/>
      <c r="Q48" s="504"/>
      <c r="R48" s="504"/>
      <c r="S48" s="504"/>
      <c r="T48" s="504"/>
      <c r="U48" s="505">
        <f>MAX(U41:U44)</f>
        <v>9.6957528747698376</v>
      </c>
      <c r="V48" s="505">
        <f t="shared" ref="V48:AE48" si="83">MAX(V41:V44)</f>
        <v>7.9660551993678483</v>
      </c>
      <c r="W48" s="505">
        <f t="shared" si="83"/>
        <v>32.307541441059179</v>
      </c>
      <c r="X48" s="505">
        <f t="shared" si="83"/>
        <v>26.759613162146294</v>
      </c>
      <c r="Y48" s="505">
        <f t="shared" si="83"/>
        <v>53.074279359030079</v>
      </c>
      <c r="Z48" s="505">
        <f t="shared" si="83"/>
        <v>1516.4040263272291</v>
      </c>
      <c r="AA48" s="505">
        <f t="shared" si="83"/>
        <v>42.164632705034144</v>
      </c>
      <c r="AB48" s="505">
        <f t="shared" si="83"/>
        <v>37.418604284655082</v>
      </c>
      <c r="AC48" s="504">
        <f t="shared" si="83"/>
        <v>0</v>
      </c>
      <c r="AD48" s="505">
        <f t="shared" si="83"/>
        <v>7.1909307875894992</v>
      </c>
      <c r="AE48" s="506">
        <f t="shared" si="83"/>
        <v>0.87791375291375295</v>
      </c>
    </row>
    <row r="49" spans="2:31" s="202" customFormat="1" x14ac:dyDescent="0.25">
      <c r="B49" s="203"/>
      <c r="C49" s="204"/>
      <c r="D49" s="205"/>
      <c r="E49" s="203"/>
      <c r="F49" s="204"/>
      <c r="G49" s="204"/>
      <c r="H49" s="204"/>
      <c r="I49" s="204"/>
      <c r="J49" s="204"/>
      <c r="K49" s="204"/>
      <c r="L49" s="204"/>
      <c r="M49" s="204"/>
      <c r="N49" s="204"/>
      <c r="O49" s="204"/>
      <c r="P49" s="204"/>
      <c r="Q49" s="204"/>
      <c r="R49" s="204"/>
      <c r="S49" s="204"/>
      <c r="T49" s="206"/>
      <c r="U49" s="207"/>
      <c r="V49" s="207"/>
      <c r="W49" s="207"/>
      <c r="X49" s="207"/>
      <c r="Y49" s="207"/>
      <c r="Z49" s="207"/>
      <c r="AA49" s="207"/>
      <c r="AB49" s="207"/>
      <c r="AC49" s="204"/>
      <c r="AD49" s="208"/>
      <c r="AE49" s="209"/>
    </row>
    <row r="50" spans="2:31" s="202" customFormat="1" x14ac:dyDescent="0.25">
      <c r="B50" s="497" t="s">
        <v>353</v>
      </c>
      <c r="C50" s="498"/>
      <c r="D50" s="499"/>
      <c r="E50" s="497"/>
      <c r="F50" s="498"/>
      <c r="G50" s="498"/>
      <c r="H50" s="498"/>
      <c r="I50" s="498"/>
      <c r="J50" s="498"/>
      <c r="K50" s="498"/>
      <c r="L50" s="498"/>
      <c r="M50" s="498"/>
      <c r="N50" s="498"/>
      <c r="O50" s="498"/>
      <c r="P50" s="498"/>
      <c r="Q50" s="498"/>
      <c r="R50" s="498"/>
      <c r="S50" s="498"/>
      <c r="T50" s="500"/>
      <c r="U50" s="501"/>
      <c r="V50" s="501"/>
      <c r="W50" s="501"/>
      <c r="X50" s="501"/>
      <c r="Y50" s="501"/>
      <c r="Z50" s="501"/>
      <c r="AA50" s="501"/>
      <c r="AB50" s="501"/>
      <c r="AC50" s="498"/>
      <c r="AD50" s="502"/>
      <c r="AE50" s="503"/>
    </row>
    <row r="51" spans="2:31" s="202" customFormat="1" x14ac:dyDescent="0.25">
      <c r="B51" s="203" t="s">
        <v>636</v>
      </c>
      <c r="C51" s="204"/>
      <c r="D51" s="204">
        <v>512.17999999999995</v>
      </c>
      <c r="E51" s="203">
        <v>456.39056490347144</v>
      </c>
      <c r="F51" s="204">
        <f t="shared" ref="F51:F54" si="84">+D51*E51</f>
        <v>233754.11953225997</v>
      </c>
      <c r="G51" s="204">
        <v>18510.826000000001</v>
      </c>
      <c r="H51" s="204">
        <v>8205.5499999999993</v>
      </c>
      <c r="I51" s="204">
        <v>10305.276000000002</v>
      </c>
      <c r="J51" s="204">
        <f t="shared" ref="J51:J52" si="85">+F51+I51</f>
        <v>244059.39553225998</v>
      </c>
      <c r="K51" s="204"/>
      <c r="L51" s="204">
        <v>30009.294730000001</v>
      </c>
      <c r="M51" s="204">
        <v>34701.41001</v>
      </c>
      <c r="N51" s="204">
        <v>6669.4741400000003</v>
      </c>
      <c r="O51" s="204">
        <v>8404.0180299999993</v>
      </c>
      <c r="P51" s="204">
        <v>4513.9276099999997</v>
      </c>
      <c r="Q51" s="204">
        <v>5881.9483899999996</v>
      </c>
      <c r="R51" s="204">
        <v>500.69011999999998</v>
      </c>
      <c r="S51" s="204">
        <v>1538.0186900000001</v>
      </c>
      <c r="T51" s="206"/>
      <c r="U51" s="207">
        <f t="shared" ref="U51:U54" si="86">$J51/L51</f>
        <v>8.1327934471007808</v>
      </c>
      <c r="V51" s="207">
        <f t="shared" ref="V51:V54" si="87">$J51/M51</f>
        <v>7.0331261888761496</v>
      </c>
      <c r="W51" s="207">
        <f t="shared" ref="W51:W54" si="88">$J51/N51</f>
        <v>36.593499038930226</v>
      </c>
      <c r="X51" s="207">
        <f t="shared" ref="X51:X54" si="89">$J51/O51</f>
        <v>29.040798658574509</v>
      </c>
      <c r="Y51" s="207">
        <f t="shared" ref="Y51:Y54" si="90">$F51/P51</f>
        <v>51.78508379585201</v>
      </c>
      <c r="Z51" s="207">
        <f t="shared" ref="Z51:Z54" si="91">$F51/Q51</f>
        <v>39.740933451519112</v>
      </c>
      <c r="AA51" s="207">
        <f t="shared" ref="AA51:AA54" si="92">$F51/R51</f>
        <v>466.86385489743634</v>
      </c>
      <c r="AB51" s="207">
        <f t="shared" ref="AB51:AB54" si="93">$F51/S51</f>
        <v>151.98392649718707</v>
      </c>
      <c r="AC51" s="204"/>
      <c r="AD51" s="208">
        <v>1.6728806605188864</v>
      </c>
      <c r="AE51" s="209">
        <v>0.6258718113490821</v>
      </c>
    </row>
    <row r="52" spans="2:31" s="202" customFormat="1" x14ac:dyDescent="0.25">
      <c r="B52" s="203" t="s">
        <v>637</v>
      </c>
      <c r="C52" s="204"/>
      <c r="D52" s="204">
        <v>272.11</v>
      </c>
      <c r="E52" s="203">
        <v>198.39905316952704</v>
      </c>
      <c r="F52" s="204">
        <f t="shared" si="84"/>
        <v>53986.366357960003</v>
      </c>
      <c r="G52" s="204">
        <v>743.73089000000004</v>
      </c>
      <c r="H52" s="204">
        <v>1407.9510700000001</v>
      </c>
      <c r="I52" s="204">
        <v>-664.22018000000003</v>
      </c>
      <c r="J52" s="204">
        <f t="shared" si="85"/>
        <v>53322.146177960007</v>
      </c>
      <c r="K52" s="204"/>
      <c r="L52" s="204">
        <v>11340.61673</v>
      </c>
      <c r="M52" s="204">
        <v>13579.68958</v>
      </c>
      <c r="N52" s="204">
        <v>-69.601590000000002</v>
      </c>
      <c r="O52" s="204">
        <v>149.45739</v>
      </c>
      <c r="P52" s="204">
        <v>-343.20850000000002</v>
      </c>
      <c r="Q52" s="204">
        <v>-181.57317</v>
      </c>
      <c r="R52" s="204">
        <v>417.85843</v>
      </c>
      <c r="S52" s="204">
        <v>819.78107</v>
      </c>
      <c r="T52" s="206"/>
      <c r="U52" s="207">
        <f t="shared" si="86"/>
        <v>4.7018735794944728</v>
      </c>
      <c r="V52" s="207">
        <f t="shared" si="87"/>
        <v>3.9266100939812505</v>
      </c>
      <c r="W52" s="207">
        <f t="shared" si="88"/>
        <v>-766.10528836999276</v>
      </c>
      <c r="X52" s="207">
        <f t="shared" si="89"/>
        <v>356.77155996073532</v>
      </c>
      <c r="Y52" s="207">
        <f t="shared" si="90"/>
        <v>-157.29903646896858</v>
      </c>
      <c r="Z52" s="207">
        <f t="shared" si="91"/>
        <v>-297.32568064962464</v>
      </c>
      <c r="AA52" s="207">
        <f t="shared" si="92"/>
        <v>129.19774373813638</v>
      </c>
      <c r="AB52" s="207">
        <f t="shared" si="93"/>
        <v>65.854614522826196</v>
      </c>
      <c r="AC52" s="204"/>
      <c r="AD52" s="208">
        <v>0.21675579417915869</v>
      </c>
      <c r="AE52" s="209">
        <v>0.17814239736198281</v>
      </c>
    </row>
    <row r="53" spans="2:31" s="202" customFormat="1" x14ac:dyDescent="0.25">
      <c r="B53" s="203" t="s">
        <v>638</v>
      </c>
      <c r="C53" s="204"/>
      <c r="D53" s="204">
        <v>347.51</v>
      </c>
      <c r="E53" s="203">
        <v>141.54353552415756</v>
      </c>
      <c r="F53" s="204">
        <f t="shared" si="84"/>
        <v>49187.79402999999</v>
      </c>
      <c r="G53" s="204">
        <v>438.32499999999999</v>
      </c>
      <c r="H53" s="204">
        <v>1092.8150000000001</v>
      </c>
      <c r="I53" s="204">
        <v>-654.49</v>
      </c>
      <c r="J53" s="204">
        <f>+F53+I53</f>
        <v>48533.304029999992</v>
      </c>
      <c r="K53" s="204"/>
      <c r="L53" s="204">
        <v>2529.8315299999999</v>
      </c>
      <c r="M53" s="204">
        <v>3501.87878</v>
      </c>
      <c r="N53" s="204">
        <v>175.32220000000001</v>
      </c>
      <c r="O53" s="204">
        <v>333.93792999999999</v>
      </c>
      <c r="P53" s="204">
        <v>-31.402370000000001</v>
      </c>
      <c r="Q53" s="204">
        <v>79.201099999999997</v>
      </c>
      <c r="R53" s="204">
        <v>181.988</v>
      </c>
      <c r="S53" s="204">
        <v>371.19450000000001</v>
      </c>
      <c r="T53" s="206"/>
      <c r="U53" s="207">
        <f t="shared" si="86"/>
        <v>19.184401591358139</v>
      </c>
      <c r="V53" s="207">
        <f t="shared" si="87"/>
        <v>13.859218744859007</v>
      </c>
      <c r="W53" s="207">
        <f t="shared" si="88"/>
        <v>276.82349428651929</v>
      </c>
      <c r="X53" s="207">
        <f t="shared" si="89"/>
        <v>145.33630255778368</v>
      </c>
      <c r="Y53" s="207">
        <f t="shared" si="90"/>
        <v>-1566.3720295633734</v>
      </c>
      <c r="Z53" s="207">
        <f t="shared" si="91"/>
        <v>621.04937974346308</v>
      </c>
      <c r="AA53" s="207">
        <f t="shared" si="92"/>
        <v>270.28042524781847</v>
      </c>
      <c r="AB53" s="207">
        <f t="shared" si="93"/>
        <v>132.51218439389589</v>
      </c>
      <c r="AC53" s="204"/>
      <c r="AD53" s="208">
        <v>0.33006027793360765</v>
      </c>
      <c r="AE53" s="209">
        <v>0.24815437571475477</v>
      </c>
    </row>
    <row r="54" spans="2:31" s="202" customFormat="1" x14ac:dyDescent="0.25">
      <c r="B54" s="507" t="s">
        <v>639</v>
      </c>
      <c r="C54" s="508"/>
      <c r="D54" s="508">
        <v>6.08</v>
      </c>
      <c r="E54" s="507">
        <v>4173.1233881578946</v>
      </c>
      <c r="F54" s="508">
        <f t="shared" si="84"/>
        <v>25372.590199999999</v>
      </c>
      <c r="G54" s="508">
        <v>8968</v>
      </c>
      <c r="H54" s="508">
        <v>71</v>
      </c>
      <c r="I54" s="508">
        <v>8897</v>
      </c>
      <c r="J54" s="508">
        <f>+F54+I54</f>
        <v>34269.590199999999</v>
      </c>
      <c r="K54" s="508"/>
      <c r="L54" s="508">
        <v>8407.1327700000002</v>
      </c>
      <c r="M54" s="508">
        <v>8808.2873099999997</v>
      </c>
      <c r="N54" s="508">
        <v>2577.86537</v>
      </c>
      <c r="O54" s="508">
        <v>2753.5601499999998</v>
      </c>
      <c r="P54" s="508">
        <v>1124.9599700000001</v>
      </c>
      <c r="Q54" s="508">
        <v>1251.4385500000001</v>
      </c>
      <c r="R54" s="508">
        <v>1972.0833299999999</v>
      </c>
      <c r="S54" s="508">
        <v>2046.79333</v>
      </c>
      <c r="T54" s="509"/>
      <c r="U54" s="510">
        <f t="shared" si="86"/>
        <v>4.0762518134943164</v>
      </c>
      <c r="V54" s="510">
        <f t="shared" si="87"/>
        <v>3.8906076736500093</v>
      </c>
      <c r="W54" s="510">
        <f t="shared" si="88"/>
        <v>13.293785858180794</v>
      </c>
      <c r="X54" s="510">
        <f t="shared" si="89"/>
        <v>12.445557145355986</v>
      </c>
      <c r="Y54" s="510">
        <f t="shared" si="90"/>
        <v>22.554216040238298</v>
      </c>
      <c r="Z54" s="510">
        <f t="shared" si="91"/>
        <v>20.274739179163049</v>
      </c>
      <c r="AA54" s="510">
        <f t="shared" si="92"/>
        <v>12.865881382405885</v>
      </c>
      <c r="AB54" s="510">
        <f t="shared" si="93"/>
        <v>12.396263867051003</v>
      </c>
      <c r="AC54" s="508"/>
      <c r="AD54" s="511">
        <v>-3.9247264770240702</v>
      </c>
      <c r="AE54" s="512">
        <v>1.3419123148286698</v>
      </c>
    </row>
    <row r="55" spans="2:31" s="192" customFormat="1" x14ac:dyDescent="0.25">
      <c r="B55" s="504" t="s">
        <v>354</v>
      </c>
      <c r="C55" s="504"/>
      <c r="D55" s="504"/>
      <c r="E55" s="504"/>
      <c r="F55" s="504"/>
      <c r="G55" s="504"/>
      <c r="H55" s="504"/>
      <c r="I55" s="504"/>
      <c r="J55" s="504"/>
      <c r="K55" s="504"/>
      <c r="L55" s="504"/>
      <c r="M55" s="504"/>
      <c r="N55" s="504"/>
      <c r="O55" s="504"/>
      <c r="P55" s="504"/>
      <c r="Q55" s="504"/>
      <c r="R55" s="504"/>
      <c r="S55" s="504"/>
      <c r="T55" s="504"/>
      <c r="U55" s="505">
        <f>AVERAGE(U51:U54)</f>
        <v>9.0238301078619276</v>
      </c>
      <c r="V55" s="505">
        <f t="shared" ref="V55" si="94">AVERAGE(V51:V54)</f>
        <v>7.1773906753416039</v>
      </c>
      <c r="W55" s="505">
        <f t="shared" ref="W55" si="95">AVERAGE(W51:W54)</f>
        <v>-109.84862729659062</v>
      </c>
      <c r="X55" s="505">
        <f t="shared" ref="X55" si="96">AVERAGE(X51:X54)</f>
        <v>135.89855458061237</v>
      </c>
      <c r="Y55" s="505">
        <f t="shared" ref="Y55" si="97">AVERAGE(Y51:Y54)</f>
        <v>-412.33294154906292</v>
      </c>
      <c r="Z55" s="505">
        <f t="shared" ref="Z55" si="98">AVERAGE(Z51:Z54)</f>
        <v>95.934842931130135</v>
      </c>
      <c r="AA55" s="505">
        <f t="shared" ref="AA55" si="99">AVERAGE(AA51:AA54)</f>
        <v>219.80197631644927</v>
      </c>
      <c r="AB55" s="505">
        <f t="shared" ref="AB55" si="100">AVERAGE(AB51:AB54)</f>
        <v>90.686747320240045</v>
      </c>
      <c r="AC55" s="504" t="e">
        <f t="shared" ref="AC55" si="101">AVERAGE(AC51:AC54)</f>
        <v>#DIV/0!</v>
      </c>
      <c r="AD55" s="505">
        <f t="shared" ref="AD55" si="102">AVERAGE(AD51:AD54)</f>
        <v>-0.4262574360981044</v>
      </c>
      <c r="AE55" s="506">
        <f t="shared" ref="AE55" si="103">AVERAGE(AE51:AE54)</f>
        <v>0.59852022481362233</v>
      </c>
    </row>
    <row r="56" spans="2:31" s="192" customFormat="1" x14ac:dyDescent="0.25">
      <c r="B56" s="504" t="s">
        <v>355</v>
      </c>
      <c r="C56" s="504"/>
      <c r="D56" s="545"/>
      <c r="E56" s="545"/>
      <c r="F56" s="545"/>
      <c r="G56" s="545"/>
      <c r="H56" s="545"/>
      <c r="I56" s="545"/>
      <c r="J56" s="545"/>
      <c r="K56" s="545"/>
      <c r="L56" s="545"/>
      <c r="M56" s="545"/>
      <c r="N56" s="545"/>
      <c r="O56" s="545"/>
      <c r="P56" s="545"/>
      <c r="Q56" s="545"/>
      <c r="R56" s="545"/>
      <c r="S56" s="545"/>
      <c r="T56" s="504"/>
      <c r="U56" s="505">
        <f>MEDIAN(U51:U54)</f>
        <v>6.4173335132976268</v>
      </c>
      <c r="V56" s="505">
        <f t="shared" ref="V56:AE56" si="104">MEDIAN(V51:V54)</f>
        <v>5.4798681414286996</v>
      </c>
      <c r="W56" s="505">
        <f t="shared" si="104"/>
        <v>24.943642448555508</v>
      </c>
      <c r="X56" s="505">
        <f t="shared" si="104"/>
        <v>87.188550608179099</v>
      </c>
      <c r="Y56" s="505">
        <f t="shared" si="104"/>
        <v>-67.372410214365146</v>
      </c>
      <c r="Z56" s="505">
        <f t="shared" si="104"/>
        <v>30.007836315341081</v>
      </c>
      <c r="AA56" s="505">
        <f t="shared" si="104"/>
        <v>199.73908449297744</v>
      </c>
      <c r="AB56" s="505">
        <f t="shared" si="104"/>
        <v>99.183399458361038</v>
      </c>
      <c r="AC56" s="504" t="e">
        <f t="shared" si="104"/>
        <v>#NUM!</v>
      </c>
      <c r="AD56" s="505">
        <f t="shared" si="104"/>
        <v>0.2734080360563832</v>
      </c>
      <c r="AE56" s="506">
        <f t="shared" si="104"/>
        <v>0.43701309353191842</v>
      </c>
    </row>
    <row r="57" spans="2:31" s="192" customFormat="1" x14ac:dyDescent="0.25">
      <c r="B57" s="504" t="s">
        <v>527</v>
      </c>
      <c r="C57" s="504"/>
      <c r="D57" s="546"/>
      <c r="E57" s="546"/>
      <c r="F57" s="546"/>
      <c r="G57" s="546"/>
      <c r="H57" s="546"/>
      <c r="I57" s="546"/>
      <c r="J57" s="546"/>
      <c r="K57" s="546"/>
      <c r="L57" s="546"/>
      <c r="M57" s="546"/>
      <c r="N57" s="546"/>
      <c r="O57" s="546"/>
      <c r="P57" s="546"/>
      <c r="Q57" s="546"/>
      <c r="R57" s="546"/>
      <c r="S57" s="546"/>
      <c r="T57" s="504"/>
      <c r="U57" s="505">
        <f>MIN(U51:U54)</f>
        <v>4.0762518134943164</v>
      </c>
      <c r="V57" s="505">
        <f t="shared" ref="V57:AE57" si="105">MIN(V51:V54)</f>
        <v>3.8906076736500093</v>
      </c>
      <c r="W57" s="505">
        <f t="shared" si="105"/>
        <v>-766.10528836999276</v>
      </c>
      <c r="X57" s="505">
        <f t="shared" si="105"/>
        <v>12.445557145355986</v>
      </c>
      <c r="Y57" s="505">
        <f t="shared" si="105"/>
        <v>-1566.3720295633734</v>
      </c>
      <c r="Z57" s="505">
        <f t="shared" si="105"/>
        <v>-297.32568064962464</v>
      </c>
      <c r="AA57" s="505">
        <f t="shared" si="105"/>
        <v>12.865881382405885</v>
      </c>
      <c r="AB57" s="505">
        <f t="shared" si="105"/>
        <v>12.396263867051003</v>
      </c>
      <c r="AC57" s="504">
        <f t="shared" si="105"/>
        <v>0</v>
      </c>
      <c r="AD57" s="505">
        <f t="shared" si="105"/>
        <v>-3.9247264770240702</v>
      </c>
      <c r="AE57" s="506">
        <f t="shared" si="105"/>
        <v>0.17814239736198281</v>
      </c>
    </row>
    <row r="58" spans="2:31" s="192" customFormat="1" x14ac:dyDescent="0.25">
      <c r="B58" s="504" t="s">
        <v>528</v>
      </c>
      <c r="C58" s="504"/>
      <c r="D58" s="504"/>
      <c r="E58" s="504"/>
      <c r="F58" s="504"/>
      <c r="G58" s="504"/>
      <c r="H58" s="504"/>
      <c r="I58" s="504"/>
      <c r="J58" s="504"/>
      <c r="K58" s="504"/>
      <c r="L58" s="504"/>
      <c r="M58" s="504"/>
      <c r="N58" s="504"/>
      <c r="O58" s="504"/>
      <c r="P58" s="504"/>
      <c r="Q58" s="504"/>
      <c r="R58" s="504"/>
      <c r="S58" s="504"/>
      <c r="T58" s="504"/>
      <c r="U58" s="505">
        <f>MAX(U51:U54)</f>
        <v>19.184401591358139</v>
      </c>
      <c r="V58" s="505">
        <f t="shared" ref="V58:AE58" si="106">MAX(V51:V54)</f>
        <v>13.859218744859007</v>
      </c>
      <c r="W58" s="505">
        <f t="shared" si="106"/>
        <v>276.82349428651929</v>
      </c>
      <c r="X58" s="505">
        <f t="shared" si="106"/>
        <v>356.77155996073532</v>
      </c>
      <c r="Y58" s="505">
        <f t="shared" si="106"/>
        <v>51.78508379585201</v>
      </c>
      <c r="Z58" s="505">
        <f t="shared" si="106"/>
        <v>621.04937974346308</v>
      </c>
      <c r="AA58" s="505">
        <f t="shared" si="106"/>
        <v>466.86385489743634</v>
      </c>
      <c r="AB58" s="505">
        <f t="shared" si="106"/>
        <v>151.98392649718707</v>
      </c>
      <c r="AC58" s="504">
        <f t="shared" si="106"/>
        <v>0</v>
      </c>
      <c r="AD58" s="505">
        <f t="shared" si="106"/>
        <v>1.6728806605188864</v>
      </c>
      <c r="AE58" s="506">
        <f t="shared" si="106"/>
        <v>1.3419123148286698</v>
      </c>
    </row>
    <row r="60" spans="2:31" x14ac:dyDescent="0.25">
      <c r="C60" s="210"/>
      <c r="D60" s="211"/>
      <c r="E60" s="212"/>
      <c r="F60" s="210"/>
      <c r="G60" s="210"/>
      <c r="H60" s="210"/>
      <c r="I60" s="213"/>
      <c r="J60" s="210"/>
      <c r="K60" s="210"/>
      <c r="L60" s="213"/>
      <c r="M60" s="213"/>
      <c r="N60" s="213"/>
      <c r="O60" s="213"/>
      <c r="P60" s="213"/>
      <c r="Q60" s="213"/>
      <c r="R60" s="213"/>
      <c r="S60" s="213"/>
      <c r="T60" s="214"/>
      <c r="U60" s="215"/>
      <c r="V60" s="215"/>
      <c r="W60" s="215"/>
      <c r="X60" s="215"/>
      <c r="Y60" s="215"/>
      <c r="Z60" s="215"/>
      <c r="AA60" s="215"/>
      <c r="AB60" s="215"/>
      <c r="AC60" s="215"/>
      <c r="AD60" s="215"/>
      <c r="AE60" s="215"/>
    </row>
    <row r="61" spans="2:31" x14ac:dyDescent="0.25">
      <c r="B61" s="53" t="s">
        <v>159</v>
      </c>
      <c r="U61" s="547"/>
      <c r="V61" s="547"/>
      <c r="W61" s="547"/>
      <c r="X61" s="547"/>
      <c r="Y61" s="547"/>
      <c r="Z61" s="547"/>
      <c r="AA61" s="547"/>
      <c r="AB61" s="547"/>
      <c r="AC61" s="547"/>
      <c r="AD61" s="547"/>
      <c r="AE61" s="547"/>
    </row>
    <row r="62" spans="2:31" x14ac:dyDescent="0.25">
      <c r="B62" s="53" t="s">
        <v>606</v>
      </c>
    </row>
    <row r="63" spans="2:31" x14ac:dyDescent="0.25">
      <c r="B63" s="53" t="s">
        <v>234</v>
      </c>
      <c r="C63" s="202"/>
      <c r="D63" s="216"/>
      <c r="E63" s="203"/>
      <c r="F63" s="204"/>
      <c r="G63" s="204"/>
      <c r="H63" s="204"/>
      <c r="I63" s="204"/>
      <c r="J63" s="217"/>
      <c r="K63" s="202"/>
      <c r="L63" s="202"/>
      <c r="M63" s="202"/>
      <c r="N63" s="202"/>
      <c r="O63" s="202"/>
      <c r="AC63" s="202"/>
    </row>
    <row r="64" spans="2:31" x14ac:dyDescent="0.25">
      <c r="B64" s="53" t="s">
        <v>235</v>
      </c>
      <c r="C64" s="202"/>
      <c r="D64" s="216"/>
      <c r="E64" s="203"/>
      <c r="F64" s="204"/>
      <c r="G64" s="204"/>
      <c r="H64" s="204"/>
      <c r="I64" s="204"/>
      <c r="J64" s="217"/>
      <c r="K64" s="202"/>
      <c r="L64" s="202"/>
      <c r="M64" s="202"/>
      <c r="N64" s="202"/>
      <c r="O64" s="202"/>
      <c r="AC64" s="202"/>
    </row>
    <row r="65" spans="2:29" x14ac:dyDescent="0.25">
      <c r="B65" s="53" t="s">
        <v>357</v>
      </c>
      <c r="C65" s="202"/>
      <c r="D65" s="216"/>
      <c r="E65" s="203"/>
      <c r="F65" s="217"/>
      <c r="G65" s="217"/>
      <c r="H65" s="217"/>
      <c r="I65" s="204"/>
      <c r="J65" s="217"/>
      <c r="K65" s="202"/>
      <c r="L65" s="202"/>
      <c r="M65" s="202"/>
      <c r="N65" s="202"/>
      <c r="O65" s="202"/>
      <c r="AC65" s="202"/>
    </row>
  </sheetData>
  <pageMargins left="0.7" right="0.7" top="0.75" bottom="0.75" header="0.3" footer="0.3"/>
  <pageSetup scale="41" orientation="portrait" horizontalDpi="1200" verticalDpi="1200" r:id="rId1"/>
  <customProperties>
    <customPr name="Guid" r:id="rId2"/>
  </customPropertie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71BB0-1C4B-4A65-8D07-B3FDCEDC707F}">
  <dimension ref="A1:L15"/>
  <sheetViews>
    <sheetView showGridLines="0" zoomScale="85" zoomScaleNormal="85" zoomScaleSheetLayoutView="100" workbookViewId="0">
      <selection activeCell="L15" activeCellId="1" sqref="J15 L15"/>
    </sheetView>
  </sheetViews>
  <sheetFormatPr defaultColWidth="10.75" defaultRowHeight="13.8" x14ac:dyDescent="0.25"/>
  <cols>
    <col min="1" max="1" width="3.375" customWidth="1"/>
    <col min="2" max="2" width="30.75" customWidth="1"/>
    <col min="5" max="5" width="1.75" customWidth="1"/>
    <col min="9" max="9" width="1.75" customWidth="1"/>
    <col min="10" max="10" width="10.75" customWidth="1"/>
  </cols>
  <sheetData>
    <row r="1" spans="1:12" s="69" customFormat="1" ht="15.6" x14ac:dyDescent="0.3">
      <c r="A1" s="67" t="s">
        <v>76</v>
      </c>
      <c r="B1" s="68"/>
      <c r="C1" s="68"/>
      <c r="D1" s="68"/>
      <c r="E1" s="68"/>
      <c r="F1" s="68"/>
      <c r="G1" s="68"/>
      <c r="H1" s="68"/>
      <c r="I1" s="68"/>
      <c r="J1" s="68"/>
      <c r="K1" s="68"/>
      <c r="L1" s="68"/>
    </row>
    <row r="2" spans="1:12" s="53" customFormat="1" ht="18" x14ac:dyDescent="0.25">
      <c r="A2" s="70" t="s">
        <v>451</v>
      </c>
      <c r="B2" s="70"/>
      <c r="C2" s="70"/>
      <c r="D2" s="70"/>
      <c r="E2" s="70"/>
      <c r="F2" s="70"/>
      <c r="G2" s="70"/>
      <c r="H2" s="70"/>
      <c r="I2" s="70"/>
      <c r="J2" s="70"/>
      <c r="K2" s="70"/>
      <c r="L2" s="70"/>
    </row>
    <row r="3" spans="1:12" s="69" customFormat="1" ht="15.6" x14ac:dyDescent="0.3">
      <c r="A3" s="66" t="s">
        <v>214</v>
      </c>
      <c r="B3" s="71"/>
      <c r="C3" s="72"/>
      <c r="D3" s="71"/>
      <c r="E3" s="71"/>
      <c r="F3" s="72"/>
      <c r="G3" s="72"/>
      <c r="H3" s="72"/>
      <c r="I3" s="72"/>
      <c r="J3" s="72"/>
      <c r="K3" s="72"/>
      <c r="L3" s="72"/>
    </row>
    <row r="6" spans="1:12" x14ac:dyDescent="0.25">
      <c r="D6" s="63" t="s">
        <v>603</v>
      </c>
      <c r="E6" s="62"/>
      <c r="F6" s="61" t="s">
        <v>435</v>
      </c>
      <c r="G6" s="61"/>
      <c r="H6" s="61"/>
      <c r="I6" s="62"/>
      <c r="J6" s="61" t="s">
        <v>361</v>
      </c>
      <c r="K6" s="61"/>
      <c r="L6" s="61"/>
    </row>
    <row r="7" spans="1:12" x14ac:dyDescent="0.25">
      <c r="D7" s="63" t="s">
        <v>219</v>
      </c>
      <c r="E7" s="63"/>
      <c r="F7" s="63" t="s">
        <v>180</v>
      </c>
      <c r="G7" s="63" t="s">
        <v>255</v>
      </c>
      <c r="H7" s="63" t="s">
        <v>256</v>
      </c>
      <c r="I7" s="63"/>
      <c r="J7" s="63" t="s">
        <v>180</v>
      </c>
      <c r="K7" s="63" t="s">
        <v>255</v>
      </c>
      <c r="L7" s="63" t="s">
        <v>256</v>
      </c>
    </row>
    <row r="8" spans="1:12" ht="5.25" customHeight="1" x14ac:dyDescent="0.25">
      <c r="F8" s="47"/>
      <c r="G8" s="47"/>
      <c r="H8" s="47"/>
      <c r="J8" s="47"/>
      <c r="K8" s="47"/>
      <c r="L8" s="47"/>
    </row>
    <row r="9" spans="1:12" s="1" customFormat="1" x14ac:dyDescent="0.25">
      <c r="B9" s="1" t="s">
        <v>422</v>
      </c>
      <c r="D9" s="443">
        <f>'Financial Statements'!G334</f>
        <v>57358</v>
      </c>
      <c r="E9" s="41"/>
      <c r="F9" s="441">
        <f>Precedents!K22</f>
        <v>5.7709990059642147</v>
      </c>
      <c r="G9" s="441">
        <f>Precedents!K20</f>
        <v>12.60677086430629</v>
      </c>
      <c r="H9" s="441">
        <f>Precedents!K23</f>
        <v>20.179021479713604</v>
      </c>
      <c r="J9" s="224">
        <f>$D$9*F9</f>
        <v>331012.96098409541</v>
      </c>
      <c r="K9" s="224">
        <f t="shared" ref="K9:L9" si="0">$D$9*G9</f>
        <v>723099.16323488019</v>
      </c>
      <c r="L9" s="224">
        <f t="shared" si="0"/>
        <v>1157428.3140334128</v>
      </c>
    </row>
    <row r="10" spans="1:12" ht="5.25" customHeight="1" x14ac:dyDescent="0.25">
      <c r="J10" s="220"/>
      <c r="K10" s="220"/>
      <c r="L10" s="220"/>
    </row>
    <row r="11" spans="1:12" x14ac:dyDescent="0.25">
      <c r="B11" s="76" t="s">
        <v>263</v>
      </c>
      <c r="C11" s="76"/>
      <c r="D11" s="76"/>
      <c r="E11" s="76"/>
      <c r="F11" s="76"/>
      <c r="G11" s="76"/>
      <c r="H11" s="76"/>
      <c r="I11" s="76"/>
      <c r="J11" s="444">
        <f>-Comps!$I$10</f>
        <v>-59107</v>
      </c>
      <c r="K11" s="444">
        <f>-Comps!$I$10</f>
        <v>-59107</v>
      </c>
      <c r="L11" s="444">
        <f>-Comps!$I$10</f>
        <v>-59107</v>
      </c>
    </row>
    <row r="12" spans="1:12" x14ac:dyDescent="0.25">
      <c r="B12" s="226" t="s">
        <v>367</v>
      </c>
      <c r="C12" s="226"/>
      <c r="D12" s="226"/>
      <c r="E12" s="226"/>
      <c r="F12" s="226"/>
      <c r="G12" s="226"/>
      <c r="H12" s="226"/>
      <c r="I12" s="226"/>
      <c r="J12" s="227">
        <f>J9+J11</f>
        <v>271905.96098409541</v>
      </c>
      <c r="K12" s="227">
        <f t="shared" ref="K12:L12" si="1">K9+K11</f>
        <v>663992.16323488019</v>
      </c>
      <c r="L12" s="227">
        <f t="shared" si="1"/>
        <v>1098321.3140334128</v>
      </c>
    </row>
    <row r="13" spans="1:12" ht="5.25" customHeight="1" x14ac:dyDescent="0.25">
      <c r="B13" s="1"/>
      <c r="C13" s="1"/>
      <c r="D13" s="1"/>
      <c r="E13" s="1"/>
      <c r="F13" s="1"/>
      <c r="G13" s="1"/>
      <c r="H13" s="1"/>
      <c r="I13" s="1"/>
      <c r="J13" s="224"/>
      <c r="K13" s="224"/>
      <c r="L13" s="224"/>
    </row>
    <row r="14" spans="1:12" x14ac:dyDescent="0.25">
      <c r="B14" s="76" t="s">
        <v>368</v>
      </c>
      <c r="C14" s="76"/>
      <c r="D14" s="76"/>
      <c r="E14" s="76"/>
      <c r="F14" s="76"/>
      <c r="G14" s="76"/>
      <c r="H14" s="76"/>
      <c r="I14" s="76"/>
      <c r="J14" s="442">
        <f>Comps!$E$10</f>
        <v>518.20000000000005</v>
      </c>
      <c r="K14" s="442">
        <f>Comps!$E$10</f>
        <v>518.20000000000005</v>
      </c>
      <c r="L14" s="442">
        <f>Comps!$E$10</f>
        <v>518.20000000000005</v>
      </c>
    </row>
    <row r="15" spans="1:12" s="1" customFormat="1" x14ac:dyDescent="0.25">
      <c r="B15" s="226" t="s">
        <v>369</v>
      </c>
      <c r="C15" s="226"/>
      <c r="D15" s="226"/>
      <c r="E15" s="226"/>
      <c r="F15" s="226"/>
      <c r="G15" s="226"/>
      <c r="H15" s="226"/>
      <c r="I15" s="226"/>
      <c r="J15" s="227">
        <f>J12/J14</f>
        <v>524.71239093804593</v>
      </c>
      <c r="K15" s="227">
        <f t="shared" ref="K15:L15" si="2">K12/K14</f>
        <v>1281.3434257716715</v>
      </c>
      <c r="L15" s="227">
        <f t="shared" si="2"/>
        <v>2119.4930799564122</v>
      </c>
    </row>
  </sheetData>
  <pageMargins left="0.7" right="0.7" top="0.75" bottom="0.75" header="0.3" footer="0.3"/>
  <pageSetup scale="82"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5C2E0-A21B-41AE-BA23-65808D824D5E}">
  <dimension ref="A1:R23"/>
  <sheetViews>
    <sheetView showGridLines="0" zoomScale="85" zoomScaleNormal="85" workbookViewId="0">
      <selection activeCell="J21" sqref="J21:M23"/>
    </sheetView>
  </sheetViews>
  <sheetFormatPr defaultRowHeight="13.8" x14ac:dyDescent="0.25"/>
  <cols>
    <col min="1" max="1" width="3.375" customWidth="1"/>
    <col min="3" max="3" width="13.125" customWidth="1"/>
    <col min="4" max="4" width="37.25" bestFit="1" customWidth="1"/>
    <col min="5" max="5" width="40.125" bestFit="1" customWidth="1"/>
    <col min="6" max="6" width="15.875" bestFit="1" customWidth="1"/>
    <col min="7" max="17" width="13.125" customWidth="1"/>
    <col min="18" max="18" width="28.625" bestFit="1" customWidth="1"/>
  </cols>
  <sheetData>
    <row r="1" spans="1:18" ht="15.6" x14ac:dyDescent="0.25">
      <c r="A1" s="67" t="s">
        <v>76</v>
      </c>
      <c r="B1" s="263"/>
      <c r="C1" s="247"/>
      <c r="D1" s="247"/>
      <c r="E1" s="247"/>
      <c r="F1" s="247"/>
      <c r="G1" s="247"/>
      <c r="H1" s="247"/>
      <c r="I1" s="247"/>
      <c r="J1" s="247"/>
      <c r="K1" s="247"/>
      <c r="L1" s="247"/>
      <c r="M1" s="247"/>
      <c r="N1" s="247"/>
      <c r="O1" s="247"/>
      <c r="P1" s="247"/>
      <c r="Q1" s="247"/>
      <c r="R1" s="247"/>
    </row>
    <row r="2" spans="1:18" ht="18" x14ac:dyDescent="0.25">
      <c r="A2" s="70" t="s">
        <v>401</v>
      </c>
      <c r="B2" s="248"/>
      <c r="C2" s="248"/>
      <c r="D2" s="248"/>
      <c r="E2" s="248"/>
      <c r="F2" s="248"/>
      <c r="G2" s="248"/>
      <c r="H2" s="248"/>
      <c r="I2" s="248"/>
      <c r="J2" s="248"/>
      <c r="K2" s="248"/>
      <c r="L2" s="248"/>
      <c r="M2" s="248"/>
      <c r="N2" s="248"/>
      <c r="O2" s="248"/>
      <c r="P2" s="248"/>
      <c r="Q2" s="248"/>
      <c r="R2" s="248"/>
    </row>
    <row r="3" spans="1:18" ht="15.6" x14ac:dyDescent="0.25">
      <c r="A3" s="66" t="s">
        <v>214</v>
      </c>
      <c r="B3" s="264"/>
      <c r="C3" s="250"/>
      <c r="D3" s="250"/>
      <c r="E3" s="250"/>
      <c r="F3" s="250"/>
      <c r="G3" s="249"/>
      <c r="H3" s="249"/>
      <c r="I3" s="249"/>
      <c r="J3" s="249"/>
      <c r="K3" s="249"/>
      <c r="L3" s="249"/>
      <c r="M3" s="249"/>
      <c r="N3" s="249"/>
      <c r="O3" s="249"/>
      <c r="P3" s="249"/>
      <c r="Q3" s="249"/>
      <c r="R3" s="249"/>
    </row>
    <row r="4" spans="1:18" ht="14.4" x14ac:dyDescent="0.3">
      <c r="B4" s="251"/>
      <c r="C4" s="246"/>
      <c r="D4" s="246"/>
      <c r="E4" s="246"/>
      <c r="F4" s="246"/>
      <c r="G4" s="246"/>
      <c r="H4" s="246"/>
      <c r="I4" s="246"/>
      <c r="J4" s="246"/>
      <c r="K4" s="246"/>
      <c r="L4" s="246"/>
      <c r="M4" s="246"/>
      <c r="N4" s="246"/>
      <c r="O4" s="246"/>
      <c r="P4" s="246"/>
      <c r="Q4" s="246"/>
      <c r="R4" s="246"/>
    </row>
    <row r="5" spans="1:18" ht="15.6" x14ac:dyDescent="0.4">
      <c r="B5" s="252"/>
      <c r="C5" s="252"/>
      <c r="D5" s="266"/>
      <c r="E5" s="266"/>
      <c r="F5" s="266"/>
      <c r="G5" s="255"/>
      <c r="H5" s="255"/>
      <c r="I5" s="255"/>
      <c r="J5" s="252"/>
      <c r="K5" s="252"/>
      <c r="L5" s="252"/>
      <c r="M5" s="252"/>
      <c r="N5" s="253"/>
      <c r="O5" s="253"/>
      <c r="P5" s="253"/>
      <c r="Q5" s="253"/>
      <c r="R5" s="252"/>
    </row>
    <row r="6" spans="1:18" ht="15.6" x14ac:dyDescent="0.4">
      <c r="B6" s="254"/>
      <c r="C6" s="267" t="s">
        <v>402</v>
      </c>
      <c r="D6" s="255"/>
      <c r="E6" s="255"/>
      <c r="F6" s="255" t="s">
        <v>403</v>
      </c>
      <c r="G6" s="265" t="s">
        <v>403</v>
      </c>
      <c r="H6" s="265" t="s">
        <v>404</v>
      </c>
      <c r="I6" s="265" t="s">
        <v>405</v>
      </c>
      <c r="J6" s="253" t="s">
        <v>406</v>
      </c>
      <c r="K6" s="253"/>
      <c r="L6" s="253"/>
      <c r="M6" s="253"/>
      <c r="N6" s="253" t="s">
        <v>407</v>
      </c>
      <c r="O6" s="253"/>
      <c r="P6" s="253"/>
      <c r="Q6" s="253"/>
      <c r="R6" s="254"/>
    </row>
    <row r="7" spans="1:18" ht="15.6" x14ac:dyDescent="0.4">
      <c r="B7" s="256" t="s">
        <v>408</v>
      </c>
      <c r="C7" s="256" t="s">
        <v>409</v>
      </c>
      <c r="D7" s="257" t="s">
        <v>410</v>
      </c>
      <c r="E7" s="257" t="s">
        <v>411</v>
      </c>
      <c r="F7" s="257" t="s">
        <v>412</v>
      </c>
      <c r="G7" s="257" t="s">
        <v>413</v>
      </c>
      <c r="H7" s="257" t="s">
        <v>225</v>
      </c>
      <c r="I7" s="257" t="s">
        <v>139</v>
      </c>
      <c r="J7" s="253" t="s">
        <v>160</v>
      </c>
      <c r="K7" s="257" t="s">
        <v>161</v>
      </c>
      <c r="L7" s="257" t="s">
        <v>222</v>
      </c>
      <c r="M7" s="257" t="s">
        <v>223</v>
      </c>
      <c r="N7" s="253" t="s">
        <v>119</v>
      </c>
      <c r="O7" s="257" t="s">
        <v>219</v>
      </c>
      <c r="P7" s="257" t="s">
        <v>220</v>
      </c>
      <c r="Q7" s="257" t="s">
        <v>221</v>
      </c>
      <c r="R7" s="253" t="s">
        <v>414</v>
      </c>
    </row>
    <row r="8" spans="1:18" x14ac:dyDescent="0.25">
      <c r="B8" s="258"/>
      <c r="C8" s="258"/>
      <c r="D8" s="259"/>
      <c r="E8" s="259"/>
      <c r="F8" s="259"/>
      <c r="G8" s="259" t="s">
        <v>231</v>
      </c>
      <c r="H8" s="259" t="s">
        <v>231</v>
      </c>
      <c r="I8" s="259" t="s">
        <v>231</v>
      </c>
      <c r="J8" s="259" t="s">
        <v>232</v>
      </c>
      <c r="K8" s="259" t="s">
        <v>232</v>
      </c>
      <c r="L8" s="259" t="s">
        <v>232</v>
      </c>
      <c r="M8" s="259" t="s">
        <v>232</v>
      </c>
      <c r="N8" s="259" t="s">
        <v>231</v>
      </c>
      <c r="O8" s="259" t="s">
        <v>231</v>
      </c>
      <c r="P8" s="259" t="s">
        <v>231</v>
      </c>
      <c r="Q8" s="259" t="s">
        <v>231</v>
      </c>
      <c r="R8" s="258"/>
    </row>
    <row r="9" spans="1:18" x14ac:dyDescent="0.25">
      <c r="B9" s="258"/>
      <c r="C9" s="258"/>
      <c r="D9" s="259"/>
      <c r="E9" s="259"/>
      <c r="F9" s="259"/>
      <c r="G9" s="259"/>
      <c r="H9" s="259"/>
      <c r="I9" s="259"/>
      <c r="J9" s="259"/>
      <c r="K9" s="259"/>
      <c r="L9" s="259"/>
      <c r="M9" s="259"/>
      <c r="N9" s="259"/>
      <c r="O9" s="259"/>
      <c r="P9" s="259"/>
      <c r="Q9" s="259"/>
      <c r="R9" s="258"/>
    </row>
    <row r="10" spans="1:18" x14ac:dyDescent="0.25">
      <c r="B10" s="271">
        <v>1</v>
      </c>
      <c r="C10" s="269">
        <v>43782</v>
      </c>
      <c r="D10" s="260" t="s">
        <v>701</v>
      </c>
      <c r="E10" s="260" t="s">
        <v>702</v>
      </c>
      <c r="F10" s="268" t="s">
        <v>700</v>
      </c>
      <c r="G10" s="261">
        <v>5950.65</v>
      </c>
      <c r="H10" s="261">
        <v>679.91</v>
      </c>
      <c r="I10" s="261">
        <v>5270.74</v>
      </c>
      <c r="J10" s="262">
        <f>G10/N10</f>
        <v>0.16047226007365814</v>
      </c>
      <c r="K10" s="262">
        <f>G10/O10</f>
        <v>7.2691236471134344</v>
      </c>
      <c r="L10" s="262">
        <f>I10/P10</f>
        <v>15.401612997486994</v>
      </c>
      <c r="M10" s="262">
        <f>I10/Q10</f>
        <v>13.86671928439884</v>
      </c>
      <c r="N10" s="261">
        <v>37082.11</v>
      </c>
      <c r="O10" s="261">
        <v>818.62</v>
      </c>
      <c r="P10" s="261">
        <v>342.22</v>
      </c>
      <c r="Q10" s="261">
        <v>380.1</v>
      </c>
      <c r="R10" s="254" t="s">
        <v>703</v>
      </c>
    </row>
    <row r="11" spans="1:18" x14ac:dyDescent="0.25">
      <c r="B11" s="270">
        <v>2</v>
      </c>
      <c r="C11" s="269">
        <v>43087</v>
      </c>
      <c r="D11" s="260" t="s">
        <v>704</v>
      </c>
      <c r="E11" s="260" t="s">
        <v>705</v>
      </c>
      <c r="F11" s="268" t="s">
        <v>700</v>
      </c>
      <c r="G11" s="261">
        <v>1527.3</v>
      </c>
      <c r="H11" s="261">
        <v>582.15</v>
      </c>
      <c r="I11" s="261">
        <v>945.15</v>
      </c>
      <c r="J11" s="262">
        <f t="shared" ref="J11:J19" si="0">G11/N11</f>
        <v>4.1092904996367743</v>
      </c>
      <c r="K11" s="262">
        <f t="shared" ref="K11:K19" si="1">G11/O11</f>
        <v>18.52395391146149</v>
      </c>
      <c r="L11" s="262">
        <f t="shared" ref="L11:L19" si="2">I11/P11</f>
        <v>86.711009174311926</v>
      </c>
      <c r="M11" s="262">
        <f t="shared" ref="M11:M19" si="3">I11/Q11</f>
        <v>52.508333333333333</v>
      </c>
      <c r="N11" s="261">
        <v>371.67</v>
      </c>
      <c r="O11" s="261">
        <v>82.45</v>
      </c>
      <c r="P11" s="261">
        <v>10.9</v>
      </c>
      <c r="Q11" s="261">
        <v>18</v>
      </c>
      <c r="R11" s="254" t="s">
        <v>703</v>
      </c>
    </row>
    <row r="12" spans="1:18" x14ac:dyDescent="0.25">
      <c r="B12" s="270">
        <v>3</v>
      </c>
      <c r="C12" s="269">
        <v>43444</v>
      </c>
      <c r="D12" s="260" t="s">
        <v>706</v>
      </c>
      <c r="E12" s="260" t="s">
        <v>707</v>
      </c>
      <c r="F12" s="268" t="s">
        <v>700</v>
      </c>
      <c r="G12" s="261">
        <v>1340.68</v>
      </c>
      <c r="H12" s="261">
        <v>-92.55</v>
      </c>
      <c r="I12" s="261">
        <v>1433.23</v>
      </c>
      <c r="J12" s="262">
        <f t="shared" si="0"/>
        <v>1.9353572098797511</v>
      </c>
      <c r="K12" s="262">
        <f t="shared" si="1"/>
        <v>15.174646293152238</v>
      </c>
      <c r="L12" s="262">
        <f t="shared" si="2"/>
        <v>25.86124142908697</v>
      </c>
      <c r="M12" s="262">
        <f t="shared" si="3"/>
        <v>17.935552496558628</v>
      </c>
      <c r="N12" s="261">
        <v>692.73</v>
      </c>
      <c r="O12" s="261">
        <v>88.35</v>
      </c>
      <c r="P12" s="261">
        <v>55.42</v>
      </c>
      <c r="Q12" s="261">
        <v>79.91</v>
      </c>
      <c r="R12" s="254" t="s">
        <v>703</v>
      </c>
    </row>
    <row r="13" spans="1:18" x14ac:dyDescent="0.25">
      <c r="B13" s="270">
        <v>4</v>
      </c>
      <c r="C13" s="269">
        <v>43672</v>
      </c>
      <c r="D13" s="260" t="s">
        <v>708</v>
      </c>
      <c r="E13" s="260" t="s">
        <v>709</v>
      </c>
      <c r="F13" s="268" t="s">
        <v>700</v>
      </c>
      <c r="G13" s="261">
        <v>858.28</v>
      </c>
      <c r="H13" s="261">
        <v>32.99</v>
      </c>
      <c r="I13" s="261">
        <v>825.29</v>
      </c>
      <c r="J13" s="262">
        <f t="shared" si="0"/>
        <v>3.5181177242170847</v>
      </c>
      <c r="K13" s="262">
        <f t="shared" si="1"/>
        <v>14.437005887300252</v>
      </c>
      <c r="L13" s="262">
        <f t="shared" si="2"/>
        <v>33.562017080113868</v>
      </c>
      <c r="M13" s="262">
        <f t="shared" si="3"/>
        <v>22.548907103825133</v>
      </c>
      <c r="N13" s="261">
        <v>243.96</v>
      </c>
      <c r="O13" s="261">
        <v>59.45</v>
      </c>
      <c r="P13" s="261">
        <v>24.59</v>
      </c>
      <c r="Q13" s="261">
        <v>36.6</v>
      </c>
      <c r="R13" s="254" t="s">
        <v>703</v>
      </c>
    </row>
    <row r="14" spans="1:18" x14ac:dyDescent="0.25">
      <c r="B14" s="270">
        <v>5</v>
      </c>
      <c r="C14" s="269">
        <v>43623</v>
      </c>
      <c r="D14" s="260" t="s">
        <v>710</v>
      </c>
      <c r="E14" s="260" t="s">
        <v>711</v>
      </c>
      <c r="F14" s="268" t="s">
        <v>700</v>
      </c>
      <c r="G14" s="261">
        <v>684.79</v>
      </c>
      <c r="H14" s="261">
        <v>194.36</v>
      </c>
      <c r="I14" s="261">
        <v>490.42999999999995</v>
      </c>
      <c r="J14" s="262">
        <f t="shared" si="0"/>
        <v>0.19274927872774611</v>
      </c>
      <c r="K14" s="262">
        <f t="shared" si="1"/>
        <v>6.0670683086736945</v>
      </c>
      <c r="L14" s="262">
        <f t="shared" si="2"/>
        <v>133.63215258855584</v>
      </c>
      <c r="M14" s="262">
        <f t="shared" si="3"/>
        <v>4.6266981132075466</v>
      </c>
      <c r="N14" s="261">
        <v>3552.75</v>
      </c>
      <c r="O14" s="261">
        <v>112.87</v>
      </c>
      <c r="P14" s="261">
        <v>3.67</v>
      </c>
      <c r="Q14" s="261">
        <v>106</v>
      </c>
      <c r="R14" s="254" t="s">
        <v>703</v>
      </c>
    </row>
    <row r="15" spans="1:18" x14ac:dyDescent="0.25">
      <c r="B15" s="270">
        <v>6</v>
      </c>
      <c r="C15" s="269">
        <v>43185</v>
      </c>
      <c r="D15" s="260" t="s">
        <v>712</v>
      </c>
      <c r="E15" s="260" t="s">
        <v>713</v>
      </c>
      <c r="F15" s="268" t="s">
        <v>700</v>
      </c>
      <c r="G15" s="261">
        <v>464.45</v>
      </c>
      <c r="H15" s="261">
        <v>-93.39</v>
      </c>
      <c r="I15" s="261">
        <v>557.84</v>
      </c>
      <c r="J15" s="262">
        <f t="shared" si="0"/>
        <v>0.25256123026058208</v>
      </c>
      <c r="K15" s="262">
        <f t="shared" si="1"/>
        <v>5.7709990059642147</v>
      </c>
      <c r="L15" s="262">
        <f t="shared" si="2"/>
        <v>38.551485832757429</v>
      </c>
      <c r="M15" s="262">
        <f t="shared" si="3"/>
        <v>7.1794079794079799</v>
      </c>
      <c r="N15" s="261">
        <v>1838.96</v>
      </c>
      <c r="O15" s="261">
        <v>80.48</v>
      </c>
      <c r="P15" s="261">
        <v>14.47</v>
      </c>
      <c r="Q15" s="261">
        <v>77.7</v>
      </c>
      <c r="R15" s="254" t="s">
        <v>703</v>
      </c>
    </row>
    <row r="16" spans="1:18" x14ac:dyDescent="0.25">
      <c r="B16" s="270">
        <v>7</v>
      </c>
      <c r="C16" s="269">
        <v>43668</v>
      </c>
      <c r="D16" s="260" t="s">
        <v>714</v>
      </c>
      <c r="E16" s="260" t="s">
        <v>715</v>
      </c>
      <c r="F16" s="268" t="s">
        <v>700</v>
      </c>
      <c r="G16" s="261">
        <v>8455.01</v>
      </c>
      <c r="H16" s="261">
        <v>6594</v>
      </c>
      <c r="I16" s="261">
        <v>1861.0100000000002</v>
      </c>
      <c r="J16" s="262">
        <f t="shared" si="0"/>
        <v>0.90167537591980385</v>
      </c>
      <c r="K16" s="262">
        <f t="shared" si="1"/>
        <v>20.179021479713604</v>
      </c>
      <c r="L16" s="262">
        <f t="shared" si="2"/>
        <v>-3.2592119089316993</v>
      </c>
      <c r="M16" s="262">
        <f t="shared" si="3"/>
        <v>-3.9179157894736845</v>
      </c>
      <c r="N16" s="261">
        <v>9377</v>
      </c>
      <c r="O16" s="261">
        <v>419</v>
      </c>
      <c r="P16" s="261">
        <v>-571</v>
      </c>
      <c r="Q16" s="261">
        <v>-475</v>
      </c>
      <c r="R16" s="254" t="s">
        <v>703</v>
      </c>
    </row>
    <row r="17" spans="2:18" x14ac:dyDescent="0.25">
      <c r="B17" s="270">
        <v>8</v>
      </c>
      <c r="C17" s="269">
        <v>43298</v>
      </c>
      <c r="D17" s="260" t="s">
        <v>716</v>
      </c>
      <c r="E17" s="260" t="s">
        <v>717</v>
      </c>
      <c r="F17" s="268" t="s">
        <v>700</v>
      </c>
      <c r="G17" s="261">
        <v>77395.850000000006</v>
      </c>
      <c r="H17" s="261">
        <v>13227</v>
      </c>
      <c r="I17" s="261">
        <v>64168.850000000006</v>
      </c>
      <c r="J17" s="262">
        <f t="shared" si="0"/>
        <v>0.60350464739091114</v>
      </c>
      <c r="K17" s="262">
        <f t="shared" si="1"/>
        <v>9.1419619655090951</v>
      </c>
      <c r="L17" s="262">
        <f t="shared" si="2"/>
        <v>14.874559573481688</v>
      </c>
      <c r="M17" s="262">
        <f t="shared" si="3"/>
        <v>7.7658053975553676</v>
      </c>
      <c r="N17" s="261">
        <v>128244</v>
      </c>
      <c r="O17" s="261">
        <v>8466</v>
      </c>
      <c r="P17" s="261">
        <v>4314</v>
      </c>
      <c r="Q17" s="261">
        <v>8263</v>
      </c>
      <c r="R17" s="254" t="s">
        <v>718</v>
      </c>
    </row>
    <row r="18" spans="2:18" x14ac:dyDescent="0.25">
      <c r="B18" s="270">
        <v>9</v>
      </c>
      <c r="C18" s="269">
        <v>43157</v>
      </c>
      <c r="D18" s="260" t="s">
        <v>719</v>
      </c>
      <c r="E18" s="260" t="s">
        <v>720</v>
      </c>
      <c r="F18" s="268" t="s">
        <v>700</v>
      </c>
      <c r="G18" s="261">
        <v>227.67</v>
      </c>
      <c r="H18" s="261">
        <v>51.4</v>
      </c>
      <c r="I18" s="261">
        <v>176.26999999999998</v>
      </c>
      <c r="J18" s="262">
        <f t="shared" si="0"/>
        <v>2.4313327637761639</v>
      </c>
      <c r="K18" s="262">
        <f t="shared" si="1"/>
        <v>16.691348973607038</v>
      </c>
      <c r="L18" s="262">
        <f t="shared" si="2"/>
        <v>-21.009535160905838</v>
      </c>
      <c r="M18" s="262">
        <f t="shared" si="3"/>
        <v>-32.049090909090907</v>
      </c>
      <c r="N18" s="261">
        <v>93.64</v>
      </c>
      <c r="O18" s="261">
        <v>13.64</v>
      </c>
      <c r="P18" s="261">
        <v>-8.39</v>
      </c>
      <c r="Q18" s="261">
        <v>-5.5</v>
      </c>
      <c r="R18" s="254" t="s">
        <v>721</v>
      </c>
    </row>
    <row r="19" spans="2:18" x14ac:dyDescent="0.25">
      <c r="B19" s="270">
        <v>10</v>
      </c>
      <c r="C19" s="517">
        <v>43991</v>
      </c>
      <c r="D19" s="518" t="s">
        <v>722</v>
      </c>
      <c r="E19" s="518" t="s">
        <v>723</v>
      </c>
      <c r="F19" s="519" t="s">
        <v>700</v>
      </c>
      <c r="G19" s="520">
        <v>2326.38</v>
      </c>
      <c r="H19" s="520">
        <v>856.71</v>
      </c>
      <c r="I19" s="520">
        <v>1469.67</v>
      </c>
      <c r="J19" s="262">
        <f t="shared" si="0"/>
        <v>1.4297356097201224</v>
      </c>
      <c r="K19" s="262">
        <f t="shared" si="1"/>
        <v>12.812579170567826</v>
      </c>
      <c r="L19" s="262">
        <f t="shared" si="2"/>
        <v>24.634093194770369</v>
      </c>
      <c r="M19" s="262">
        <f t="shared" si="3"/>
        <v>12.561282051282053</v>
      </c>
      <c r="N19" s="520">
        <v>1627.14</v>
      </c>
      <c r="O19" s="520">
        <v>181.57</v>
      </c>
      <c r="P19" s="520">
        <v>59.66</v>
      </c>
      <c r="Q19" s="520">
        <v>117</v>
      </c>
      <c r="R19" s="521" t="s">
        <v>724</v>
      </c>
    </row>
    <row r="20" spans="2:18" x14ac:dyDescent="0.25">
      <c r="B20" s="252"/>
      <c r="C20" s="513" t="s">
        <v>156</v>
      </c>
      <c r="D20" s="513"/>
      <c r="E20" s="513"/>
      <c r="F20" s="513"/>
      <c r="G20" s="514"/>
      <c r="H20" s="514"/>
      <c r="I20" s="514"/>
      <c r="J20" s="548">
        <f>AVERAGE(J10:J19)</f>
        <v>1.5534796599602598</v>
      </c>
      <c r="K20" s="548">
        <f t="shared" ref="K20:M20" si="4">AVERAGE(K10:K19)</f>
        <v>12.60677086430629</v>
      </c>
      <c r="L20" s="548">
        <f t="shared" si="4"/>
        <v>34.895942480072748</v>
      </c>
      <c r="M20" s="548">
        <f t="shared" si="4"/>
        <v>10.302569906100429</v>
      </c>
      <c r="N20" s="516"/>
      <c r="O20" s="516"/>
      <c r="P20" s="516"/>
      <c r="Q20" s="516"/>
      <c r="R20" s="516"/>
    </row>
    <row r="21" spans="2:18" x14ac:dyDescent="0.25">
      <c r="B21" s="252"/>
      <c r="C21" s="513" t="s">
        <v>165</v>
      </c>
      <c r="D21" s="513"/>
      <c r="E21" s="513"/>
      <c r="F21" s="513"/>
      <c r="G21" s="514"/>
      <c r="H21" s="514"/>
      <c r="I21" s="514"/>
      <c r="J21" s="515">
        <f>MEDIAN(J10:J19)</f>
        <v>1.1657054928199631</v>
      </c>
      <c r="K21" s="515">
        <f t="shared" ref="K21:M21" si="5">MEDIAN(K10:K19)</f>
        <v>13.624792528934039</v>
      </c>
      <c r="L21" s="515">
        <f t="shared" si="5"/>
        <v>25.247667311928669</v>
      </c>
      <c r="M21" s="515">
        <f t="shared" si="5"/>
        <v>10.163543724418711</v>
      </c>
      <c r="N21" s="516"/>
      <c r="O21" s="516"/>
      <c r="P21" s="516"/>
      <c r="Q21" s="516"/>
      <c r="R21" s="516"/>
    </row>
    <row r="22" spans="2:18" x14ac:dyDescent="0.25">
      <c r="C22" s="513" t="s">
        <v>180</v>
      </c>
      <c r="D22" s="513"/>
      <c r="E22" s="513"/>
      <c r="F22" s="513"/>
      <c r="G22" s="514"/>
      <c r="H22" s="514"/>
      <c r="I22" s="514"/>
      <c r="J22" s="515">
        <f>MIN(J10:J19)</f>
        <v>0.16047226007365814</v>
      </c>
      <c r="K22" s="515">
        <f t="shared" ref="K22:M22" si="6">MIN(K10:K19)</f>
        <v>5.7709990059642147</v>
      </c>
      <c r="L22" s="515">
        <f t="shared" si="6"/>
        <v>-21.009535160905838</v>
      </c>
      <c r="M22" s="515">
        <f t="shared" si="6"/>
        <v>-32.049090909090907</v>
      </c>
      <c r="N22" s="516"/>
      <c r="O22" s="516"/>
      <c r="P22" s="516"/>
      <c r="Q22" s="516"/>
      <c r="R22" s="516"/>
    </row>
    <row r="23" spans="2:18" x14ac:dyDescent="0.25">
      <c r="C23" s="513" t="s">
        <v>256</v>
      </c>
      <c r="D23" s="513"/>
      <c r="E23" s="513"/>
      <c r="F23" s="513"/>
      <c r="G23" s="514"/>
      <c r="H23" s="514"/>
      <c r="I23" s="514"/>
      <c r="J23" s="515">
        <f>MAX(J10:J19)</f>
        <v>4.1092904996367743</v>
      </c>
      <c r="K23" s="515">
        <f t="shared" ref="K23:M23" si="7">MAX(K10:K19)</f>
        <v>20.179021479713604</v>
      </c>
      <c r="L23" s="515">
        <f t="shared" si="7"/>
        <v>133.63215258855584</v>
      </c>
      <c r="M23" s="515">
        <f t="shared" si="7"/>
        <v>52.508333333333333</v>
      </c>
      <c r="N23" s="516"/>
      <c r="O23" s="516"/>
      <c r="P23" s="516"/>
      <c r="Q23" s="516"/>
      <c r="R23" s="516"/>
    </row>
  </sheetData>
  <pageMargins left="0.7" right="0.7" top="0.75" bottom="0.75" header="0.3" footer="0.3"/>
  <pageSetup scale="34" orientation="portrait" horizontalDpi="1200" verticalDpi="1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8264-D2F5-4D66-9AEB-48C456334FD4}">
  <dimension ref="A1:R43"/>
  <sheetViews>
    <sheetView showGridLines="0" topLeftCell="A21" zoomScaleNormal="100" workbookViewId="0">
      <selection activeCell="M34" sqref="M34"/>
    </sheetView>
  </sheetViews>
  <sheetFormatPr defaultRowHeight="13.8" x14ac:dyDescent="0.25"/>
  <cols>
    <col min="1" max="1" width="3.375" customWidth="1"/>
    <col min="2" max="2" width="33.875" customWidth="1"/>
    <col min="3" max="20" width="11.125" customWidth="1"/>
  </cols>
  <sheetData>
    <row r="1" spans="1:18" ht="17.850000000000001" customHeight="1" x14ac:dyDescent="0.25">
      <c r="A1" s="2" t="s">
        <v>76</v>
      </c>
      <c r="B1" s="2"/>
      <c r="C1" s="17"/>
      <c r="D1" s="17"/>
      <c r="E1" s="17"/>
      <c r="F1" s="17"/>
      <c r="G1" s="17"/>
      <c r="H1" s="17"/>
      <c r="I1" s="17"/>
      <c r="J1" s="43"/>
      <c r="K1" s="44"/>
      <c r="L1" s="17"/>
      <c r="M1" s="43"/>
      <c r="N1" s="44"/>
      <c r="O1" s="17"/>
      <c r="P1" s="17"/>
      <c r="Q1" s="17"/>
      <c r="R1" s="17"/>
    </row>
    <row r="2" spans="1:18" ht="18" x14ac:dyDescent="0.35">
      <c r="A2" s="278" t="s">
        <v>417</v>
      </c>
      <c r="B2" s="278"/>
      <c r="C2" s="17"/>
      <c r="D2" s="17"/>
      <c r="E2" s="17"/>
      <c r="F2" s="17"/>
      <c r="G2" s="17"/>
      <c r="H2" s="17"/>
      <c r="I2" s="17"/>
      <c r="J2" s="17"/>
      <c r="K2" s="17"/>
      <c r="L2" s="17"/>
      <c r="M2" s="17"/>
      <c r="N2" s="17"/>
      <c r="O2" s="17"/>
      <c r="P2" s="17"/>
      <c r="Q2" s="17"/>
      <c r="R2" s="17"/>
    </row>
    <row r="3" spans="1:18" x14ac:dyDescent="0.25">
      <c r="A3" s="66" t="s">
        <v>214</v>
      </c>
      <c r="B3" s="4"/>
      <c r="C3" s="280"/>
      <c r="D3" s="280"/>
      <c r="E3" s="280"/>
      <c r="F3" s="280"/>
      <c r="G3" s="280"/>
      <c r="H3" s="280"/>
      <c r="I3" s="280"/>
      <c r="J3" s="280"/>
      <c r="K3" s="280"/>
      <c r="L3" s="280"/>
      <c r="M3" s="280"/>
      <c r="N3" s="280"/>
      <c r="O3" s="280"/>
      <c r="P3" s="280"/>
      <c r="Q3" s="280"/>
      <c r="R3" s="280"/>
    </row>
    <row r="5" spans="1:18" x14ac:dyDescent="0.25">
      <c r="C5" s="522">
        <v>2015</v>
      </c>
      <c r="D5" s="522">
        <f>C5+1</f>
        <v>2016</v>
      </c>
      <c r="E5" s="522">
        <f t="shared" ref="E5:R5" si="0">D5+1</f>
        <v>2017</v>
      </c>
      <c r="F5" s="522">
        <f t="shared" si="0"/>
        <v>2018</v>
      </c>
      <c r="G5" s="522">
        <f t="shared" si="0"/>
        <v>2019</v>
      </c>
      <c r="H5" s="523">
        <f t="shared" si="0"/>
        <v>2020</v>
      </c>
      <c r="I5" s="523">
        <f t="shared" si="0"/>
        <v>2021</v>
      </c>
      <c r="J5" s="523">
        <f t="shared" si="0"/>
        <v>2022</v>
      </c>
      <c r="K5" s="523">
        <f t="shared" si="0"/>
        <v>2023</v>
      </c>
      <c r="L5" s="523">
        <f t="shared" si="0"/>
        <v>2024</v>
      </c>
      <c r="M5" s="523">
        <f t="shared" si="0"/>
        <v>2025</v>
      </c>
      <c r="N5" s="523">
        <f t="shared" si="0"/>
        <v>2026</v>
      </c>
      <c r="O5" s="523">
        <f t="shared" si="0"/>
        <v>2027</v>
      </c>
      <c r="P5" s="523">
        <f t="shared" si="0"/>
        <v>2028</v>
      </c>
      <c r="Q5" s="523">
        <f t="shared" si="0"/>
        <v>2029</v>
      </c>
      <c r="R5" s="523">
        <f t="shared" si="0"/>
        <v>2030</v>
      </c>
    </row>
    <row r="6" spans="1:18" ht="5.25" customHeight="1" x14ac:dyDescent="0.25"/>
    <row r="7" spans="1:18" x14ac:dyDescent="0.25">
      <c r="B7" s="218" t="s">
        <v>420</v>
      </c>
      <c r="C7" s="524"/>
      <c r="D7" s="524"/>
      <c r="E7" s="524"/>
      <c r="F7" s="524"/>
      <c r="G7" s="524"/>
      <c r="H7" s="279"/>
      <c r="I7" s="279"/>
      <c r="J7" s="279"/>
      <c r="K7" s="279"/>
      <c r="L7" s="279"/>
      <c r="M7" s="279"/>
      <c r="N7" s="279"/>
      <c r="O7" s="279"/>
      <c r="P7" s="279"/>
      <c r="Q7" s="279"/>
      <c r="R7" s="279"/>
    </row>
    <row r="8" spans="1:18" x14ac:dyDescent="0.25">
      <c r="B8" t="s">
        <v>418</v>
      </c>
      <c r="C8" s="26">
        <v>324.5838</v>
      </c>
      <c r="D8" s="26">
        <v>372.84690000000001</v>
      </c>
      <c r="E8" s="26">
        <v>426.30779999999999</v>
      </c>
      <c r="F8" s="26">
        <v>471.52070000000003</v>
      </c>
      <c r="G8" s="26">
        <v>518.88</v>
      </c>
      <c r="H8" s="26">
        <v>592.12469999999996</v>
      </c>
      <c r="I8" s="26">
        <v>619.61790000000008</v>
      </c>
      <c r="J8" s="26">
        <v>670.84319999999991</v>
      </c>
      <c r="K8" s="26">
        <v>722.90609999999992</v>
      </c>
      <c r="L8" s="26">
        <v>775.88969999999995</v>
      </c>
      <c r="M8" s="26">
        <v>831.47329999999999</v>
      </c>
      <c r="N8" s="26">
        <v>888.28399999999999</v>
      </c>
      <c r="O8" s="23">
        <f>N8*(1+O14)</f>
        <v>948.97631067167163</v>
      </c>
      <c r="P8" s="23">
        <f t="shared" ref="P8:R8" si="1">O8*(1+P14)</f>
        <v>1013.8154444029353</v>
      </c>
      <c r="Q8" s="23">
        <f t="shared" si="1"/>
        <v>1083.0847343095888</v>
      </c>
      <c r="R8" s="23">
        <f t="shared" si="1"/>
        <v>1157.0868723402889</v>
      </c>
    </row>
    <row r="9" spans="1:18" x14ac:dyDescent="0.25">
      <c r="B9" t="s">
        <v>115</v>
      </c>
      <c r="C9" s="26">
        <v>293.47120000000001</v>
      </c>
      <c r="D9" s="26">
        <v>301.92509999999999</v>
      </c>
      <c r="E9" s="26">
        <v>312.47269999999997</v>
      </c>
      <c r="F9" s="26">
        <v>332.3947</v>
      </c>
      <c r="G9" s="26">
        <v>349.34679999999997</v>
      </c>
      <c r="H9" s="26">
        <v>278.39330000000001</v>
      </c>
      <c r="I9" s="26">
        <v>312.83080000000001</v>
      </c>
      <c r="J9" s="26">
        <v>336.08589999999998</v>
      </c>
      <c r="K9" s="26">
        <v>350.00510000000003</v>
      </c>
      <c r="L9" s="26">
        <v>360.36099999999999</v>
      </c>
      <c r="M9" s="26">
        <v>368.35239999999999</v>
      </c>
      <c r="N9" s="26">
        <v>376.38929999999999</v>
      </c>
      <c r="O9" s="26">
        <v>390.64210000000003</v>
      </c>
      <c r="P9" s="23">
        <f>O9*(1+P15)</f>
        <v>405.43461329110585</v>
      </c>
      <c r="Q9" s="23">
        <f t="shared" ref="Q9:R9" si="2">P9*(1+Q15)</f>
        <v>420.78727729169111</v>
      </c>
      <c r="R9" s="23">
        <f t="shared" si="2"/>
        <v>436.72130332745519</v>
      </c>
    </row>
    <row r="10" spans="1:18" x14ac:dyDescent="0.25">
      <c r="B10" t="s">
        <v>116</v>
      </c>
      <c r="C10" s="26">
        <v>142.56049999999999</v>
      </c>
      <c r="D10" s="26">
        <v>147.10570000000001</v>
      </c>
      <c r="E10" s="26">
        <v>162.13220000000001</v>
      </c>
      <c r="F10" s="26">
        <v>176.08120000000002</v>
      </c>
      <c r="G10" s="26">
        <v>180.58089999999999</v>
      </c>
      <c r="H10" s="26">
        <v>167.00800000000001</v>
      </c>
      <c r="I10" s="26">
        <v>167.29139999999998</v>
      </c>
      <c r="J10" s="26">
        <v>178.96220000000002</v>
      </c>
      <c r="K10" s="26">
        <v>195.3485</v>
      </c>
      <c r="L10" s="26">
        <v>205.12700000000001</v>
      </c>
      <c r="M10" s="26">
        <v>217.0162</v>
      </c>
      <c r="N10" s="26">
        <v>227.67949999999999</v>
      </c>
      <c r="O10" s="23">
        <f t="shared" ref="O10:R10" si="3">N10*(1+O16)</f>
        <v>238.86675151555502</v>
      </c>
      <c r="P10" s="23">
        <f t="shared" si="3"/>
        <v>250.60369940901097</v>
      </c>
      <c r="Q10" s="23">
        <f t="shared" si="3"/>
        <v>262.91735354132044</v>
      </c>
      <c r="R10" s="23">
        <f t="shared" si="3"/>
        <v>275.83605092896778</v>
      </c>
    </row>
    <row r="11" spans="1:18" x14ac:dyDescent="0.25">
      <c r="B11" t="s">
        <v>104</v>
      </c>
      <c r="C11" s="26">
        <v>637.13840000000005</v>
      </c>
      <c r="D11" s="26">
        <v>640.45259999999996</v>
      </c>
      <c r="E11" s="26">
        <v>652.46990000000005</v>
      </c>
      <c r="F11" s="26">
        <v>651.70500000000004</v>
      </c>
      <c r="G11" s="26">
        <v>652.74199999999996</v>
      </c>
      <c r="H11" s="26">
        <v>656.00250000000005</v>
      </c>
      <c r="I11" s="26">
        <v>658.0693</v>
      </c>
      <c r="J11" s="26">
        <v>660.17899999999997</v>
      </c>
      <c r="K11" s="26">
        <v>665.26409999999998</v>
      </c>
      <c r="L11" s="26">
        <v>669.85769999999991</v>
      </c>
      <c r="M11" s="26">
        <v>675.05939999999998</v>
      </c>
      <c r="N11" s="26">
        <v>679.93590000000006</v>
      </c>
      <c r="O11" s="23">
        <f t="shared" ref="O11:R11" si="4">N11*(1+O17)</f>
        <v>684.84762690336595</v>
      </c>
      <c r="P11" s="23">
        <f t="shared" si="4"/>
        <v>689.7948351825105</v>
      </c>
      <c r="Q11" s="23">
        <f t="shared" si="4"/>
        <v>694.77778114810633</v>
      </c>
      <c r="R11" s="23">
        <f t="shared" si="4"/>
        <v>699.79672296236561</v>
      </c>
    </row>
    <row r="13" spans="1:18" x14ac:dyDescent="0.25">
      <c r="B13" s="218" t="s">
        <v>421</v>
      </c>
      <c r="C13" s="524"/>
      <c r="D13" s="524"/>
      <c r="E13" s="524"/>
      <c r="F13" s="524"/>
      <c r="G13" s="524"/>
      <c r="H13" s="279"/>
      <c r="I13" s="279"/>
      <c r="J13" s="279"/>
      <c r="K13" s="279"/>
      <c r="L13" s="279"/>
      <c r="M13" s="279"/>
      <c r="N13" s="279"/>
      <c r="O13" s="279"/>
      <c r="P13" s="279"/>
      <c r="Q13" s="279"/>
      <c r="R13" s="279"/>
    </row>
    <row r="14" spans="1:18" x14ac:dyDescent="0.25">
      <c r="B14" t="s">
        <v>418</v>
      </c>
      <c r="C14" s="281">
        <v>0.13843714871445933</v>
      </c>
      <c r="D14" s="6">
        <f>D8/C8-1</f>
        <v>0.14869226375438327</v>
      </c>
      <c r="E14" s="6">
        <f t="shared" ref="E14:N14" si="5">E8/D8-1</f>
        <v>0.14338566312338918</v>
      </c>
      <c r="F14" s="6">
        <f t="shared" si="5"/>
        <v>0.10605693820286666</v>
      </c>
      <c r="G14" s="6">
        <f t="shared" si="5"/>
        <v>0.10043949290031162</v>
      </c>
      <c r="H14" s="6">
        <f t="shared" si="5"/>
        <v>0.14115922756706745</v>
      </c>
      <c r="I14" s="6">
        <f t="shared" si="5"/>
        <v>4.6431435810734056E-2</v>
      </c>
      <c r="J14" s="6">
        <f t="shared" si="5"/>
        <v>8.2672401814085417E-2</v>
      </c>
      <c r="K14" s="6">
        <f t="shared" si="5"/>
        <v>7.7608150459004488E-2</v>
      </c>
      <c r="L14" s="6">
        <f t="shared" si="5"/>
        <v>7.3292506454157857E-2</v>
      </c>
      <c r="M14" s="6">
        <f t="shared" si="5"/>
        <v>7.1638533157483586E-2</v>
      </c>
      <c r="N14" s="6">
        <f t="shared" si="5"/>
        <v>6.8325344902836926E-2</v>
      </c>
      <c r="O14" s="281">
        <f>N14</f>
        <v>6.8325344902836926E-2</v>
      </c>
      <c r="P14" s="281">
        <f t="shared" ref="P14:R14" si="6">O14</f>
        <v>6.8325344902836926E-2</v>
      </c>
      <c r="Q14" s="281">
        <f t="shared" si="6"/>
        <v>6.8325344902836926E-2</v>
      </c>
      <c r="R14" s="281">
        <f t="shared" si="6"/>
        <v>6.8325344902836926E-2</v>
      </c>
    </row>
    <row r="15" spans="1:18" x14ac:dyDescent="0.25">
      <c r="B15" t="s">
        <v>115</v>
      </c>
      <c r="C15" s="281">
        <v>0.03</v>
      </c>
      <c r="D15" s="6">
        <f t="shared" ref="D15:N15" si="7">D9/C9-1</f>
        <v>2.8806574546326846E-2</v>
      </c>
      <c r="E15" s="6">
        <f t="shared" si="7"/>
        <v>3.4934492031301723E-2</v>
      </c>
      <c r="F15" s="6">
        <f t="shared" si="7"/>
        <v>6.3755969721514871E-2</v>
      </c>
      <c r="G15" s="6">
        <f t="shared" si="7"/>
        <v>5.0999910648394708E-2</v>
      </c>
      <c r="H15" s="6">
        <f t="shared" si="7"/>
        <v>-0.20310333456611018</v>
      </c>
      <c r="I15" s="6">
        <f t="shared" si="7"/>
        <v>0.12370089366374848</v>
      </c>
      <c r="J15" s="6">
        <f t="shared" si="7"/>
        <v>7.4337629159276997E-2</v>
      </c>
      <c r="K15" s="6">
        <f t="shared" si="7"/>
        <v>4.1415602380225014E-2</v>
      </c>
      <c r="L15" s="6">
        <f t="shared" si="7"/>
        <v>2.9587854576976103E-2</v>
      </c>
      <c r="M15" s="6">
        <f t="shared" si="7"/>
        <v>2.2176095637430171E-2</v>
      </c>
      <c r="N15" s="6">
        <f t="shared" si="7"/>
        <v>2.1818508580370377E-2</v>
      </c>
      <c r="O15" s="6">
        <v>3.7867176351718879E-2</v>
      </c>
      <c r="P15" s="281">
        <v>3.7867176351718879E-2</v>
      </c>
      <c r="Q15" s="281">
        <v>3.7867176351718879E-2</v>
      </c>
      <c r="R15" s="281">
        <v>3.7867176351718879E-2</v>
      </c>
    </row>
    <row r="16" spans="1:18" x14ac:dyDescent="0.25">
      <c r="B16" t="s">
        <v>116</v>
      </c>
      <c r="C16" s="281">
        <v>6.7000000000000004E-2</v>
      </c>
      <c r="D16" s="6">
        <f t="shared" ref="D16:M16" si="8">D10/C10-1</f>
        <v>3.1882604227678968E-2</v>
      </c>
      <c r="E16" s="6">
        <f t="shared" si="8"/>
        <v>0.10214763941845906</v>
      </c>
      <c r="F16" s="6">
        <f t="shared" si="8"/>
        <v>8.6034729683554634E-2</v>
      </c>
      <c r="G16" s="6">
        <f t="shared" si="8"/>
        <v>2.555468726928245E-2</v>
      </c>
      <c r="H16" s="6">
        <f t="shared" si="8"/>
        <v>-7.516243412232404E-2</v>
      </c>
      <c r="I16" s="6">
        <f t="shared" si="8"/>
        <v>1.6969246982179165E-3</v>
      </c>
      <c r="J16" s="6">
        <f t="shared" si="8"/>
        <v>6.9763299249094857E-2</v>
      </c>
      <c r="K16" s="6">
        <f t="shared" si="8"/>
        <v>9.1562911050489859E-2</v>
      </c>
      <c r="L16" s="6">
        <f t="shared" si="8"/>
        <v>5.0056693550244891E-2</v>
      </c>
      <c r="M16" s="6">
        <f t="shared" si="8"/>
        <v>5.7960190516119114E-2</v>
      </c>
      <c r="N16" s="6">
        <v>4.9135963121647031E-2</v>
      </c>
      <c r="O16" s="281">
        <v>4.9135963121647031E-2</v>
      </c>
      <c r="P16" s="281">
        <v>4.9135963121647031E-2</v>
      </c>
      <c r="Q16" s="281">
        <v>4.9135963121647031E-2</v>
      </c>
      <c r="R16" s="281">
        <v>4.9135963121647031E-2</v>
      </c>
    </row>
    <row r="17" spans="2:18" x14ac:dyDescent="0.25">
      <c r="B17" t="s">
        <v>104</v>
      </c>
      <c r="C17" s="281">
        <v>1.4E-2</v>
      </c>
      <c r="D17" s="6">
        <f t="shared" ref="D17:M17" si="9">D11/C11-1</f>
        <v>5.201695581368071E-3</v>
      </c>
      <c r="E17" s="6">
        <f t="shared" si="9"/>
        <v>1.8763761752236041E-2</v>
      </c>
      <c r="F17" s="6">
        <f t="shared" si="9"/>
        <v>-1.1723146155860897E-3</v>
      </c>
      <c r="G17" s="6">
        <f t="shared" si="9"/>
        <v>1.5912107471938164E-3</v>
      </c>
      <c r="H17" s="6">
        <f t="shared" si="9"/>
        <v>4.9950822836588582E-3</v>
      </c>
      <c r="I17" s="6">
        <f t="shared" si="9"/>
        <v>3.1505977492463089E-3</v>
      </c>
      <c r="J17" s="6">
        <f t="shared" si="9"/>
        <v>3.2058933610790152E-3</v>
      </c>
      <c r="K17" s="6">
        <f t="shared" si="9"/>
        <v>7.7026079290616334E-3</v>
      </c>
      <c r="L17" s="6">
        <f t="shared" si="9"/>
        <v>6.9049269305225813E-3</v>
      </c>
      <c r="M17" s="6">
        <f t="shared" si="9"/>
        <v>7.7653806174058371E-3</v>
      </c>
      <c r="N17" s="6">
        <v>7.2238087492746406E-3</v>
      </c>
      <c r="O17" s="281">
        <v>7.2238087492746406E-3</v>
      </c>
      <c r="P17" s="281">
        <v>7.2238087492746406E-3</v>
      </c>
      <c r="Q17" s="281">
        <v>7.2238087492746406E-3</v>
      </c>
      <c r="R17" s="281">
        <v>7.2238087492746406E-3</v>
      </c>
    </row>
    <row r="18" spans="2:18" x14ac:dyDescent="0.25">
      <c r="C18" s="282"/>
      <c r="D18" s="282"/>
      <c r="E18" s="282"/>
      <c r="F18" s="282"/>
      <c r="G18" s="282"/>
      <c r="H18" s="282"/>
      <c r="I18" s="282"/>
      <c r="J18" s="282"/>
      <c r="K18" s="282"/>
      <c r="L18" s="282"/>
      <c r="M18" s="282"/>
      <c r="N18" s="282"/>
      <c r="O18" s="282"/>
      <c r="P18" s="282"/>
      <c r="Q18" s="282"/>
      <c r="R18" s="282"/>
    </row>
    <row r="19" spans="2:18" x14ac:dyDescent="0.25">
      <c r="C19" s="282"/>
      <c r="D19" s="282"/>
      <c r="E19" s="282"/>
      <c r="F19" s="282"/>
      <c r="G19" s="282"/>
      <c r="H19" s="282"/>
      <c r="I19" s="282"/>
      <c r="J19" s="282"/>
      <c r="K19" s="282"/>
      <c r="L19" s="282"/>
      <c r="M19" s="282"/>
      <c r="N19" s="282"/>
      <c r="O19" s="282"/>
      <c r="P19" s="282"/>
      <c r="Q19" s="282"/>
      <c r="R19" s="282"/>
    </row>
    <row r="20" spans="2:18" x14ac:dyDescent="0.25">
      <c r="B20" t="s">
        <v>419</v>
      </c>
      <c r="C20" s="283">
        <v>1000</v>
      </c>
      <c r="D20" s="282"/>
      <c r="E20" s="282"/>
      <c r="F20" s="282"/>
      <c r="G20" s="282"/>
      <c r="H20" s="282"/>
      <c r="I20" s="282"/>
      <c r="J20" s="282"/>
      <c r="K20" s="282"/>
      <c r="L20" s="282"/>
      <c r="M20" s="282"/>
      <c r="N20" s="282"/>
      <c r="O20" s="282"/>
      <c r="P20" s="282"/>
      <c r="Q20" s="282"/>
      <c r="R20" s="282"/>
    </row>
    <row r="22" spans="2:18" ht="14.4" x14ac:dyDescent="0.3">
      <c r="B22" s="230"/>
      <c r="J22" s="285"/>
      <c r="K22" s="285"/>
      <c r="L22" s="285"/>
      <c r="M22" s="285"/>
      <c r="N22" s="285"/>
      <c r="O22" s="285"/>
      <c r="P22" s="285"/>
      <c r="Q22" s="285"/>
      <c r="R22" s="285"/>
    </row>
    <row r="23" spans="2:18" ht="14.4" x14ac:dyDescent="0.3">
      <c r="B23" s="76" t="s">
        <v>592</v>
      </c>
      <c r="J23" s="285"/>
      <c r="K23" s="285"/>
      <c r="L23" s="285"/>
      <c r="M23" s="285"/>
      <c r="N23" s="285"/>
      <c r="O23" s="285"/>
      <c r="P23" s="285"/>
      <c r="Q23" s="285"/>
      <c r="R23" s="285"/>
    </row>
    <row r="24" spans="2:18" ht="14.4" x14ac:dyDescent="0.3">
      <c r="B24" t="s">
        <v>591</v>
      </c>
      <c r="J24" s="284"/>
      <c r="K24" s="284"/>
      <c r="L24" s="284"/>
      <c r="M24" s="284"/>
      <c r="N24" s="284"/>
      <c r="O24" s="284"/>
      <c r="P24" s="284"/>
      <c r="Q24" s="284"/>
      <c r="R24" s="284"/>
    </row>
    <row r="25" spans="2:18" ht="14.4" x14ac:dyDescent="0.3">
      <c r="J25" s="284"/>
      <c r="K25" s="284"/>
      <c r="L25" s="284"/>
      <c r="M25" s="284"/>
      <c r="N25" s="284"/>
      <c r="O25" s="284"/>
      <c r="P25" s="284"/>
      <c r="Q25" s="284"/>
      <c r="R25" s="284"/>
    </row>
    <row r="26" spans="2:18" x14ac:dyDescent="0.25">
      <c r="B26" s="1" t="s">
        <v>420</v>
      </c>
    </row>
    <row r="27" spans="2:18" x14ac:dyDescent="0.25">
      <c r="B27" s="554"/>
      <c r="C27" s="13"/>
      <c r="D27" s="13"/>
      <c r="E27" s="13"/>
      <c r="F27" s="13"/>
      <c r="G27" s="13"/>
      <c r="H27" s="13"/>
      <c r="I27" s="13"/>
      <c r="J27" s="555"/>
    </row>
    <row r="28" spans="2:18" x14ac:dyDescent="0.25">
      <c r="B28" s="308"/>
      <c r="J28" s="309"/>
    </row>
    <row r="29" spans="2:18" x14ac:dyDescent="0.25">
      <c r="B29" s="308"/>
      <c r="J29" s="309"/>
    </row>
    <row r="30" spans="2:18" x14ac:dyDescent="0.25">
      <c r="B30" s="308"/>
      <c r="J30" s="309"/>
    </row>
    <row r="31" spans="2:18" x14ac:dyDescent="0.25">
      <c r="B31" s="308"/>
      <c r="J31" s="309"/>
    </row>
    <row r="32" spans="2:18" x14ac:dyDescent="0.25">
      <c r="B32" s="308"/>
      <c r="J32" s="309"/>
    </row>
    <row r="33" spans="2:10" x14ac:dyDescent="0.25">
      <c r="B33" s="308"/>
      <c r="J33" s="309"/>
    </row>
    <row r="34" spans="2:10" x14ac:dyDescent="0.25">
      <c r="B34" s="308"/>
      <c r="J34" s="309"/>
    </row>
    <row r="35" spans="2:10" x14ac:dyDescent="0.25">
      <c r="B35" s="308"/>
      <c r="J35" s="309"/>
    </row>
    <row r="36" spans="2:10" x14ac:dyDescent="0.25">
      <c r="B36" s="308"/>
      <c r="J36" s="309"/>
    </row>
    <row r="37" spans="2:10" x14ac:dyDescent="0.25">
      <c r="B37" s="308"/>
      <c r="J37" s="309"/>
    </row>
    <row r="38" spans="2:10" x14ac:dyDescent="0.25">
      <c r="B38" s="308"/>
      <c r="J38" s="309"/>
    </row>
    <row r="39" spans="2:10" x14ac:dyDescent="0.25">
      <c r="B39" s="308"/>
      <c r="J39" s="309"/>
    </row>
    <row r="40" spans="2:10" x14ac:dyDescent="0.25">
      <c r="B40" s="308"/>
      <c r="J40" s="309"/>
    </row>
    <row r="41" spans="2:10" x14ac:dyDescent="0.25">
      <c r="B41" s="308"/>
      <c r="J41" s="309"/>
    </row>
    <row r="42" spans="2:10" x14ac:dyDescent="0.25">
      <c r="B42" s="308"/>
      <c r="J42" s="309"/>
    </row>
    <row r="43" spans="2:10" x14ac:dyDescent="0.25">
      <c r="B43" s="556"/>
      <c r="C43" s="76"/>
      <c r="D43" s="76"/>
      <c r="E43" s="76"/>
      <c r="F43" s="76"/>
      <c r="G43" s="76"/>
      <c r="H43" s="76"/>
      <c r="I43" s="76"/>
      <c r="J43" s="557"/>
    </row>
  </sheetData>
  <pageMargins left="0.7" right="0.7" top="0.75" bottom="0.75" header="0.3" footer="0.3"/>
  <pageSetup scale="44"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157A-AA48-42A7-887E-306EA19393CF}">
  <dimension ref="A1:I32"/>
  <sheetViews>
    <sheetView showGridLines="0" zoomScaleNormal="100" workbookViewId="0">
      <selection activeCell="F13" sqref="F13"/>
    </sheetView>
  </sheetViews>
  <sheetFormatPr defaultRowHeight="13.8" x14ac:dyDescent="0.25"/>
  <cols>
    <col min="1" max="1" width="3.375" customWidth="1"/>
    <col min="2" max="2" width="37.375" bestFit="1" customWidth="1"/>
    <col min="3" max="5" width="11.125" customWidth="1"/>
    <col min="6" max="6" width="14.25" customWidth="1"/>
    <col min="7" max="8" width="11.125" customWidth="1"/>
    <col min="9" max="9" width="22" bestFit="1" customWidth="1"/>
  </cols>
  <sheetData>
    <row r="1" spans="1:7" ht="17.850000000000001" customHeight="1" x14ac:dyDescent="0.25">
      <c r="A1" s="2" t="s">
        <v>76</v>
      </c>
      <c r="B1" s="2"/>
      <c r="C1" s="17"/>
      <c r="D1" s="17"/>
      <c r="E1" s="43"/>
      <c r="F1" s="44"/>
    </row>
    <row r="2" spans="1:7" ht="18" x14ac:dyDescent="0.35">
      <c r="A2" s="278" t="s">
        <v>425</v>
      </c>
      <c r="B2" s="278"/>
      <c r="C2" s="17"/>
      <c r="D2" s="17"/>
      <c r="E2" s="17"/>
      <c r="F2" s="17"/>
    </row>
    <row r="3" spans="1:7" x14ac:dyDescent="0.25">
      <c r="A3" s="66" t="s">
        <v>214</v>
      </c>
      <c r="B3" s="4"/>
      <c r="C3" s="280"/>
      <c r="D3" s="280"/>
      <c r="E3" s="280"/>
      <c r="F3" s="291"/>
    </row>
    <row r="5" spans="1:7" x14ac:dyDescent="0.25">
      <c r="C5" s="523">
        <v>2020</v>
      </c>
      <c r="D5" s="523">
        <f>C5+1</f>
        <v>2021</v>
      </c>
      <c r="E5" s="523">
        <f>D5+1</f>
        <v>2022</v>
      </c>
      <c r="F5" s="525" t="s">
        <v>640</v>
      </c>
    </row>
    <row r="6" spans="1:7" ht="5.25" customHeight="1" x14ac:dyDescent="0.25"/>
    <row r="7" spans="1:7" x14ac:dyDescent="0.25">
      <c r="B7" s="218" t="s">
        <v>434</v>
      </c>
      <c r="C7" s="218"/>
      <c r="D7" s="218"/>
      <c r="E7" s="218"/>
      <c r="F7" s="218"/>
    </row>
    <row r="8" spans="1:7" x14ac:dyDescent="0.25">
      <c r="B8" t="s">
        <v>427</v>
      </c>
      <c r="C8" s="281"/>
      <c r="D8" s="281"/>
      <c r="E8" s="281"/>
      <c r="F8" s="281"/>
    </row>
    <row r="9" spans="1:7" x14ac:dyDescent="0.25">
      <c r="B9" s="290" t="s">
        <v>428</v>
      </c>
      <c r="C9" s="281">
        <v>2.5000000000000001E-2</v>
      </c>
      <c r="D9" s="281">
        <v>2.4E-2</v>
      </c>
      <c r="E9" s="281">
        <v>2.5000000000000001E-2</v>
      </c>
      <c r="F9" s="281">
        <v>2.8000000000000001E-2</v>
      </c>
      <c r="G9" s="292"/>
    </row>
    <row r="10" spans="1:7" x14ac:dyDescent="0.25">
      <c r="B10" s="290" t="s">
        <v>426</v>
      </c>
      <c r="C10" s="281">
        <v>-3.9E-2</v>
      </c>
      <c r="D10" s="281">
        <v>5.0999999999999997E-2</v>
      </c>
      <c r="E10" s="281">
        <v>4.1000000000000002E-2</v>
      </c>
      <c r="F10" s="281">
        <v>3.4000000000000002E-2</v>
      </c>
      <c r="G10" s="292"/>
    </row>
    <row r="11" spans="1:7" x14ac:dyDescent="0.25">
      <c r="B11" t="s">
        <v>607</v>
      </c>
      <c r="C11" s="281">
        <v>0.106</v>
      </c>
      <c r="D11" s="281">
        <v>8.4000000000000005E-2</v>
      </c>
      <c r="E11" s="281">
        <v>7.0999999999999994E-2</v>
      </c>
      <c r="F11" s="281">
        <f>((2/5)*6.3%)+((3/5)*4.8%)</f>
        <v>5.3999999999999999E-2</v>
      </c>
    </row>
    <row r="12" spans="1:7" x14ac:dyDescent="0.25">
      <c r="B12" t="s">
        <v>433</v>
      </c>
      <c r="C12" s="293">
        <v>-3.9E-2</v>
      </c>
      <c r="D12" s="293">
        <v>5.7000000000000002E-2</v>
      </c>
      <c r="E12" s="293">
        <v>0.05</v>
      </c>
      <c r="F12" s="281">
        <f>((1/4)*2.6%)+((3/4)*2%)</f>
        <v>2.1499999999999998E-2</v>
      </c>
    </row>
    <row r="14" spans="1:7" x14ac:dyDescent="0.25">
      <c r="B14" s="76" t="s">
        <v>430</v>
      </c>
      <c r="C14" s="294"/>
      <c r="D14" s="294"/>
      <c r="E14" s="294"/>
      <c r="F14" s="294"/>
    </row>
    <row r="15" spans="1:7" x14ac:dyDescent="0.25">
      <c r="B15" s="230" t="s">
        <v>429</v>
      </c>
      <c r="C15" s="282"/>
      <c r="D15" s="282"/>
      <c r="E15" s="282"/>
      <c r="F15" s="282"/>
    </row>
    <row r="16" spans="1:7" x14ac:dyDescent="0.25">
      <c r="B16" s="230" t="s">
        <v>431</v>
      </c>
      <c r="C16" s="282"/>
      <c r="D16" s="282"/>
      <c r="E16" s="282"/>
      <c r="F16" s="282"/>
    </row>
    <row r="17" spans="2:9" ht="14.4" x14ac:dyDescent="0.3">
      <c r="B17" s="230" t="s">
        <v>432</v>
      </c>
      <c r="C17" s="282"/>
      <c r="D17" s="282"/>
      <c r="E17" s="282"/>
      <c r="F17" s="282"/>
      <c r="I17" s="287"/>
    </row>
    <row r="18" spans="2:9" ht="14.4" x14ac:dyDescent="0.3">
      <c r="I18" s="287"/>
    </row>
    <row r="19" spans="2:9" ht="14.4" x14ac:dyDescent="0.3">
      <c r="B19" s="230"/>
      <c r="E19" s="285"/>
      <c r="F19" s="285"/>
      <c r="I19" s="287"/>
    </row>
    <row r="20" spans="2:9" ht="14.4" x14ac:dyDescent="0.3">
      <c r="B20" s="559" t="s">
        <v>434</v>
      </c>
      <c r="E20" s="285"/>
      <c r="F20" s="285"/>
      <c r="I20" s="287"/>
    </row>
    <row r="21" spans="2:9" ht="14.4" x14ac:dyDescent="0.3">
      <c r="B21" s="554"/>
      <c r="C21" s="13"/>
      <c r="D21" s="13"/>
      <c r="E21" s="558"/>
      <c r="F21" s="558"/>
      <c r="G21" s="13"/>
      <c r="H21" s="555"/>
      <c r="I21" s="287"/>
    </row>
    <row r="22" spans="2:9" ht="14.4" x14ac:dyDescent="0.3">
      <c r="B22" s="308"/>
      <c r="E22" s="284"/>
      <c r="F22" s="284"/>
      <c r="H22" s="309"/>
      <c r="I22" s="287"/>
    </row>
    <row r="23" spans="2:9" ht="14.4" x14ac:dyDescent="0.3">
      <c r="B23" s="308"/>
      <c r="H23" s="309"/>
      <c r="I23" s="287"/>
    </row>
    <row r="24" spans="2:9" ht="14.4" x14ac:dyDescent="0.3">
      <c r="B24" s="308"/>
      <c r="H24" s="309"/>
      <c r="I24" s="287"/>
    </row>
    <row r="25" spans="2:9" ht="14.4" x14ac:dyDescent="0.3">
      <c r="B25" s="308"/>
      <c r="H25" s="309"/>
      <c r="I25" s="287"/>
    </row>
    <row r="26" spans="2:9" ht="14.4" x14ac:dyDescent="0.3">
      <c r="B26" s="308"/>
      <c r="H26" s="309"/>
      <c r="I26" s="287"/>
    </row>
    <row r="27" spans="2:9" ht="14.4" x14ac:dyDescent="0.3">
      <c r="B27" s="308"/>
      <c r="H27" s="309"/>
      <c r="I27" s="287"/>
    </row>
    <row r="28" spans="2:9" ht="14.4" x14ac:dyDescent="0.3">
      <c r="B28" s="308"/>
      <c r="H28" s="309"/>
      <c r="I28" s="287"/>
    </row>
    <row r="29" spans="2:9" x14ac:dyDescent="0.25">
      <c r="B29" s="308"/>
      <c r="H29" s="309"/>
    </row>
    <row r="30" spans="2:9" x14ac:dyDescent="0.25">
      <c r="B30" s="308"/>
      <c r="H30" s="309"/>
    </row>
    <row r="31" spans="2:9" x14ac:dyDescent="0.25">
      <c r="B31" s="308"/>
      <c r="H31" s="309"/>
    </row>
    <row r="32" spans="2:9" x14ac:dyDescent="0.25">
      <c r="B32" s="556"/>
      <c r="C32" s="76"/>
      <c r="D32" s="76"/>
      <c r="E32" s="76"/>
      <c r="F32" s="76"/>
      <c r="G32" s="76"/>
      <c r="H32" s="557"/>
    </row>
  </sheetData>
  <hyperlinks>
    <hyperlink ref="B16" r:id="rId1" xr:uid="{9386412A-FF8B-4B25-84A8-7B8D13F36CB9}"/>
    <hyperlink ref="B15" r:id="rId2" xr:uid="{48325265-E761-42FD-8292-EEF807F9B6DF}"/>
    <hyperlink ref="B17" r:id="rId3" xr:uid="{DFB0E77A-9854-4FA7-A2CE-8BDF44DB1ECC}"/>
  </hyperlinks>
  <pageMargins left="0.7" right="0.7" top="0.75" bottom="0.75" header="0.3" footer="0.3"/>
  <pageSetup scale="94" orientation="portrait" horizontalDpi="1200" verticalDpi="1200" r:id="rId4"/>
  <customProperties>
    <customPr name="Guid" r:id="rId5"/>
  </customProperties>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ABF00-AC76-4748-A9C0-C2B33E60DB69}">
  <sheetPr codeName="Sheet1"/>
  <dimension ref="A1:F37"/>
  <sheetViews>
    <sheetView showGridLines="0" topLeftCell="A18" zoomScaleNormal="100" workbookViewId="0">
      <selection activeCell="E38" sqref="E38"/>
    </sheetView>
  </sheetViews>
  <sheetFormatPr defaultRowHeight="15.6" x14ac:dyDescent="0.3"/>
  <cols>
    <col min="1" max="1" width="3.375" style="69" customWidth="1"/>
    <col min="2" max="2" width="12.75" style="69" bestFit="1" customWidth="1"/>
    <col min="3" max="3" width="28.125" style="69" customWidth="1"/>
    <col min="4" max="4" width="17.625" style="69" customWidth="1"/>
    <col min="5" max="5" width="11.375" style="69" bestFit="1" customWidth="1"/>
    <col min="6" max="6" width="18.75" style="69" bestFit="1" customWidth="1"/>
  </cols>
  <sheetData>
    <row r="1" spans="1:6" x14ac:dyDescent="0.25">
      <c r="A1" s="67" t="s">
        <v>76</v>
      </c>
      <c r="B1" s="68"/>
      <c r="C1" s="68"/>
      <c r="D1" s="68"/>
      <c r="E1" s="68"/>
      <c r="F1" s="68"/>
    </row>
    <row r="2" spans="1:6" ht="18" x14ac:dyDescent="0.35">
      <c r="A2" s="46" t="s">
        <v>374</v>
      </c>
      <c r="B2" s="102"/>
      <c r="C2" s="102"/>
      <c r="D2" s="102"/>
      <c r="E2" s="102"/>
      <c r="F2" s="102"/>
    </row>
    <row r="3" spans="1:6" x14ac:dyDescent="0.25">
      <c r="A3" s="66" t="s">
        <v>582</v>
      </c>
      <c r="B3" s="72"/>
      <c r="C3" s="72"/>
      <c r="D3" s="72"/>
      <c r="E3" s="72"/>
      <c r="F3" s="72"/>
    </row>
    <row r="6" spans="1:6" x14ac:dyDescent="0.3">
      <c r="B6" s="528" t="s">
        <v>620</v>
      </c>
      <c r="C6" s="528" t="s">
        <v>375</v>
      </c>
      <c r="D6" s="528" t="s">
        <v>621</v>
      </c>
      <c r="E6" s="529" t="s">
        <v>376</v>
      </c>
      <c r="F6" s="529" t="s">
        <v>377</v>
      </c>
    </row>
    <row r="7" spans="1:6" ht="16.5" customHeight="1" x14ac:dyDescent="0.3">
      <c r="B7" s="581" t="s">
        <v>641</v>
      </c>
      <c r="C7" t="s">
        <v>642</v>
      </c>
      <c r="D7" s="581" t="s">
        <v>643</v>
      </c>
      <c r="E7" s="582">
        <v>4000</v>
      </c>
      <c r="F7" s="581" t="s">
        <v>171</v>
      </c>
    </row>
    <row r="8" spans="1:6" ht="16.5" customHeight="1" x14ac:dyDescent="0.3">
      <c r="B8" s="581" t="s">
        <v>641</v>
      </c>
      <c r="C8" t="s">
        <v>644</v>
      </c>
      <c r="D8" s="581" t="s">
        <v>643</v>
      </c>
      <c r="E8" s="582">
        <v>3750</v>
      </c>
      <c r="F8" s="581" t="s">
        <v>171</v>
      </c>
    </row>
    <row r="9" spans="1:6" ht="16.5" customHeight="1" x14ac:dyDescent="0.3">
      <c r="B9" s="581" t="s">
        <v>641</v>
      </c>
      <c r="C9" t="s">
        <v>645</v>
      </c>
      <c r="D9" s="581" t="s">
        <v>643</v>
      </c>
      <c r="E9" s="582">
        <v>5200</v>
      </c>
      <c r="F9" s="581" t="s">
        <v>646</v>
      </c>
    </row>
    <row r="10" spans="1:6" ht="16.5" customHeight="1" x14ac:dyDescent="0.3">
      <c r="B10" s="581" t="s">
        <v>641</v>
      </c>
      <c r="C10" t="s">
        <v>647</v>
      </c>
      <c r="D10" s="581" t="s">
        <v>643</v>
      </c>
      <c r="E10" s="582">
        <v>4500</v>
      </c>
      <c r="F10" s="581" t="s">
        <v>171</v>
      </c>
    </row>
    <row r="11" spans="1:6" ht="16.5" customHeight="1" x14ac:dyDescent="0.3">
      <c r="B11" s="581" t="s">
        <v>641</v>
      </c>
      <c r="C11" t="s">
        <v>648</v>
      </c>
      <c r="D11" s="581" t="s">
        <v>643</v>
      </c>
      <c r="E11" s="582">
        <v>4000</v>
      </c>
      <c r="F11" s="581" t="s">
        <v>171</v>
      </c>
    </row>
    <row r="12" spans="1:6" ht="16.5" customHeight="1" x14ac:dyDescent="0.3">
      <c r="B12" s="581" t="s">
        <v>641</v>
      </c>
      <c r="C12" t="s">
        <v>649</v>
      </c>
      <c r="D12" s="581" t="s">
        <v>643</v>
      </c>
      <c r="E12" s="582">
        <v>4100</v>
      </c>
      <c r="F12" s="581" t="s">
        <v>650</v>
      </c>
    </row>
    <row r="13" spans="1:6" ht="16.5" customHeight="1" x14ac:dyDescent="0.3">
      <c r="B13" s="581" t="s">
        <v>641</v>
      </c>
      <c r="C13" t="s">
        <v>651</v>
      </c>
      <c r="D13" s="581" t="s">
        <v>643</v>
      </c>
      <c r="E13" s="582">
        <v>3975</v>
      </c>
      <c r="F13" s="581" t="s">
        <v>171</v>
      </c>
    </row>
    <row r="14" spans="1:6" ht="16.5" customHeight="1" x14ac:dyDescent="0.3">
      <c r="B14" s="581" t="s">
        <v>641</v>
      </c>
      <c r="C14" t="s">
        <v>652</v>
      </c>
      <c r="D14" s="581" t="s">
        <v>643</v>
      </c>
      <c r="E14" s="582">
        <v>3940</v>
      </c>
      <c r="F14" s="581" t="s">
        <v>650</v>
      </c>
    </row>
    <row r="15" spans="1:6" ht="16.5" customHeight="1" x14ac:dyDescent="0.3">
      <c r="B15" s="581" t="s">
        <v>641</v>
      </c>
      <c r="C15" t="s">
        <v>653</v>
      </c>
      <c r="D15" s="581" t="s">
        <v>643</v>
      </c>
      <c r="E15" s="582">
        <v>4250</v>
      </c>
      <c r="F15" s="581" t="s">
        <v>171</v>
      </c>
    </row>
    <row r="16" spans="1:6" ht="16.5" customHeight="1" x14ac:dyDescent="0.3">
      <c r="B16" s="581" t="s">
        <v>641</v>
      </c>
      <c r="C16" t="s">
        <v>654</v>
      </c>
      <c r="D16" s="581" t="s">
        <v>643</v>
      </c>
      <c r="E16" s="582">
        <v>3700</v>
      </c>
      <c r="F16" s="581" t="s">
        <v>655</v>
      </c>
    </row>
    <row r="17" spans="2:6" ht="16.5" customHeight="1" x14ac:dyDescent="0.3">
      <c r="B17" s="581" t="s">
        <v>641</v>
      </c>
      <c r="C17" t="s">
        <v>656</v>
      </c>
      <c r="D17" s="581" t="s">
        <v>657</v>
      </c>
      <c r="E17" s="582">
        <v>4000</v>
      </c>
      <c r="F17" s="581" t="s">
        <v>650</v>
      </c>
    </row>
    <row r="18" spans="2:6" ht="16.5" customHeight="1" x14ac:dyDescent="0.3">
      <c r="B18" s="581" t="s">
        <v>641</v>
      </c>
      <c r="C18" t="s">
        <v>658</v>
      </c>
      <c r="D18" s="581" t="s">
        <v>643</v>
      </c>
      <c r="E18" s="582">
        <v>4000</v>
      </c>
      <c r="F18" s="581" t="s">
        <v>650</v>
      </c>
    </row>
    <row r="19" spans="2:6" ht="16.5" customHeight="1" x14ac:dyDescent="0.3">
      <c r="B19" s="581" t="s">
        <v>641</v>
      </c>
      <c r="C19" t="s">
        <v>659</v>
      </c>
      <c r="D19" s="581" t="s">
        <v>643</v>
      </c>
      <c r="E19" s="582">
        <v>4000</v>
      </c>
      <c r="F19" s="581" t="s">
        <v>171</v>
      </c>
    </row>
    <row r="20" spans="2:6" ht="16.5" customHeight="1" x14ac:dyDescent="0.3">
      <c r="B20" s="581" t="s">
        <v>641</v>
      </c>
      <c r="C20" t="s">
        <v>660</v>
      </c>
      <c r="D20" s="581" t="s">
        <v>643</v>
      </c>
      <c r="E20" s="582">
        <v>4400</v>
      </c>
      <c r="F20" s="581" t="s">
        <v>650</v>
      </c>
    </row>
    <row r="21" spans="2:6" ht="16.5" customHeight="1" x14ac:dyDescent="0.3">
      <c r="B21" s="581" t="s">
        <v>641</v>
      </c>
      <c r="C21" t="s">
        <v>661</v>
      </c>
      <c r="D21" s="581" t="s">
        <v>643</v>
      </c>
      <c r="E21" s="582">
        <v>4100</v>
      </c>
      <c r="F21" s="581" t="s">
        <v>171</v>
      </c>
    </row>
    <row r="22" spans="2:6" ht="16.5" customHeight="1" x14ac:dyDescent="0.3">
      <c r="B22" s="581" t="s">
        <v>641</v>
      </c>
      <c r="C22" t="s">
        <v>662</v>
      </c>
      <c r="D22" s="581" t="s">
        <v>643</v>
      </c>
      <c r="E22" s="582">
        <v>5200</v>
      </c>
      <c r="F22" s="581" t="s">
        <v>646</v>
      </c>
    </row>
    <row r="23" spans="2:6" ht="16.5" customHeight="1" x14ac:dyDescent="0.3">
      <c r="B23" s="581" t="s">
        <v>641</v>
      </c>
      <c r="C23" t="s">
        <v>663</v>
      </c>
      <c r="D23" s="581" t="s">
        <v>643</v>
      </c>
      <c r="E23" s="582">
        <v>4250</v>
      </c>
      <c r="F23" s="581" t="s">
        <v>171</v>
      </c>
    </row>
    <row r="24" spans="2:6" ht="16.5" customHeight="1" x14ac:dyDescent="0.3">
      <c r="B24" s="581" t="s">
        <v>641</v>
      </c>
      <c r="C24" t="s">
        <v>664</v>
      </c>
      <c r="D24" s="581" t="s">
        <v>643</v>
      </c>
      <c r="E24" s="582">
        <v>3860</v>
      </c>
      <c r="F24" s="581" t="s">
        <v>665</v>
      </c>
    </row>
    <row r="25" spans="2:6" ht="16.5" customHeight="1" x14ac:dyDescent="0.3">
      <c r="B25" s="581" t="s">
        <v>641</v>
      </c>
      <c r="C25" t="s">
        <v>666</v>
      </c>
      <c r="D25" s="581" t="s">
        <v>643</v>
      </c>
      <c r="E25" s="582">
        <v>4400</v>
      </c>
      <c r="F25" s="581" t="s">
        <v>171</v>
      </c>
    </row>
    <row r="26" spans="2:6" ht="16.5" customHeight="1" x14ac:dyDescent="0.3">
      <c r="B26" s="581" t="s">
        <v>641</v>
      </c>
      <c r="C26" t="s">
        <v>667</v>
      </c>
      <c r="D26" s="581" t="s">
        <v>657</v>
      </c>
      <c r="E26" s="582">
        <v>4150</v>
      </c>
      <c r="F26" s="581" t="s">
        <v>668</v>
      </c>
    </row>
    <row r="27" spans="2:6" ht="16.5" customHeight="1" x14ac:dyDescent="0.3">
      <c r="B27" s="581" t="s">
        <v>641</v>
      </c>
      <c r="C27" t="s">
        <v>669</v>
      </c>
      <c r="D27" s="581" t="s">
        <v>643</v>
      </c>
      <c r="E27" s="582">
        <v>4350</v>
      </c>
      <c r="F27" s="581" t="s">
        <v>670</v>
      </c>
    </row>
    <row r="28" spans="2:6" ht="16.5" customHeight="1" x14ac:dyDescent="0.3">
      <c r="B28" s="581" t="s">
        <v>641</v>
      </c>
      <c r="C28" t="s">
        <v>671</v>
      </c>
      <c r="D28" s="581" t="s">
        <v>643</v>
      </c>
      <c r="E28" s="582">
        <v>4650</v>
      </c>
      <c r="F28" s="581" t="s">
        <v>171</v>
      </c>
    </row>
    <row r="29" spans="2:6" ht="16.5" customHeight="1" x14ac:dyDescent="0.3">
      <c r="B29" s="581" t="s">
        <v>672</v>
      </c>
      <c r="C29" t="s">
        <v>673</v>
      </c>
      <c r="D29" s="581" t="s">
        <v>643</v>
      </c>
      <c r="E29" s="582">
        <v>4155</v>
      </c>
      <c r="F29" s="581" t="s">
        <v>655</v>
      </c>
    </row>
    <row r="30" spans="2:6" ht="16.5" customHeight="1" x14ac:dyDescent="0.3">
      <c r="B30" s="581" t="s">
        <v>674</v>
      </c>
      <c r="C30" t="s">
        <v>675</v>
      </c>
      <c r="D30" s="581" t="s">
        <v>643</v>
      </c>
      <c r="E30" s="582">
        <v>4000</v>
      </c>
      <c r="F30" s="581"/>
    </row>
    <row r="31" spans="2:6" ht="16.5" customHeight="1" x14ac:dyDescent="0.3">
      <c r="B31" s="581" t="s">
        <v>676</v>
      </c>
      <c r="C31" t="s">
        <v>677</v>
      </c>
      <c r="D31" s="581" t="s">
        <v>643</v>
      </c>
      <c r="E31" s="582">
        <v>3900</v>
      </c>
      <c r="F31" s="581" t="s">
        <v>655</v>
      </c>
    </row>
    <row r="32" spans="2:6" ht="16.5" customHeight="1" x14ac:dyDescent="0.3">
      <c r="B32" s="563"/>
      <c r="C32" s="563"/>
      <c r="D32" s="563"/>
      <c r="E32" s="526"/>
      <c r="F32" s="564"/>
    </row>
    <row r="33" spans="2:6" ht="16.5" customHeight="1" x14ac:dyDescent="0.3">
      <c r="B33" s="394" t="s">
        <v>378</v>
      </c>
      <c r="C33" s="565"/>
      <c r="D33" s="565"/>
      <c r="E33" s="527">
        <f>AVERAGE($E$7:$E$31)</f>
        <v>4193.2</v>
      </c>
      <c r="F33"/>
    </row>
    <row r="34" spans="2:6" x14ac:dyDescent="0.3">
      <c r="B34" s="394" t="s">
        <v>165</v>
      </c>
      <c r="C34" s="394"/>
      <c r="D34" s="394"/>
      <c r="E34" s="527">
        <f>MEDIAN($E$7:$E$31)</f>
        <v>4100</v>
      </c>
      <c r="F34"/>
    </row>
    <row r="35" spans="2:6" x14ac:dyDescent="0.3">
      <c r="B35" s="394" t="s">
        <v>379</v>
      </c>
      <c r="C35" s="394"/>
      <c r="D35" s="394"/>
      <c r="E35" s="527">
        <f>MODE($E$7:$E$31)</f>
        <v>4000</v>
      </c>
      <c r="F35"/>
    </row>
    <row r="36" spans="2:6" ht="16.5" customHeight="1" x14ac:dyDescent="0.3">
      <c r="B36" s="93" t="s">
        <v>180</v>
      </c>
      <c r="C36" s="93"/>
      <c r="D36" s="93"/>
      <c r="E36" s="527">
        <f>MIN($E$7:$E$31)</f>
        <v>3700</v>
      </c>
      <c r="F36"/>
    </row>
    <row r="37" spans="2:6" x14ac:dyDescent="0.3">
      <c r="B37" s="112" t="s">
        <v>256</v>
      </c>
      <c r="D37" s="93"/>
      <c r="E37" s="527">
        <f>MAX($E$7:$E$31)</f>
        <v>5200</v>
      </c>
      <c r="F37"/>
    </row>
  </sheetData>
  <conditionalFormatting sqref="C7:C31">
    <cfRule type="duplicateValues" dxfId="1" priority="1"/>
    <cfRule type="duplicateValues" dxfId="0" priority="2"/>
  </conditionalFormatting>
  <pageMargins left="0.7" right="0.7" top="0.75" bottom="0.75" header="0.3" footer="0.3"/>
  <pageSetup scale="77" orientation="portrait" horizontalDpi="1200" verticalDpi="1200" r:id="rId1"/>
  <rowBreaks count="1" manualBreakCount="1">
    <brk id="21"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4AD62-1586-4BAF-B4DF-E3932B01F22A}">
  <sheetPr>
    <pageSetUpPr autoPageBreaks="0"/>
  </sheetPr>
  <dimension ref="A1:L1382"/>
  <sheetViews>
    <sheetView showGridLines="0" zoomScaleNormal="100" workbookViewId="0">
      <selection activeCell="B11" sqref="B11"/>
    </sheetView>
  </sheetViews>
  <sheetFormatPr defaultColWidth="8.75" defaultRowHeight="12.75" customHeight="1" x14ac:dyDescent="0.25"/>
  <cols>
    <col min="1" max="1" width="3.375" style="400" customWidth="1"/>
    <col min="2" max="2" width="18.375" style="400" customWidth="1"/>
    <col min="3" max="3" width="44.375" style="400" customWidth="1"/>
    <col min="4" max="4" width="11.125" style="400" customWidth="1"/>
    <col min="5" max="5" width="11.625" style="400" customWidth="1"/>
    <col min="6" max="6" width="19.375" style="400" customWidth="1"/>
    <col min="7" max="16384" width="8.75" style="400"/>
  </cols>
  <sheetData>
    <row r="1" spans="1:12" ht="15.75" customHeight="1" x14ac:dyDescent="0.2">
      <c r="A1" s="2" t="s">
        <v>76</v>
      </c>
      <c r="B1" s="2"/>
      <c r="C1" s="399"/>
      <c r="D1" s="399"/>
      <c r="E1" s="399"/>
      <c r="F1" s="399"/>
      <c r="G1" s="399"/>
      <c r="H1" s="399"/>
      <c r="I1" s="399"/>
      <c r="J1" s="399"/>
      <c r="K1" s="399"/>
      <c r="L1" s="399"/>
    </row>
    <row r="2" spans="1:12" ht="15.75" customHeight="1" x14ac:dyDescent="0.25">
      <c r="A2" s="70" t="s">
        <v>179</v>
      </c>
      <c r="B2" s="70"/>
      <c r="C2" s="399"/>
      <c r="D2" s="399"/>
      <c r="E2" s="399"/>
      <c r="F2" s="399"/>
      <c r="G2" s="399"/>
      <c r="H2" s="399"/>
      <c r="I2" s="399"/>
      <c r="J2" s="399"/>
      <c r="K2" s="399"/>
      <c r="L2" s="399"/>
    </row>
    <row r="3" spans="1:12" ht="15.75" customHeight="1" x14ac:dyDescent="0.25">
      <c r="A3" s="66" t="s">
        <v>582</v>
      </c>
      <c r="B3" s="4"/>
      <c r="C3" s="399"/>
      <c r="D3" s="399"/>
      <c r="E3" s="399"/>
      <c r="F3" s="399"/>
      <c r="G3" s="399"/>
      <c r="H3" s="399"/>
      <c r="I3" s="399"/>
      <c r="J3" s="399"/>
      <c r="K3" s="399"/>
      <c r="L3" s="399"/>
    </row>
    <row r="5" spans="1:12" ht="13.8" x14ac:dyDescent="0.25">
      <c r="B5" s="397"/>
      <c r="C5" s="401"/>
      <c r="D5" s="402"/>
      <c r="E5" s="403"/>
      <c r="F5" s="403"/>
    </row>
    <row r="6" spans="1:12" ht="13.8" x14ac:dyDescent="0.25">
      <c r="B6" s="394" t="s">
        <v>475</v>
      </c>
      <c r="C6" s="394"/>
      <c r="D6" s="395"/>
      <c r="E6" s="403"/>
      <c r="F6" s="403"/>
    </row>
    <row r="7" spans="1:12" ht="13.8" x14ac:dyDescent="0.25">
      <c r="B7" s="398" t="s">
        <v>476</v>
      </c>
      <c r="C7" s="397"/>
      <c r="D7" s="396"/>
      <c r="E7" s="403"/>
      <c r="F7" s="403"/>
    </row>
    <row r="8" spans="1:12" ht="13.8" x14ac:dyDescent="0.25">
      <c r="B8" s="394" t="s">
        <v>477</v>
      </c>
      <c r="C8" s="394"/>
      <c r="D8" s="395"/>
      <c r="E8" s="403"/>
      <c r="F8" s="403"/>
    </row>
    <row r="9" spans="1:12" ht="13.8" x14ac:dyDescent="0.25">
      <c r="B9" s="397"/>
      <c r="C9" s="401"/>
      <c r="D9" s="402"/>
      <c r="E9" s="403"/>
      <c r="F9" s="403"/>
    </row>
    <row r="10" spans="1:12" ht="28.2" x14ac:dyDescent="0.3">
      <c r="B10" s="392" t="s">
        <v>181</v>
      </c>
      <c r="C10" s="393" t="s">
        <v>182</v>
      </c>
      <c r="D10" s="325"/>
      <c r="E10" s="325"/>
      <c r="F10" s="325"/>
    </row>
    <row r="11" spans="1:12" ht="12.75" customHeight="1" x14ac:dyDescent="0.25">
      <c r="B11" s="407"/>
      <c r="C11" s="408"/>
      <c r="D11" s="404"/>
      <c r="E11" s="404"/>
      <c r="F11" s="404"/>
    </row>
    <row r="12" spans="1:12" ht="12.75" customHeight="1" x14ac:dyDescent="0.25">
      <c r="B12" s="407"/>
      <c r="C12" s="408"/>
      <c r="D12" s="404"/>
      <c r="E12" s="404"/>
      <c r="F12" s="404"/>
    </row>
    <row r="13" spans="1:12" ht="12.75" customHeight="1" x14ac:dyDescent="0.25">
      <c r="B13" s="407"/>
      <c r="C13" s="408"/>
      <c r="D13" s="404"/>
      <c r="E13" s="404"/>
      <c r="F13" s="404"/>
    </row>
    <row r="14" spans="1:12" ht="12.75" customHeight="1" x14ac:dyDescent="0.25">
      <c r="B14" s="407"/>
      <c r="C14" s="408"/>
      <c r="D14" s="404"/>
      <c r="E14" s="404"/>
      <c r="F14" s="404"/>
    </row>
    <row r="15" spans="1:12" ht="12.75" customHeight="1" x14ac:dyDescent="0.25">
      <c r="B15" s="407"/>
      <c r="C15" s="408"/>
      <c r="D15" s="404"/>
      <c r="E15" s="404"/>
      <c r="F15" s="404"/>
    </row>
    <row r="16" spans="1:12" ht="12.75" customHeight="1" x14ac:dyDescent="0.25">
      <c r="B16" s="407"/>
      <c r="C16" s="408"/>
      <c r="D16" s="404"/>
      <c r="E16" s="404"/>
      <c r="F16" s="404"/>
    </row>
    <row r="17" spans="2:6" ht="12.75" customHeight="1" x14ac:dyDescent="0.25">
      <c r="B17" s="407"/>
      <c r="C17" s="408"/>
      <c r="D17" s="404"/>
      <c r="E17" s="404"/>
      <c r="F17" s="404"/>
    </row>
    <row r="18" spans="2:6" ht="12.75" customHeight="1" x14ac:dyDescent="0.25">
      <c r="B18" s="407"/>
      <c r="C18" s="408"/>
      <c r="D18" s="404"/>
      <c r="E18" s="404"/>
      <c r="F18" s="404"/>
    </row>
    <row r="19" spans="2:6" ht="12.75" customHeight="1" x14ac:dyDescent="0.25">
      <c r="B19" s="407"/>
      <c r="C19" s="408"/>
      <c r="D19" s="404"/>
      <c r="E19" s="404"/>
      <c r="F19" s="404"/>
    </row>
    <row r="20" spans="2:6" ht="12.75" customHeight="1" x14ac:dyDescent="0.25">
      <c r="B20" s="407"/>
      <c r="C20" s="408"/>
      <c r="D20" s="404"/>
      <c r="E20" s="404"/>
      <c r="F20" s="404"/>
    </row>
    <row r="21" spans="2:6" ht="12.75" customHeight="1" x14ac:dyDescent="0.25">
      <c r="B21" s="407"/>
      <c r="C21" s="408"/>
      <c r="D21" s="404"/>
      <c r="E21" s="404"/>
      <c r="F21" s="404"/>
    </row>
    <row r="22" spans="2:6" ht="12.75" customHeight="1" x14ac:dyDescent="0.25">
      <c r="B22" s="407"/>
      <c r="C22" s="408"/>
      <c r="D22" s="404"/>
      <c r="E22" s="404"/>
      <c r="F22" s="404"/>
    </row>
    <row r="23" spans="2:6" ht="12.75" customHeight="1" x14ac:dyDescent="0.25">
      <c r="B23" s="407"/>
      <c r="C23" s="408"/>
      <c r="D23" s="404"/>
      <c r="E23" s="404"/>
      <c r="F23" s="404"/>
    </row>
    <row r="24" spans="2:6" ht="12.75" customHeight="1" x14ac:dyDescent="0.25">
      <c r="B24" s="407"/>
      <c r="C24" s="408"/>
      <c r="D24" s="404"/>
      <c r="E24" s="404"/>
      <c r="F24" s="404"/>
    </row>
    <row r="25" spans="2:6" ht="12.75" customHeight="1" x14ac:dyDescent="0.25">
      <c r="B25" s="407"/>
      <c r="C25" s="408"/>
      <c r="D25" s="404"/>
      <c r="E25" s="404"/>
      <c r="F25" s="404"/>
    </row>
    <row r="26" spans="2:6" ht="12.75" customHeight="1" x14ac:dyDescent="0.25">
      <c r="B26" s="407"/>
      <c r="C26" s="408"/>
      <c r="D26" s="404"/>
      <c r="E26" s="404"/>
      <c r="F26" s="404"/>
    </row>
    <row r="27" spans="2:6" ht="12.75" customHeight="1" x14ac:dyDescent="0.25">
      <c r="B27" s="407"/>
      <c r="C27" s="408"/>
      <c r="D27" s="404"/>
      <c r="E27" s="404"/>
      <c r="F27" s="404"/>
    </row>
    <row r="28" spans="2:6" ht="12.75" customHeight="1" x14ac:dyDescent="0.25">
      <c r="B28" s="407"/>
      <c r="C28" s="408"/>
      <c r="D28" s="404"/>
      <c r="E28" s="404"/>
      <c r="F28" s="404"/>
    </row>
    <row r="29" spans="2:6" ht="12.75" customHeight="1" x14ac:dyDescent="0.25">
      <c r="B29" s="407"/>
      <c r="C29" s="408"/>
      <c r="D29" s="404"/>
      <c r="E29" s="404"/>
      <c r="F29" s="404"/>
    </row>
    <row r="30" spans="2:6" ht="12.75" customHeight="1" x14ac:dyDescent="0.25">
      <c r="B30" s="407"/>
      <c r="C30" s="408"/>
      <c r="D30" s="404"/>
      <c r="E30" s="404"/>
      <c r="F30" s="404"/>
    </row>
    <row r="31" spans="2:6" ht="12.75" customHeight="1" x14ac:dyDescent="0.25">
      <c r="B31" s="407"/>
      <c r="C31" s="408"/>
      <c r="D31" s="404"/>
      <c r="E31" s="404"/>
      <c r="F31" s="404"/>
    </row>
    <row r="32" spans="2:6" ht="12.75" customHeight="1" x14ac:dyDescent="0.25">
      <c r="B32" s="407"/>
      <c r="C32" s="408"/>
      <c r="D32" s="404"/>
      <c r="E32" s="404"/>
      <c r="F32" s="404"/>
    </row>
    <row r="33" spans="2:6" ht="12.75" customHeight="1" x14ac:dyDescent="0.25">
      <c r="B33" s="407"/>
      <c r="C33" s="408"/>
      <c r="D33" s="404"/>
      <c r="E33" s="404"/>
      <c r="F33" s="404"/>
    </row>
    <row r="34" spans="2:6" ht="12.75" customHeight="1" x14ac:dyDescent="0.25">
      <c r="B34" s="407"/>
      <c r="C34" s="408"/>
      <c r="D34" s="404"/>
      <c r="E34" s="404"/>
      <c r="F34" s="404"/>
    </row>
    <row r="35" spans="2:6" ht="12.75" customHeight="1" x14ac:dyDescent="0.25">
      <c r="B35" s="407"/>
      <c r="C35" s="408"/>
      <c r="D35" s="404"/>
      <c r="E35" s="404"/>
      <c r="F35" s="404"/>
    </row>
    <row r="36" spans="2:6" ht="12.75" customHeight="1" x14ac:dyDescent="0.25">
      <c r="B36" s="407"/>
      <c r="C36" s="408"/>
      <c r="D36" s="404"/>
      <c r="E36" s="404"/>
      <c r="F36" s="404"/>
    </row>
    <row r="37" spans="2:6" ht="12.75" customHeight="1" x14ac:dyDescent="0.25">
      <c r="B37" s="407"/>
      <c r="C37" s="408"/>
      <c r="D37" s="404"/>
      <c r="E37" s="404"/>
      <c r="F37" s="404"/>
    </row>
    <row r="38" spans="2:6" ht="12.75" customHeight="1" x14ac:dyDescent="0.25">
      <c r="B38" s="407"/>
      <c r="C38" s="408"/>
      <c r="D38" s="404"/>
      <c r="E38" s="404"/>
      <c r="F38" s="404"/>
    </row>
    <row r="39" spans="2:6" ht="12.75" customHeight="1" x14ac:dyDescent="0.25">
      <c r="B39" s="407"/>
      <c r="C39" s="408"/>
      <c r="D39" s="404"/>
      <c r="E39" s="404"/>
      <c r="F39" s="404"/>
    </row>
    <row r="40" spans="2:6" ht="12.75" customHeight="1" x14ac:dyDescent="0.25">
      <c r="B40" s="407"/>
      <c r="C40" s="408"/>
      <c r="D40" s="404"/>
      <c r="E40" s="404"/>
      <c r="F40" s="404"/>
    </row>
    <row r="41" spans="2:6" ht="12.75" customHeight="1" x14ac:dyDescent="0.25">
      <c r="B41" s="407"/>
      <c r="C41" s="408"/>
      <c r="D41" s="404"/>
      <c r="E41" s="404"/>
      <c r="F41" s="404"/>
    </row>
    <row r="42" spans="2:6" ht="12.75" customHeight="1" x14ac:dyDescent="0.25">
      <c r="B42" s="407"/>
      <c r="C42" s="408"/>
      <c r="D42" s="404"/>
      <c r="E42" s="404"/>
      <c r="F42" s="404"/>
    </row>
    <row r="43" spans="2:6" ht="12.75" customHeight="1" x14ac:dyDescent="0.25">
      <c r="B43" s="407"/>
      <c r="C43" s="408"/>
      <c r="D43" s="404"/>
      <c r="E43" s="404"/>
      <c r="F43" s="404"/>
    </row>
    <row r="44" spans="2:6" ht="12.75" customHeight="1" x14ac:dyDescent="0.25">
      <c r="B44" s="407"/>
      <c r="C44" s="408"/>
      <c r="D44" s="404"/>
      <c r="E44" s="404"/>
      <c r="F44" s="404"/>
    </row>
    <row r="45" spans="2:6" ht="12.75" customHeight="1" x14ac:dyDescent="0.25">
      <c r="B45" s="407"/>
      <c r="C45" s="408"/>
      <c r="D45" s="404"/>
      <c r="E45" s="404"/>
      <c r="F45" s="404"/>
    </row>
    <row r="46" spans="2:6" ht="12.75" customHeight="1" x14ac:dyDescent="0.25">
      <c r="B46" s="407"/>
      <c r="C46" s="408"/>
      <c r="D46" s="404"/>
      <c r="E46" s="404"/>
      <c r="F46" s="404"/>
    </row>
    <row r="47" spans="2:6" ht="12.75" customHeight="1" x14ac:dyDescent="0.25">
      <c r="B47" s="407"/>
      <c r="C47" s="408"/>
      <c r="D47" s="404"/>
      <c r="E47" s="404"/>
      <c r="F47" s="404"/>
    </row>
    <row r="48" spans="2:6" ht="12.75" customHeight="1" x14ac:dyDescent="0.25">
      <c r="B48" s="407"/>
      <c r="C48" s="408"/>
      <c r="D48" s="404"/>
      <c r="E48" s="404"/>
      <c r="F48" s="404"/>
    </row>
    <row r="49" spans="2:6" ht="12.75" customHeight="1" x14ac:dyDescent="0.25">
      <c r="B49" s="407"/>
      <c r="C49" s="408"/>
      <c r="D49" s="404"/>
      <c r="E49" s="404"/>
      <c r="F49" s="404"/>
    </row>
    <row r="50" spans="2:6" ht="12.75" customHeight="1" x14ac:dyDescent="0.25">
      <c r="B50" s="407"/>
      <c r="C50" s="408"/>
      <c r="D50" s="404"/>
      <c r="E50" s="404"/>
      <c r="F50" s="404"/>
    </row>
    <row r="51" spans="2:6" ht="12.75" customHeight="1" x14ac:dyDescent="0.25">
      <c r="B51" s="407"/>
      <c r="C51" s="408"/>
      <c r="D51" s="404"/>
      <c r="E51" s="404"/>
      <c r="F51" s="404"/>
    </row>
    <row r="52" spans="2:6" ht="12.75" customHeight="1" x14ac:dyDescent="0.25">
      <c r="B52" s="407"/>
      <c r="C52" s="408"/>
      <c r="D52" s="404"/>
      <c r="E52" s="404"/>
      <c r="F52" s="404"/>
    </row>
    <row r="53" spans="2:6" ht="12.75" customHeight="1" x14ac:dyDescent="0.25">
      <c r="B53" s="407"/>
      <c r="C53" s="408"/>
      <c r="D53" s="404"/>
      <c r="E53" s="404"/>
      <c r="F53" s="404"/>
    </row>
    <row r="54" spans="2:6" ht="12.75" customHeight="1" x14ac:dyDescent="0.25">
      <c r="B54" s="407"/>
      <c r="C54" s="408"/>
      <c r="D54" s="404"/>
      <c r="E54" s="404"/>
      <c r="F54" s="404"/>
    </row>
    <row r="55" spans="2:6" ht="12.75" customHeight="1" x14ac:dyDescent="0.25">
      <c r="B55" s="407"/>
      <c r="C55" s="408"/>
      <c r="D55" s="404"/>
      <c r="E55" s="404"/>
      <c r="F55" s="404"/>
    </row>
    <row r="56" spans="2:6" ht="12.75" customHeight="1" x14ac:dyDescent="0.25">
      <c r="B56" s="407"/>
      <c r="C56" s="408"/>
      <c r="D56" s="404"/>
      <c r="E56" s="404"/>
      <c r="F56" s="404"/>
    </row>
    <row r="57" spans="2:6" ht="12.75" customHeight="1" x14ac:dyDescent="0.25">
      <c r="B57" s="407"/>
      <c r="C57" s="408"/>
      <c r="D57" s="404"/>
      <c r="E57" s="404"/>
      <c r="F57" s="404"/>
    </row>
    <row r="58" spans="2:6" ht="12.75" customHeight="1" x14ac:dyDescent="0.25">
      <c r="B58" s="407"/>
      <c r="C58" s="408"/>
      <c r="D58" s="404"/>
      <c r="E58" s="404"/>
      <c r="F58" s="404"/>
    </row>
    <row r="59" spans="2:6" ht="12.75" customHeight="1" x14ac:dyDescent="0.25">
      <c r="B59" s="407"/>
      <c r="C59" s="408"/>
      <c r="D59" s="404"/>
      <c r="E59" s="404"/>
      <c r="F59" s="404"/>
    </row>
    <row r="60" spans="2:6" ht="12.75" customHeight="1" x14ac:dyDescent="0.25">
      <c r="B60" s="407"/>
      <c r="C60" s="408"/>
      <c r="D60" s="404"/>
      <c r="E60" s="404"/>
      <c r="F60" s="404"/>
    </row>
    <row r="61" spans="2:6" ht="12.75" customHeight="1" x14ac:dyDescent="0.25">
      <c r="B61" s="407"/>
      <c r="C61" s="408"/>
      <c r="D61" s="404"/>
      <c r="E61" s="404"/>
      <c r="F61" s="404"/>
    </row>
    <row r="62" spans="2:6" ht="12.75" customHeight="1" x14ac:dyDescent="0.25">
      <c r="B62" s="407"/>
      <c r="C62" s="408"/>
      <c r="D62" s="404"/>
      <c r="E62" s="404"/>
      <c r="F62" s="404"/>
    </row>
    <row r="63" spans="2:6" ht="12.75" customHeight="1" x14ac:dyDescent="0.25">
      <c r="B63" s="407"/>
      <c r="C63" s="408"/>
      <c r="D63" s="404"/>
      <c r="E63" s="404"/>
      <c r="F63" s="404"/>
    </row>
    <row r="64" spans="2:6" ht="12.75" customHeight="1" x14ac:dyDescent="0.25">
      <c r="B64" s="407"/>
      <c r="C64" s="408"/>
      <c r="D64" s="404"/>
      <c r="E64" s="404"/>
      <c r="F64" s="404"/>
    </row>
    <row r="65" spans="2:6" ht="12.75" customHeight="1" x14ac:dyDescent="0.25">
      <c r="B65" s="407"/>
      <c r="C65" s="408"/>
      <c r="D65" s="404"/>
      <c r="E65" s="404"/>
      <c r="F65" s="404"/>
    </row>
    <row r="66" spans="2:6" ht="12.75" customHeight="1" x14ac:dyDescent="0.25">
      <c r="B66" s="407"/>
      <c r="C66" s="408"/>
      <c r="D66" s="404"/>
      <c r="E66" s="404"/>
      <c r="F66" s="404"/>
    </row>
    <row r="67" spans="2:6" ht="12.75" customHeight="1" x14ac:dyDescent="0.25">
      <c r="B67" s="407"/>
      <c r="C67" s="408"/>
      <c r="D67" s="404"/>
      <c r="E67" s="404"/>
      <c r="F67" s="404"/>
    </row>
    <row r="68" spans="2:6" ht="12.75" customHeight="1" x14ac:dyDescent="0.25">
      <c r="B68" s="407"/>
      <c r="C68" s="408"/>
      <c r="D68" s="404"/>
      <c r="E68" s="404"/>
      <c r="F68" s="404"/>
    </row>
    <row r="69" spans="2:6" ht="12.75" customHeight="1" x14ac:dyDescent="0.25">
      <c r="B69" s="407"/>
      <c r="C69" s="408"/>
      <c r="D69" s="404"/>
      <c r="E69" s="404"/>
      <c r="F69" s="404"/>
    </row>
    <row r="70" spans="2:6" ht="12.75" customHeight="1" x14ac:dyDescent="0.25">
      <c r="B70" s="407"/>
      <c r="C70" s="408"/>
      <c r="D70" s="404"/>
      <c r="E70" s="404"/>
      <c r="F70" s="404"/>
    </row>
    <row r="71" spans="2:6" ht="12.75" customHeight="1" x14ac:dyDescent="0.25">
      <c r="B71" s="407"/>
      <c r="C71" s="408"/>
      <c r="D71" s="404"/>
      <c r="E71" s="404"/>
      <c r="F71" s="404"/>
    </row>
    <row r="72" spans="2:6" ht="12.75" customHeight="1" x14ac:dyDescent="0.25">
      <c r="B72" s="407"/>
      <c r="C72" s="408"/>
      <c r="D72" s="404"/>
      <c r="E72" s="404"/>
      <c r="F72" s="404"/>
    </row>
    <row r="73" spans="2:6" ht="12.75" customHeight="1" x14ac:dyDescent="0.25">
      <c r="B73" s="407"/>
      <c r="C73" s="408"/>
      <c r="D73" s="404"/>
      <c r="E73" s="404"/>
      <c r="F73" s="404"/>
    </row>
    <row r="74" spans="2:6" ht="12.75" customHeight="1" x14ac:dyDescent="0.25">
      <c r="B74" s="407"/>
      <c r="C74" s="408"/>
      <c r="D74" s="404"/>
      <c r="E74" s="404"/>
      <c r="F74" s="404"/>
    </row>
    <row r="75" spans="2:6" ht="12.75" customHeight="1" x14ac:dyDescent="0.25">
      <c r="B75" s="407"/>
      <c r="C75" s="408"/>
      <c r="D75" s="404"/>
      <c r="E75" s="404"/>
      <c r="F75" s="404"/>
    </row>
    <row r="76" spans="2:6" ht="12.75" customHeight="1" x14ac:dyDescent="0.25">
      <c r="B76" s="407"/>
      <c r="C76" s="408"/>
      <c r="D76" s="404"/>
      <c r="E76" s="404"/>
      <c r="F76" s="404"/>
    </row>
    <row r="77" spans="2:6" ht="12.75" customHeight="1" x14ac:dyDescent="0.25">
      <c r="B77" s="407"/>
      <c r="C77" s="408"/>
      <c r="D77" s="404"/>
      <c r="E77" s="404"/>
      <c r="F77" s="404"/>
    </row>
    <row r="78" spans="2:6" ht="12.75" customHeight="1" x14ac:dyDescent="0.25">
      <c r="B78" s="407"/>
      <c r="C78" s="408"/>
      <c r="D78" s="404"/>
      <c r="E78" s="404"/>
      <c r="F78" s="404"/>
    </row>
    <row r="79" spans="2:6" ht="12.75" customHeight="1" x14ac:dyDescent="0.25">
      <c r="B79" s="407"/>
      <c r="C79" s="408"/>
      <c r="D79" s="404"/>
      <c r="E79" s="404"/>
      <c r="F79" s="404"/>
    </row>
    <row r="80" spans="2:6" ht="12.75" customHeight="1" x14ac:dyDescent="0.25">
      <c r="B80" s="407"/>
      <c r="C80" s="408"/>
      <c r="D80" s="404"/>
      <c r="E80" s="404"/>
      <c r="F80" s="404"/>
    </row>
    <row r="81" spans="2:6" ht="12.75" customHeight="1" x14ac:dyDescent="0.25">
      <c r="B81" s="407"/>
      <c r="C81" s="408"/>
      <c r="D81" s="404"/>
      <c r="E81" s="404"/>
      <c r="F81" s="404"/>
    </row>
    <row r="82" spans="2:6" ht="12.75" customHeight="1" x14ac:dyDescent="0.25">
      <c r="B82" s="407"/>
      <c r="C82" s="408"/>
      <c r="D82" s="404"/>
      <c r="E82" s="404"/>
      <c r="F82" s="404"/>
    </row>
    <row r="83" spans="2:6" ht="12.75" customHeight="1" x14ac:dyDescent="0.25">
      <c r="B83" s="407"/>
      <c r="C83" s="408"/>
      <c r="D83" s="404"/>
      <c r="E83" s="404"/>
      <c r="F83" s="404"/>
    </row>
    <row r="84" spans="2:6" ht="12.75" customHeight="1" x14ac:dyDescent="0.25">
      <c r="B84" s="407"/>
      <c r="C84" s="408"/>
      <c r="D84" s="404"/>
      <c r="E84" s="404"/>
      <c r="F84" s="404"/>
    </row>
    <row r="85" spans="2:6" ht="12.75" customHeight="1" x14ac:dyDescent="0.25">
      <c r="B85" s="407"/>
      <c r="C85" s="408"/>
      <c r="D85" s="404"/>
      <c r="E85" s="404"/>
      <c r="F85" s="404"/>
    </row>
    <row r="86" spans="2:6" ht="12.75" customHeight="1" x14ac:dyDescent="0.25">
      <c r="B86" s="407"/>
      <c r="C86" s="408"/>
      <c r="D86" s="404"/>
      <c r="E86" s="404"/>
      <c r="F86" s="404"/>
    </row>
    <row r="87" spans="2:6" ht="12.75" customHeight="1" x14ac:dyDescent="0.25">
      <c r="B87" s="407"/>
      <c r="C87" s="408"/>
      <c r="D87" s="404"/>
      <c r="E87" s="404"/>
      <c r="F87" s="404"/>
    </row>
    <row r="88" spans="2:6" ht="12.75" customHeight="1" x14ac:dyDescent="0.25">
      <c r="B88" s="407"/>
      <c r="C88" s="408"/>
      <c r="D88" s="404"/>
      <c r="E88" s="404"/>
      <c r="F88" s="404"/>
    </row>
    <row r="89" spans="2:6" ht="12.75" customHeight="1" x14ac:dyDescent="0.25">
      <c r="B89" s="407"/>
      <c r="C89" s="408"/>
      <c r="D89" s="404"/>
      <c r="E89" s="404"/>
      <c r="F89" s="404"/>
    </row>
    <row r="90" spans="2:6" ht="12.75" customHeight="1" x14ac:dyDescent="0.25">
      <c r="B90" s="407"/>
      <c r="C90" s="408"/>
      <c r="D90" s="404"/>
      <c r="E90" s="404"/>
      <c r="F90" s="404"/>
    </row>
    <row r="91" spans="2:6" ht="12.75" customHeight="1" x14ac:dyDescent="0.25">
      <c r="B91" s="407"/>
      <c r="C91" s="408"/>
      <c r="D91" s="404"/>
      <c r="E91" s="404"/>
      <c r="F91" s="404"/>
    </row>
    <row r="92" spans="2:6" ht="12.75" customHeight="1" x14ac:dyDescent="0.25">
      <c r="B92" s="407"/>
      <c r="C92" s="408"/>
      <c r="D92" s="404"/>
      <c r="E92" s="404"/>
      <c r="F92" s="404"/>
    </row>
    <row r="93" spans="2:6" ht="12.75" customHeight="1" x14ac:dyDescent="0.25">
      <c r="B93" s="407"/>
      <c r="C93" s="408"/>
      <c r="D93" s="404"/>
      <c r="E93" s="404"/>
      <c r="F93" s="404"/>
    </row>
    <row r="94" spans="2:6" ht="12.75" customHeight="1" x14ac:dyDescent="0.25">
      <c r="B94" s="407"/>
      <c r="C94" s="408"/>
      <c r="D94" s="404"/>
      <c r="E94" s="404"/>
      <c r="F94" s="404"/>
    </row>
    <row r="95" spans="2:6" ht="12.75" customHeight="1" x14ac:dyDescent="0.25">
      <c r="B95" s="407"/>
      <c r="C95" s="408"/>
      <c r="D95" s="404"/>
      <c r="E95" s="404"/>
      <c r="F95" s="404"/>
    </row>
    <row r="96" spans="2:6" ht="12.75" customHeight="1" x14ac:dyDescent="0.25">
      <c r="B96" s="407"/>
      <c r="C96" s="408"/>
      <c r="D96" s="404"/>
      <c r="E96" s="404"/>
      <c r="F96" s="404"/>
    </row>
    <row r="97" spans="2:6" ht="12.75" customHeight="1" x14ac:dyDescent="0.25">
      <c r="B97" s="407"/>
      <c r="C97" s="408"/>
      <c r="D97" s="404"/>
      <c r="E97" s="404"/>
      <c r="F97" s="404"/>
    </row>
    <row r="98" spans="2:6" ht="12.75" customHeight="1" x14ac:dyDescent="0.25">
      <c r="B98" s="407"/>
      <c r="C98" s="408"/>
      <c r="D98" s="404"/>
      <c r="E98" s="404"/>
      <c r="F98" s="404"/>
    </row>
    <row r="99" spans="2:6" ht="12.75" customHeight="1" x14ac:dyDescent="0.25">
      <c r="B99" s="407"/>
      <c r="C99" s="408"/>
      <c r="D99" s="404"/>
      <c r="E99" s="404"/>
      <c r="F99" s="404"/>
    </row>
    <row r="100" spans="2:6" ht="12.75" customHeight="1" x14ac:dyDescent="0.25">
      <c r="B100" s="407"/>
      <c r="C100" s="408"/>
      <c r="D100" s="404"/>
      <c r="E100" s="404"/>
      <c r="F100" s="404"/>
    </row>
    <row r="101" spans="2:6" ht="12.75" customHeight="1" x14ac:dyDescent="0.25">
      <c r="B101" s="407"/>
      <c r="C101" s="408"/>
      <c r="D101" s="404"/>
      <c r="E101" s="404"/>
      <c r="F101" s="404"/>
    </row>
    <row r="102" spans="2:6" ht="12.75" customHeight="1" x14ac:dyDescent="0.25">
      <c r="B102" s="407"/>
      <c r="C102" s="408"/>
      <c r="D102" s="404"/>
      <c r="E102" s="404"/>
      <c r="F102" s="404"/>
    </row>
    <row r="103" spans="2:6" ht="12.75" customHeight="1" x14ac:dyDescent="0.25">
      <c r="B103" s="407"/>
      <c r="C103" s="408"/>
      <c r="D103" s="404"/>
      <c r="E103" s="404"/>
      <c r="F103" s="404"/>
    </row>
    <row r="104" spans="2:6" ht="12.75" customHeight="1" x14ac:dyDescent="0.25">
      <c r="B104" s="407"/>
      <c r="C104" s="408"/>
      <c r="D104" s="404"/>
      <c r="E104" s="404"/>
      <c r="F104" s="404"/>
    </row>
    <row r="105" spans="2:6" ht="12.75" customHeight="1" x14ac:dyDescent="0.25">
      <c r="B105" s="407"/>
      <c r="C105" s="408"/>
      <c r="D105" s="404"/>
      <c r="E105" s="404"/>
      <c r="F105" s="404"/>
    </row>
    <row r="106" spans="2:6" ht="12.75" customHeight="1" x14ac:dyDescent="0.25">
      <c r="B106" s="407"/>
      <c r="C106" s="408"/>
      <c r="D106" s="404"/>
      <c r="E106" s="404"/>
      <c r="F106" s="404"/>
    </row>
    <row r="107" spans="2:6" ht="12.75" customHeight="1" x14ac:dyDescent="0.25">
      <c r="B107" s="407"/>
      <c r="C107" s="408"/>
      <c r="D107" s="404"/>
      <c r="E107" s="404"/>
      <c r="F107" s="404"/>
    </row>
    <row r="108" spans="2:6" ht="12.75" customHeight="1" x14ac:dyDescent="0.25">
      <c r="B108" s="407"/>
      <c r="C108" s="408"/>
      <c r="D108" s="404"/>
      <c r="E108" s="404"/>
      <c r="F108" s="404"/>
    </row>
    <row r="109" spans="2:6" ht="12.75" customHeight="1" x14ac:dyDescent="0.25">
      <c r="B109" s="407"/>
      <c r="C109" s="408"/>
      <c r="D109" s="404"/>
      <c r="E109" s="404"/>
      <c r="F109" s="404"/>
    </row>
    <row r="110" spans="2:6" ht="12.75" customHeight="1" x14ac:dyDescent="0.25">
      <c r="B110" s="407"/>
      <c r="C110" s="408"/>
      <c r="D110" s="404"/>
      <c r="E110" s="404"/>
      <c r="F110" s="404"/>
    </row>
    <row r="111" spans="2:6" ht="12.75" customHeight="1" x14ac:dyDescent="0.25">
      <c r="B111" s="407"/>
      <c r="C111" s="408"/>
      <c r="D111" s="404"/>
      <c r="E111" s="404"/>
      <c r="F111" s="404"/>
    </row>
    <row r="112" spans="2:6" ht="12.75" customHeight="1" x14ac:dyDescent="0.25">
      <c r="B112" s="407"/>
      <c r="C112" s="408"/>
      <c r="D112" s="404"/>
      <c r="E112" s="404"/>
      <c r="F112" s="404"/>
    </row>
    <row r="113" spans="2:6" ht="12.75" customHeight="1" x14ac:dyDescent="0.25">
      <c r="B113" s="407"/>
      <c r="C113" s="408"/>
      <c r="D113" s="404"/>
      <c r="E113" s="404"/>
      <c r="F113" s="404"/>
    </row>
    <row r="114" spans="2:6" ht="12.75" customHeight="1" x14ac:dyDescent="0.25">
      <c r="B114" s="407"/>
      <c r="C114" s="408"/>
      <c r="D114" s="404"/>
      <c r="E114" s="404"/>
      <c r="F114" s="404"/>
    </row>
    <row r="115" spans="2:6" ht="12.75" customHeight="1" x14ac:dyDescent="0.25">
      <c r="B115" s="407"/>
      <c r="C115" s="408"/>
      <c r="D115" s="404"/>
      <c r="E115" s="404"/>
      <c r="F115" s="404"/>
    </row>
    <row r="116" spans="2:6" ht="12.75" customHeight="1" x14ac:dyDescent="0.25">
      <c r="B116" s="407"/>
      <c r="C116" s="408"/>
      <c r="D116" s="404"/>
      <c r="E116" s="404"/>
      <c r="F116" s="404"/>
    </row>
    <row r="117" spans="2:6" ht="12.75" customHeight="1" x14ac:dyDescent="0.25">
      <c r="B117" s="407"/>
      <c r="C117" s="408"/>
      <c r="D117" s="404"/>
      <c r="E117" s="404"/>
      <c r="F117" s="404"/>
    </row>
    <row r="118" spans="2:6" ht="12.75" customHeight="1" x14ac:dyDescent="0.25">
      <c r="B118" s="407"/>
      <c r="C118" s="408"/>
      <c r="D118" s="404"/>
      <c r="E118" s="404"/>
      <c r="F118" s="404"/>
    </row>
    <row r="119" spans="2:6" ht="12.75" customHeight="1" x14ac:dyDescent="0.25">
      <c r="B119" s="407"/>
      <c r="C119" s="408"/>
      <c r="D119" s="404"/>
      <c r="E119" s="404"/>
      <c r="F119" s="404"/>
    </row>
    <row r="120" spans="2:6" ht="12.75" customHeight="1" x14ac:dyDescent="0.25">
      <c r="B120" s="407"/>
      <c r="C120" s="408"/>
      <c r="D120" s="404"/>
      <c r="E120" s="404"/>
      <c r="F120" s="404"/>
    </row>
    <row r="121" spans="2:6" ht="12.75" customHeight="1" x14ac:dyDescent="0.25">
      <c r="B121" s="407"/>
      <c r="C121" s="408"/>
      <c r="D121" s="404"/>
      <c r="E121" s="404"/>
      <c r="F121" s="404"/>
    </row>
    <row r="122" spans="2:6" ht="12.75" customHeight="1" x14ac:dyDescent="0.25">
      <c r="B122" s="407"/>
      <c r="C122" s="408"/>
      <c r="D122" s="404"/>
      <c r="E122" s="404"/>
      <c r="F122" s="404"/>
    </row>
    <row r="123" spans="2:6" ht="12.75" customHeight="1" x14ac:dyDescent="0.25">
      <c r="B123" s="407"/>
      <c r="C123" s="408"/>
      <c r="D123" s="404"/>
      <c r="E123" s="404"/>
      <c r="F123" s="404"/>
    </row>
    <row r="124" spans="2:6" ht="12.75" customHeight="1" x14ac:dyDescent="0.25">
      <c r="B124" s="407"/>
      <c r="C124" s="408"/>
      <c r="D124" s="404"/>
      <c r="E124" s="404"/>
      <c r="F124" s="404"/>
    </row>
    <row r="125" spans="2:6" ht="12.75" customHeight="1" x14ac:dyDescent="0.25">
      <c r="B125" s="407"/>
      <c r="C125" s="408"/>
      <c r="D125" s="404"/>
      <c r="E125" s="404"/>
      <c r="F125" s="404"/>
    </row>
    <row r="126" spans="2:6" ht="12.75" customHeight="1" x14ac:dyDescent="0.25">
      <c r="B126" s="407"/>
      <c r="C126" s="408"/>
      <c r="D126" s="404"/>
      <c r="E126" s="404"/>
      <c r="F126" s="404"/>
    </row>
    <row r="127" spans="2:6" ht="12.75" customHeight="1" x14ac:dyDescent="0.25">
      <c r="B127" s="407"/>
      <c r="C127" s="408"/>
      <c r="D127" s="404"/>
      <c r="E127" s="404"/>
      <c r="F127" s="404"/>
    </row>
    <row r="128" spans="2:6" ht="12.75" customHeight="1" x14ac:dyDescent="0.25">
      <c r="B128" s="407"/>
      <c r="C128" s="408"/>
      <c r="D128" s="404"/>
      <c r="E128" s="404"/>
      <c r="F128" s="404"/>
    </row>
    <row r="129" spans="2:6" ht="12.75" customHeight="1" x14ac:dyDescent="0.25">
      <c r="B129" s="407"/>
      <c r="C129" s="408"/>
      <c r="D129" s="404"/>
      <c r="E129" s="404"/>
      <c r="F129" s="404"/>
    </row>
    <row r="130" spans="2:6" ht="12.75" customHeight="1" x14ac:dyDescent="0.25">
      <c r="B130" s="407"/>
      <c r="C130" s="408"/>
      <c r="D130" s="404"/>
      <c r="E130" s="404"/>
      <c r="F130" s="404"/>
    </row>
    <row r="131" spans="2:6" ht="12.75" customHeight="1" x14ac:dyDescent="0.25">
      <c r="B131" s="407"/>
      <c r="C131" s="408"/>
      <c r="D131" s="404"/>
      <c r="E131" s="404"/>
      <c r="F131" s="404"/>
    </row>
    <row r="132" spans="2:6" ht="12.75" customHeight="1" x14ac:dyDescent="0.25">
      <c r="B132" s="407"/>
      <c r="C132" s="408"/>
      <c r="D132" s="404"/>
      <c r="E132" s="404"/>
      <c r="F132" s="404"/>
    </row>
    <row r="133" spans="2:6" ht="12.75" customHeight="1" x14ac:dyDescent="0.25">
      <c r="B133" s="407"/>
      <c r="C133" s="408"/>
      <c r="D133" s="404"/>
      <c r="E133" s="404"/>
      <c r="F133" s="404"/>
    </row>
    <row r="134" spans="2:6" ht="12.75" customHeight="1" x14ac:dyDescent="0.25">
      <c r="B134" s="407"/>
      <c r="C134" s="408"/>
      <c r="D134" s="404"/>
      <c r="E134" s="404"/>
      <c r="F134" s="404"/>
    </row>
    <row r="135" spans="2:6" ht="12.75" customHeight="1" x14ac:dyDescent="0.25">
      <c r="B135" s="407"/>
      <c r="C135" s="408"/>
      <c r="D135" s="404"/>
      <c r="E135" s="404"/>
      <c r="F135" s="404"/>
    </row>
    <row r="136" spans="2:6" ht="12.75" customHeight="1" x14ac:dyDescent="0.25">
      <c r="B136" s="407"/>
      <c r="C136" s="408"/>
      <c r="D136" s="404"/>
      <c r="E136" s="404"/>
      <c r="F136" s="404"/>
    </row>
    <row r="137" spans="2:6" ht="12.75" customHeight="1" x14ac:dyDescent="0.25">
      <c r="B137" s="407"/>
      <c r="C137" s="408"/>
      <c r="D137" s="404"/>
      <c r="E137" s="404"/>
      <c r="F137" s="404"/>
    </row>
    <row r="138" spans="2:6" ht="12.75" customHeight="1" x14ac:dyDescent="0.25">
      <c r="B138" s="407"/>
      <c r="C138" s="408"/>
      <c r="D138" s="404"/>
      <c r="E138" s="404"/>
      <c r="F138" s="404"/>
    </row>
    <row r="139" spans="2:6" ht="12.75" customHeight="1" x14ac:dyDescent="0.25">
      <c r="B139" s="407"/>
      <c r="C139" s="408"/>
      <c r="D139" s="404"/>
      <c r="E139" s="404"/>
      <c r="F139" s="404"/>
    </row>
    <row r="140" spans="2:6" ht="12.75" customHeight="1" x14ac:dyDescent="0.25">
      <c r="B140" s="407"/>
      <c r="C140" s="408"/>
      <c r="D140" s="404"/>
      <c r="E140" s="404"/>
      <c r="F140" s="404"/>
    </row>
    <row r="141" spans="2:6" ht="12.75" customHeight="1" x14ac:dyDescent="0.25">
      <c r="B141" s="407"/>
      <c r="C141" s="408"/>
      <c r="D141" s="404"/>
      <c r="E141" s="404"/>
      <c r="F141" s="404"/>
    </row>
    <row r="142" spans="2:6" ht="12.75" customHeight="1" x14ac:dyDescent="0.25">
      <c r="B142" s="407"/>
      <c r="C142" s="408"/>
      <c r="D142" s="404"/>
      <c r="E142" s="404"/>
      <c r="F142" s="404"/>
    </row>
    <row r="143" spans="2:6" ht="12.75" customHeight="1" x14ac:dyDescent="0.25">
      <c r="B143" s="407"/>
      <c r="C143" s="408"/>
      <c r="D143" s="404"/>
      <c r="E143" s="404"/>
      <c r="F143" s="404"/>
    </row>
    <row r="144" spans="2:6" ht="12.75" customHeight="1" x14ac:dyDescent="0.25">
      <c r="B144" s="407"/>
      <c r="C144" s="408"/>
      <c r="D144" s="404"/>
      <c r="E144" s="404"/>
      <c r="F144" s="404"/>
    </row>
    <row r="145" spans="2:6" ht="12.75" customHeight="1" x14ac:dyDescent="0.25">
      <c r="B145" s="407"/>
      <c r="C145" s="408"/>
      <c r="D145" s="404"/>
      <c r="E145" s="404"/>
      <c r="F145" s="404"/>
    </row>
    <row r="146" spans="2:6" ht="12.75" customHeight="1" x14ac:dyDescent="0.25">
      <c r="B146" s="407"/>
      <c r="C146" s="408"/>
      <c r="D146" s="404"/>
      <c r="E146" s="404"/>
      <c r="F146" s="404"/>
    </row>
    <row r="147" spans="2:6" ht="12.75" customHeight="1" x14ac:dyDescent="0.25">
      <c r="B147" s="407"/>
      <c r="C147" s="408"/>
      <c r="D147" s="404"/>
      <c r="E147" s="404"/>
      <c r="F147" s="404"/>
    </row>
    <row r="148" spans="2:6" ht="12.75" customHeight="1" x14ac:dyDescent="0.25">
      <c r="B148" s="407"/>
      <c r="C148" s="408"/>
      <c r="D148" s="404"/>
      <c r="E148" s="404"/>
      <c r="F148" s="404"/>
    </row>
    <row r="149" spans="2:6" ht="12.75" customHeight="1" x14ac:dyDescent="0.25">
      <c r="B149" s="407"/>
      <c r="C149" s="408"/>
      <c r="D149" s="404"/>
      <c r="E149" s="404"/>
      <c r="F149" s="404"/>
    </row>
    <row r="150" spans="2:6" ht="12.75" customHeight="1" x14ac:dyDescent="0.25">
      <c r="B150" s="407"/>
      <c r="C150" s="408"/>
      <c r="D150" s="404"/>
      <c r="E150" s="404"/>
      <c r="F150" s="404"/>
    </row>
    <row r="151" spans="2:6" ht="12.75" customHeight="1" x14ac:dyDescent="0.25">
      <c r="B151" s="407"/>
      <c r="C151" s="408"/>
      <c r="D151" s="404"/>
      <c r="E151" s="404"/>
      <c r="F151" s="404"/>
    </row>
    <row r="152" spans="2:6" ht="12.75" customHeight="1" x14ac:dyDescent="0.25">
      <c r="B152" s="407"/>
      <c r="C152" s="408"/>
      <c r="D152" s="404"/>
      <c r="E152" s="404"/>
      <c r="F152" s="404"/>
    </row>
    <row r="153" spans="2:6" ht="12.75" customHeight="1" x14ac:dyDescent="0.25">
      <c r="B153" s="407"/>
      <c r="C153" s="408"/>
      <c r="D153" s="404"/>
      <c r="E153" s="404"/>
      <c r="F153" s="404"/>
    </row>
    <row r="154" spans="2:6" ht="12.75" customHeight="1" x14ac:dyDescent="0.25">
      <c r="B154" s="407"/>
      <c r="C154" s="408"/>
      <c r="D154" s="404"/>
      <c r="E154" s="404"/>
      <c r="F154" s="404"/>
    </row>
    <row r="155" spans="2:6" ht="12.75" customHeight="1" x14ac:dyDescent="0.25">
      <c r="B155" s="407"/>
      <c r="C155" s="408"/>
      <c r="D155" s="404"/>
      <c r="E155" s="404"/>
      <c r="F155" s="404"/>
    </row>
    <row r="156" spans="2:6" ht="12.75" customHeight="1" x14ac:dyDescent="0.25">
      <c r="B156" s="407"/>
      <c r="C156" s="408"/>
      <c r="D156" s="404"/>
      <c r="E156" s="404"/>
      <c r="F156" s="404"/>
    </row>
    <row r="157" spans="2:6" ht="12.75" customHeight="1" x14ac:dyDescent="0.25">
      <c r="B157" s="407"/>
      <c r="C157" s="408"/>
      <c r="D157" s="404"/>
      <c r="E157" s="404"/>
      <c r="F157" s="404"/>
    </row>
    <row r="158" spans="2:6" ht="12.75" customHeight="1" x14ac:dyDescent="0.25">
      <c r="B158" s="407"/>
      <c r="C158" s="408"/>
      <c r="D158" s="404"/>
      <c r="E158" s="404"/>
      <c r="F158" s="404"/>
    </row>
    <row r="159" spans="2:6" ht="12.75" customHeight="1" x14ac:dyDescent="0.25">
      <c r="B159" s="407"/>
      <c r="C159" s="408"/>
      <c r="D159" s="404"/>
      <c r="E159" s="404"/>
      <c r="F159" s="404"/>
    </row>
    <row r="160" spans="2:6" ht="12.75" customHeight="1" x14ac:dyDescent="0.25">
      <c r="B160" s="407"/>
      <c r="C160" s="408"/>
      <c r="D160" s="404"/>
      <c r="E160" s="404"/>
      <c r="F160" s="404"/>
    </row>
    <row r="161" spans="2:6" ht="12.75" customHeight="1" x14ac:dyDescent="0.25">
      <c r="B161" s="407"/>
      <c r="C161" s="408"/>
      <c r="D161" s="404"/>
      <c r="E161" s="404"/>
      <c r="F161" s="404"/>
    </row>
    <row r="162" spans="2:6" ht="12.75" customHeight="1" x14ac:dyDescent="0.25">
      <c r="B162" s="407"/>
      <c r="C162" s="408"/>
      <c r="D162" s="404"/>
      <c r="E162" s="404"/>
      <c r="F162" s="404"/>
    </row>
    <row r="163" spans="2:6" ht="12.75" customHeight="1" x14ac:dyDescent="0.25">
      <c r="B163" s="407"/>
      <c r="C163" s="408"/>
      <c r="D163" s="404"/>
      <c r="E163" s="404"/>
      <c r="F163" s="404"/>
    </row>
    <row r="164" spans="2:6" ht="12.75" customHeight="1" x14ac:dyDescent="0.25">
      <c r="B164" s="407"/>
      <c r="C164" s="408"/>
      <c r="D164" s="404"/>
      <c r="E164" s="404"/>
      <c r="F164" s="404"/>
    </row>
    <row r="165" spans="2:6" ht="12.75" customHeight="1" x14ac:dyDescent="0.25">
      <c r="B165" s="407"/>
      <c r="C165" s="408"/>
      <c r="D165" s="404"/>
      <c r="E165" s="404"/>
      <c r="F165" s="404"/>
    </row>
    <row r="166" spans="2:6" ht="12.75" customHeight="1" x14ac:dyDescent="0.25">
      <c r="B166" s="407"/>
      <c r="C166" s="408"/>
      <c r="D166" s="404"/>
      <c r="E166" s="404"/>
      <c r="F166" s="404"/>
    </row>
    <row r="167" spans="2:6" ht="12.75" customHeight="1" x14ac:dyDescent="0.25">
      <c r="B167" s="407"/>
      <c r="C167" s="408"/>
      <c r="D167" s="404"/>
      <c r="E167" s="404"/>
      <c r="F167" s="404"/>
    </row>
    <row r="168" spans="2:6" ht="12.75" customHeight="1" x14ac:dyDescent="0.25">
      <c r="B168" s="407"/>
      <c r="C168" s="408"/>
      <c r="D168" s="404"/>
      <c r="E168" s="404"/>
      <c r="F168" s="404"/>
    </row>
    <row r="169" spans="2:6" ht="12.75" customHeight="1" x14ac:dyDescent="0.25">
      <c r="B169" s="407"/>
      <c r="C169" s="408"/>
      <c r="D169" s="404"/>
      <c r="E169" s="404"/>
      <c r="F169" s="404"/>
    </row>
    <row r="170" spans="2:6" ht="12.75" customHeight="1" x14ac:dyDescent="0.25">
      <c r="B170" s="407"/>
      <c r="C170" s="408"/>
      <c r="D170" s="404"/>
      <c r="E170" s="404"/>
      <c r="F170" s="404"/>
    </row>
    <row r="171" spans="2:6" ht="12.75" customHeight="1" x14ac:dyDescent="0.25">
      <c r="B171" s="407"/>
      <c r="C171" s="408"/>
      <c r="D171" s="404"/>
      <c r="E171" s="404"/>
      <c r="F171" s="404"/>
    </row>
    <row r="172" spans="2:6" ht="12.75" customHeight="1" x14ac:dyDescent="0.25">
      <c r="B172" s="407"/>
      <c r="C172" s="408"/>
      <c r="D172" s="404"/>
      <c r="E172" s="404"/>
      <c r="F172" s="404"/>
    </row>
    <row r="173" spans="2:6" ht="12.75" customHeight="1" x14ac:dyDescent="0.25">
      <c r="B173" s="407"/>
      <c r="C173" s="408"/>
      <c r="D173" s="404"/>
      <c r="E173" s="404"/>
      <c r="F173" s="404"/>
    </row>
    <row r="174" spans="2:6" ht="12.75" customHeight="1" x14ac:dyDescent="0.25">
      <c r="B174" s="407"/>
      <c r="C174" s="408"/>
      <c r="D174" s="404"/>
      <c r="E174" s="404"/>
      <c r="F174" s="404"/>
    </row>
    <row r="175" spans="2:6" ht="12.75" customHeight="1" x14ac:dyDescent="0.25">
      <c r="B175" s="407"/>
      <c r="C175" s="408"/>
      <c r="D175" s="404"/>
      <c r="E175" s="404"/>
      <c r="F175" s="404"/>
    </row>
    <row r="176" spans="2:6" ht="12.75" customHeight="1" x14ac:dyDescent="0.25">
      <c r="B176" s="407"/>
      <c r="C176" s="408"/>
      <c r="D176" s="404"/>
      <c r="E176" s="404"/>
      <c r="F176" s="404"/>
    </row>
    <row r="177" spans="2:6" ht="12.75" customHeight="1" x14ac:dyDescent="0.25">
      <c r="B177" s="407"/>
      <c r="C177" s="408"/>
      <c r="D177" s="404"/>
      <c r="E177" s="404"/>
      <c r="F177" s="404"/>
    </row>
    <row r="178" spans="2:6" ht="12.75" customHeight="1" x14ac:dyDescent="0.25">
      <c r="B178" s="407"/>
      <c r="C178" s="408"/>
      <c r="D178" s="404"/>
      <c r="E178" s="404"/>
      <c r="F178" s="404"/>
    </row>
    <row r="179" spans="2:6" ht="12.75" customHeight="1" x14ac:dyDescent="0.25">
      <c r="B179" s="407"/>
      <c r="C179" s="408"/>
      <c r="D179" s="404"/>
      <c r="E179" s="404"/>
      <c r="F179" s="404"/>
    </row>
    <row r="180" spans="2:6" ht="12.75" customHeight="1" x14ac:dyDescent="0.25">
      <c r="B180" s="407"/>
      <c r="C180" s="408"/>
      <c r="D180" s="404"/>
      <c r="E180" s="404"/>
      <c r="F180" s="404"/>
    </row>
    <row r="181" spans="2:6" ht="12.75" customHeight="1" x14ac:dyDescent="0.25">
      <c r="B181" s="407"/>
      <c r="C181" s="408"/>
      <c r="D181" s="404"/>
      <c r="E181" s="404"/>
      <c r="F181" s="404"/>
    </row>
    <row r="182" spans="2:6" ht="12.75" customHeight="1" x14ac:dyDescent="0.25">
      <c r="B182" s="407"/>
      <c r="C182" s="408"/>
      <c r="D182" s="404"/>
      <c r="E182" s="404"/>
      <c r="F182" s="404"/>
    </row>
    <row r="183" spans="2:6" ht="12.75" customHeight="1" x14ac:dyDescent="0.25">
      <c r="B183" s="407"/>
      <c r="C183" s="408"/>
      <c r="D183" s="404"/>
      <c r="E183" s="404"/>
      <c r="F183" s="404"/>
    </row>
    <row r="184" spans="2:6" ht="12.75" customHeight="1" x14ac:dyDescent="0.25">
      <c r="B184" s="407"/>
      <c r="C184" s="408"/>
      <c r="D184" s="404"/>
      <c r="E184" s="404"/>
      <c r="F184" s="404"/>
    </row>
    <row r="185" spans="2:6" ht="12.75" customHeight="1" x14ac:dyDescent="0.25">
      <c r="B185" s="407"/>
      <c r="C185" s="408"/>
      <c r="D185" s="404"/>
      <c r="E185" s="404"/>
      <c r="F185" s="404"/>
    </row>
    <row r="186" spans="2:6" ht="12.75" customHeight="1" x14ac:dyDescent="0.25">
      <c r="B186" s="407"/>
      <c r="C186" s="408"/>
      <c r="D186" s="404"/>
      <c r="E186" s="404"/>
      <c r="F186" s="404"/>
    </row>
    <row r="187" spans="2:6" ht="12.75" customHeight="1" x14ac:dyDescent="0.25">
      <c r="B187" s="407"/>
      <c r="C187" s="408"/>
      <c r="D187" s="404"/>
      <c r="E187" s="404"/>
      <c r="F187" s="404"/>
    </row>
    <row r="188" spans="2:6" ht="12.75" customHeight="1" x14ac:dyDescent="0.25">
      <c r="B188" s="407"/>
      <c r="C188" s="408"/>
      <c r="D188" s="404"/>
      <c r="E188" s="404"/>
      <c r="F188" s="404"/>
    </row>
    <row r="189" spans="2:6" ht="12.75" customHeight="1" x14ac:dyDescent="0.25">
      <c r="B189" s="407"/>
      <c r="C189" s="408"/>
      <c r="D189" s="404"/>
      <c r="E189" s="404"/>
      <c r="F189" s="404"/>
    </row>
    <row r="190" spans="2:6" ht="12.75" customHeight="1" x14ac:dyDescent="0.25">
      <c r="B190" s="407"/>
      <c r="C190" s="408"/>
      <c r="D190" s="404"/>
      <c r="E190" s="404"/>
      <c r="F190" s="404"/>
    </row>
    <row r="191" spans="2:6" ht="12.75" customHeight="1" x14ac:dyDescent="0.25">
      <c r="B191" s="407"/>
      <c r="C191" s="408"/>
      <c r="D191" s="404"/>
      <c r="E191" s="404"/>
      <c r="F191" s="404"/>
    </row>
    <row r="192" spans="2:6" ht="12.75" customHeight="1" x14ac:dyDescent="0.25">
      <c r="B192" s="407"/>
      <c r="C192" s="408"/>
      <c r="D192" s="404"/>
      <c r="E192" s="404"/>
      <c r="F192" s="404"/>
    </row>
    <row r="193" spans="2:6" ht="12.75" customHeight="1" x14ac:dyDescent="0.25">
      <c r="B193" s="407"/>
      <c r="C193" s="408"/>
      <c r="D193" s="404"/>
      <c r="E193" s="404"/>
      <c r="F193" s="404"/>
    </row>
    <row r="194" spans="2:6" ht="12.75" customHeight="1" x14ac:dyDescent="0.25">
      <c r="B194" s="407"/>
      <c r="C194" s="408"/>
      <c r="D194" s="404"/>
      <c r="E194" s="404"/>
      <c r="F194" s="404"/>
    </row>
    <row r="195" spans="2:6" ht="12.75" customHeight="1" x14ac:dyDescent="0.25">
      <c r="B195" s="407"/>
      <c r="C195" s="408"/>
      <c r="D195" s="404"/>
      <c r="E195" s="404"/>
      <c r="F195" s="404"/>
    </row>
    <row r="196" spans="2:6" ht="12.75" customHeight="1" x14ac:dyDescent="0.25">
      <c r="B196" s="407"/>
      <c r="C196" s="408"/>
      <c r="D196" s="404"/>
      <c r="E196" s="404"/>
      <c r="F196" s="404"/>
    </row>
    <row r="197" spans="2:6" ht="12.75" customHeight="1" x14ac:dyDescent="0.25">
      <c r="B197" s="407"/>
      <c r="C197" s="408"/>
      <c r="D197" s="404"/>
      <c r="E197" s="404"/>
      <c r="F197" s="404"/>
    </row>
    <row r="198" spans="2:6" ht="12.75" customHeight="1" x14ac:dyDescent="0.25">
      <c r="B198" s="407"/>
      <c r="C198" s="408"/>
      <c r="D198" s="404"/>
      <c r="E198" s="404"/>
      <c r="F198" s="404"/>
    </row>
    <row r="199" spans="2:6" ht="12.75" customHeight="1" x14ac:dyDescent="0.25">
      <c r="B199" s="407"/>
      <c r="C199" s="408"/>
      <c r="D199" s="404"/>
      <c r="E199" s="404"/>
      <c r="F199" s="404"/>
    </row>
    <row r="200" spans="2:6" ht="12.75" customHeight="1" x14ac:dyDescent="0.25">
      <c r="B200" s="407"/>
      <c r="C200" s="408"/>
      <c r="D200" s="404"/>
      <c r="E200" s="404"/>
      <c r="F200" s="404"/>
    </row>
    <row r="201" spans="2:6" ht="12.75" customHeight="1" x14ac:dyDescent="0.25">
      <c r="B201" s="407"/>
      <c r="C201" s="408"/>
      <c r="D201" s="404"/>
      <c r="E201" s="404"/>
      <c r="F201" s="404"/>
    </row>
    <row r="202" spans="2:6" ht="12.75" customHeight="1" x14ac:dyDescent="0.25">
      <c r="B202" s="407"/>
      <c r="C202" s="408"/>
      <c r="D202" s="404"/>
      <c r="E202" s="404"/>
      <c r="F202" s="404"/>
    </row>
    <row r="203" spans="2:6" ht="12.75" customHeight="1" x14ac:dyDescent="0.25">
      <c r="B203" s="407"/>
      <c r="C203" s="408"/>
      <c r="D203" s="404"/>
      <c r="E203" s="404"/>
      <c r="F203" s="404"/>
    </row>
    <row r="204" spans="2:6" ht="12.75" customHeight="1" x14ac:dyDescent="0.25">
      <c r="B204" s="407"/>
      <c r="C204" s="408"/>
      <c r="D204" s="404"/>
      <c r="E204" s="404"/>
      <c r="F204" s="404"/>
    </row>
    <row r="205" spans="2:6" ht="12.75" customHeight="1" x14ac:dyDescent="0.25">
      <c r="B205" s="407"/>
      <c r="C205" s="408"/>
      <c r="D205" s="404"/>
      <c r="E205" s="404"/>
      <c r="F205" s="404"/>
    </row>
    <row r="206" spans="2:6" ht="12.75" customHeight="1" x14ac:dyDescent="0.25">
      <c r="B206" s="407"/>
      <c r="C206" s="408"/>
      <c r="D206" s="404"/>
      <c r="E206" s="404"/>
      <c r="F206" s="404"/>
    </row>
    <row r="207" spans="2:6" ht="12.75" customHeight="1" x14ac:dyDescent="0.25">
      <c r="B207" s="407"/>
      <c r="C207" s="408"/>
      <c r="D207" s="404"/>
      <c r="E207" s="404"/>
      <c r="F207" s="404"/>
    </row>
    <row r="208" spans="2:6" ht="12.75" customHeight="1" x14ac:dyDescent="0.25">
      <c r="B208" s="407"/>
      <c r="C208" s="408"/>
      <c r="D208" s="404"/>
      <c r="E208" s="404"/>
      <c r="F208" s="404"/>
    </row>
    <row r="209" spans="2:6" ht="12.75" customHeight="1" x14ac:dyDescent="0.25">
      <c r="B209" s="407"/>
      <c r="C209" s="408"/>
      <c r="D209" s="404"/>
      <c r="E209" s="404"/>
      <c r="F209" s="404"/>
    </row>
    <row r="210" spans="2:6" ht="12.75" customHeight="1" x14ac:dyDescent="0.25">
      <c r="B210" s="407"/>
      <c r="C210" s="408"/>
      <c r="D210" s="404"/>
      <c r="E210" s="404"/>
      <c r="F210" s="404"/>
    </row>
    <row r="211" spans="2:6" ht="12.75" customHeight="1" x14ac:dyDescent="0.25">
      <c r="B211" s="407"/>
      <c r="C211" s="408"/>
      <c r="D211" s="404"/>
      <c r="E211" s="404"/>
      <c r="F211" s="404"/>
    </row>
    <row r="212" spans="2:6" ht="12.75" customHeight="1" x14ac:dyDescent="0.25">
      <c r="B212" s="407"/>
      <c r="C212" s="408"/>
      <c r="D212" s="404"/>
      <c r="E212" s="404"/>
      <c r="F212" s="404"/>
    </row>
    <row r="213" spans="2:6" ht="12.75" customHeight="1" x14ac:dyDescent="0.25">
      <c r="B213" s="407"/>
      <c r="C213" s="408"/>
      <c r="D213" s="404"/>
      <c r="E213" s="404"/>
      <c r="F213" s="404"/>
    </row>
    <row r="214" spans="2:6" ht="12.75" customHeight="1" x14ac:dyDescent="0.25">
      <c r="B214" s="407"/>
      <c r="C214" s="408"/>
      <c r="D214" s="404"/>
      <c r="E214" s="404"/>
      <c r="F214" s="404"/>
    </row>
    <row r="215" spans="2:6" ht="12.75" customHeight="1" x14ac:dyDescent="0.25">
      <c r="B215" s="407"/>
      <c r="C215" s="408"/>
      <c r="D215" s="404"/>
      <c r="E215" s="404"/>
      <c r="F215" s="404"/>
    </row>
    <row r="216" spans="2:6" ht="12.75" customHeight="1" x14ac:dyDescent="0.25">
      <c r="B216" s="407"/>
      <c r="C216" s="408"/>
      <c r="D216" s="404"/>
      <c r="E216" s="404"/>
      <c r="F216" s="404"/>
    </row>
    <row r="217" spans="2:6" ht="12.75" customHeight="1" x14ac:dyDescent="0.25">
      <c r="B217" s="407"/>
      <c r="C217" s="408"/>
      <c r="D217" s="404"/>
      <c r="E217" s="404"/>
      <c r="F217" s="404"/>
    </row>
    <row r="218" spans="2:6" ht="12.75" customHeight="1" x14ac:dyDescent="0.25">
      <c r="B218" s="407"/>
      <c r="C218" s="408"/>
      <c r="D218" s="404"/>
      <c r="E218" s="404"/>
      <c r="F218" s="404"/>
    </row>
    <row r="219" spans="2:6" ht="12.75" customHeight="1" x14ac:dyDescent="0.25">
      <c r="B219" s="407"/>
      <c r="C219" s="408"/>
      <c r="D219" s="404"/>
      <c r="E219" s="404"/>
      <c r="F219" s="404"/>
    </row>
    <row r="220" spans="2:6" ht="12.75" customHeight="1" x14ac:dyDescent="0.25">
      <c r="B220" s="407"/>
      <c r="C220" s="408"/>
      <c r="D220" s="404"/>
      <c r="E220" s="404"/>
      <c r="F220" s="404"/>
    </row>
    <row r="221" spans="2:6" ht="12.75" customHeight="1" x14ac:dyDescent="0.25">
      <c r="B221" s="407"/>
      <c r="C221" s="408"/>
      <c r="D221" s="404"/>
      <c r="E221" s="404"/>
      <c r="F221" s="404"/>
    </row>
    <row r="222" spans="2:6" ht="12.75" customHeight="1" x14ac:dyDescent="0.25">
      <c r="B222" s="407"/>
      <c r="C222" s="408"/>
      <c r="D222" s="404"/>
      <c r="E222" s="404"/>
      <c r="F222" s="404"/>
    </row>
    <row r="223" spans="2:6" ht="12.75" customHeight="1" x14ac:dyDescent="0.25">
      <c r="B223" s="407"/>
      <c r="C223" s="408"/>
      <c r="D223" s="404"/>
      <c r="E223" s="404"/>
      <c r="F223" s="404"/>
    </row>
    <row r="224" spans="2:6" ht="12.75" customHeight="1" x14ac:dyDescent="0.25">
      <c r="B224" s="407"/>
      <c r="C224" s="408"/>
      <c r="D224" s="404"/>
      <c r="E224" s="404"/>
      <c r="F224" s="404"/>
    </row>
    <row r="225" spans="2:6" ht="12.75" customHeight="1" x14ac:dyDescent="0.25">
      <c r="B225" s="407"/>
      <c r="C225" s="408"/>
      <c r="D225" s="404"/>
      <c r="E225" s="404"/>
      <c r="F225" s="404"/>
    </row>
    <row r="226" spans="2:6" ht="12.75" customHeight="1" x14ac:dyDescent="0.25">
      <c r="B226" s="407"/>
      <c r="C226" s="408"/>
      <c r="D226" s="404"/>
      <c r="E226" s="404"/>
      <c r="F226" s="404"/>
    </row>
    <row r="227" spans="2:6" ht="12.75" customHeight="1" x14ac:dyDescent="0.25">
      <c r="B227" s="407"/>
      <c r="C227" s="408"/>
      <c r="D227" s="404"/>
      <c r="E227" s="404"/>
      <c r="F227" s="404"/>
    </row>
    <row r="228" spans="2:6" ht="12.75" customHeight="1" x14ac:dyDescent="0.25">
      <c r="B228" s="407"/>
      <c r="C228" s="408"/>
      <c r="D228" s="404"/>
      <c r="E228" s="404"/>
      <c r="F228" s="404"/>
    </row>
    <row r="229" spans="2:6" ht="12.75" customHeight="1" x14ac:dyDescent="0.25">
      <c r="B229" s="407"/>
      <c r="C229" s="408"/>
      <c r="D229" s="404"/>
      <c r="E229" s="404"/>
      <c r="F229" s="404"/>
    </row>
    <row r="230" spans="2:6" ht="12.75" customHeight="1" x14ac:dyDescent="0.25">
      <c r="B230" s="407"/>
      <c r="C230" s="408"/>
      <c r="D230" s="404"/>
      <c r="E230" s="404"/>
      <c r="F230" s="404"/>
    </row>
    <row r="231" spans="2:6" ht="12.75" customHeight="1" x14ac:dyDescent="0.25">
      <c r="B231" s="407"/>
      <c r="C231" s="408"/>
      <c r="D231" s="404"/>
      <c r="E231" s="404"/>
      <c r="F231" s="404"/>
    </row>
    <row r="232" spans="2:6" ht="12.75" customHeight="1" x14ac:dyDescent="0.25">
      <c r="B232" s="407"/>
      <c r="C232" s="408"/>
      <c r="D232" s="404"/>
      <c r="E232" s="404"/>
      <c r="F232" s="404"/>
    </row>
    <row r="233" spans="2:6" ht="12.75" customHeight="1" x14ac:dyDescent="0.25">
      <c r="B233" s="407"/>
      <c r="C233" s="408"/>
      <c r="D233" s="404"/>
      <c r="E233" s="404"/>
      <c r="F233" s="404"/>
    </row>
    <row r="234" spans="2:6" ht="12.75" customHeight="1" x14ac:dyDescent="0.25">
      <c r="B234" s="407"/>
      <c r="C234" s="408"/>
      <c r="D234" s="404"/>
      <c r="E234" s="404"/>
      <c r="F234" s="404"/>
    </row>
    <row r="235" spans="2:6" ht="12.75" customHeight="1" x14ac:dyDescent="0.25">
      <c r="B235" s="407"/>
      <c r="C235" s="408"/>
      <c r="D235" s="404"/>
      <c r="E235" s="404"/>
      <c r="F235" s="404"/>
    </row>
    <row r="236" spans="2:6" ht="12.75" customHeight="1" x14ac:dyDescent="0.25">
      <c r="B236" s="407"/>
      <c r="C236" s="408"/>
      <c r="D236" s="404"/>
      <c r="E236" s="404"/>
      <c r="F236" s="404"/>
    </row>
    <row r="237" spans="2:6" ht="12.75" customHeight="1" x14ac:dyDescent="0.25">
      <c r="B237" s="407"/>
      <c r="C237" s="408"/>
      <c r="D237" s="404"/>
      <c r="E237" s="404"/>
      <c r="F237" s="404"/>
    </row>
    <row r="238" spans="2:6" ht="12.75" customHeight="1" x14ac:dyDescent="0.25">
      <c r="B238" s="407"/>
      <c r="C238" s="408"/>
      <c r="D238" s="404"/>
      <c r="E238" s="404"/>
      <c r="F238" s="404"/>
    </row>
    <row r="239" spans="2:6" ht="12.75" customHeight="1" x14ac:dyDescent="0.25">
      <c r="B239" s="407"/>
      <c r="C239" s="408"/>
      <c r="D239" s="404"/>
      <c r="E239" s="404"/>
      <c r="F239" s="404"/>
    </row>
    <row r="240" spans="2:6" ht="12.75" customHeight="1" x14ac:dyDescent="0.25">
      <c r="B240" s="407"/>
      <c r="C240" s="408"/>
      <c r="D240" s="404"/>
      <c r="E240" s="404"/>
      <c r="F240" s="404"/>
    </row>
    <row r="241" spans="2:6" ht="12.75" customHeight="1" x14ac:dyDescent="0.25">
      <c r="B241" s="407"/>
      <c r="C241" s="408"/>
      <c r="D241" s="404"/>
      <c r="E241" s="404"/>
      <c r="F241" s="404"/>
    </row>
    <row r="242" spans="2:6" ht="12.75" customHeight="1" x14ac:dyDescent="0.25">
      <c r="B242" s="407"/>
      <c r="C242" s="408"/>
      <c r="D242" s="404"/>
      <c r="E242" s="404"/>
      <c r="F242" s="404"/>
    </row>
    <row r="243" spans="2:6" ht="12.75" customHeight="1" x14ac:dyDescent="0.25">
      <c r="B243" s="407"/>
      <c r="C243" s="408"/>
      <c r="D243" s="404"/>
      <c r="E243" s="404"/>
      <c r="F243" s="404"/>
    </row>
    <row r="244" spans="2:6" ht="12.75" customHeight="1" x14ac:dyDescent="0.25">
      <c r="B244" s="407"/>
      <c r="C244" s="408"/>
      <c r="D244" s="404"/>
      <c r="E244" s="404"/>
      <c r="F244" s="404"/>
    </row>
    <row r="245" spans="2:6" ht="12.75" customHeight="1" x14ac:dyDescent="0.25">
      <c r="B245" s="407"/>
      <c r="C245" s="408"/>
      <c r="D245" s="404"/>
      <c r="E245" s="404"/>
      <c r="F245" s="404"/>
    </row>
    <row r="246" spans="2:6" ht="12.75" customHeight="1" x14ac:dyDescent="0.25">
      <c r="B246" s="407"/>
      <c r="C246" s="408"/>
      <c r="D246" s="404"/>
      <c r="E246" s="404"/>
      <c r="F246" s="404"/>
    </row>
    <row r="247" spans="2:6" ht="12.75" customHeight="1" x14ac:dyDescent="0.25">
      <c r="B247" s="407"/>
      <c r="C247" s="408"/>
      <c r="D247" s="404"/>
      <c r="E247" s="404"/>
      <c r="F247" s="404"/>
    </row>
    <row r="248" spans="2:6" ht="12.75" customHeight="1" x14ac:dyDescent="0.25">
      <c r="B248" s="407"/>
      <c r="C248" s="408"/>
      <c r="D248" s="404"/>
      <c r="E248" s="404"/>
      <c r="F248" s="404"/>
    </row>
    <row r="249" spans="2:6" ht="12.75" customHeight="1" x14ac:dyDescent="0.25">
      <c r="B249" s="407"/>
      <c r="C249" s="408"/>
      <c r="D249" s="404"/>
      <c r="E249" s="404"/>
      <c r="F249" s="404"/>
    </row>
    <row r="250" spans="2:6" ht="12.75" customHeight="1" x14ac:dyDescent="0.25">
      <c r="B250" s="407"/>
      <c r="C250" s="408"/>
      <c r="D250" s="404"/>
      <c r="E250" s="404"/>
      <c r="F250" s="404"/>
    </row>
    <row r="251" spans="2:6" ht="12.75" customHeight="1" x14ac:dyDescent="0.25">
      <c r="B251" s="407"/>
      <c r="C251" s="408"/>
      <c r="D251" s="404"/>
      <c r="E251" s="404"/>
      <c r="F251" s="404"/>
    </row>
    <row r="252" spans="2:6" ht="12.75" customHeight="1" x14ac:dyDescent="0.25">
      <c r="B252" s="407"/>
      <c r="C252" s="408"/>
      <c r="D252" s="404"/>
      <c r="E252" s="404"/>
      <c r="F252" s="404"/>
    </row>
    <row r="253" spans="2:6" ht="12.75" customHeight="1" x14ac:dyDescent="0.25">
      <c r="B253" s="407"/>
      <c r="C253" s="408"/>
      <c r="D253" s="404"/>
      <c r="E253" s="404"/>
      <c r="F253" s="404"/>
    </row>
    <row r="254" spans="2:6" ht="12.75" customHeight="1" x14ac:dyDescent="0.25">
      <c r="B254" s="407"/>
      <c r="C254" s="408"/>
      <c r="D254" s="404"/>
      <c r="E254" s="404"/>
      <c r="F254" s="404"/>
    </row>
    <row r="255" spans="2:6" ht="12.75" customHeight="1" x14ac:dyDescent="0.25">
      <c r="B255" s="407"/>
      <c r="C255" s="408"/>
      <c r="D255" s="404"/>
      <c r="E255" s="404"/>
      <c r="F255" s="404"/>
    </row>
    <row r="256" spans="2:6" ht="12.75" customHeight="1" x14ac:dyDescent="0.25">
      <c r="B256" s="407"/>
      <c r="C256" s="408"/>
      <c r="D256" s="404"/>
      <c r="E256" s="404"/>
      <c r="F256" s="404"/>
    </row>
    <row r="257" spans="2:6" ht="12.75" customHeight="1" x14ac:dyDescent="0.25">
      <c r="B257" s="407"/>
      <c r="C257" s="408"/>
      <c r="D257" s="404"/>
      <c r="E257" s="404"/>
      <c r="F257" s="404"/>
    </row>
    <row r="258" spans="2:6" ht="12.75" customHeight="1" x14ac:dyDescent="0.25">
      <c r="B258" s="407"/>
      <c r="C258" s="408"/>
      <c r="D258" s="404"/>
      <c r="E258" s="404"/>
      <c r="F258" s="404"/>
    </row>
    <row r="259" spans="2:6" ht="12.75" customHeight="1" x14ac:dyDescent="0.25">
      <c r="B259" s="407"/>
      <c r="C259" s="408"/>
      <c r="D259" s="404"/>
      <c r="E259" s="404"/>
      <c r="F259" s="404"/>
    </row>
    <row r="260" spans="2:6" ht="12.75" customHeight="1" x14ac:dyDescent="0.25">
      <c r="B260" s="407"/>
      <c r="C260" s="408"/>
      <c r="D260" s="404"/>
      <c r="E260" s="404"/>
      <c r="F260" s="404"/>
    </row>
    <row r="261" spans="2:6" ht="12.75" customHeight="1" x14ac:dyDescent="0.25">
      <c r="B261" s="407"/>
      <c r="C261" s="408"/>
      <c r="D261" s="404"/>
      <c r="E261" s="404"/>
      <c r="F261" s="404"/>
    </row>
    <row r="262" spans="2:6" ht="12.75" customHeight="1" x14ac:dyDescent="0.25">
      <c r="B262" s="407"/>
      <c r="C262" s="408"/>
      <c r="D262" s="404"/>
      <c r="E262" s="404"/>
      <c r="F262" s="404"/>
    </row>
    <row r="263" spans="2:6" ht="12.75" customHeight="1" x14ac:dyDescent="0.25">
      <c r="B263" s="407"/>
      <c r="C263" s="408"/>
      <c r="D263" s="404"/>
      <c r="E263" s="404"/>
      <c r="F263" s="404"/>
    </row>
    <row r="264" spans="2:6" ht="12.75" customHeight="1" x14ac:dyDescent="0.25">
      <c r="B264" s="407"/>
      <c r="C264" s="408"/>
      <c r="D264" s="404"/>
      <c r="E264" s="404"/>
      <c r="F264" s="404"/>
    </row>
    <row r="265" spans="2:6" ht="12.75" customHeight="1" x14ac:dyDescent="0.25">
      <c r="B265" s="407"/>
      <c r="C265" s="408"/>
      <c r="D265" s="404"/>
      <c r="E265" s="404"/>
      <c r="F265" s="404"/>
    </row>
    <row r="266" spans="2:6" ht="12.75" customHeight="1" x14ac:dyDescent="0.25">
      <c r="B266" s="407"/>
      <c r="C266" s="408"/>
      <c r="D266" s="404"/>
      <c r="E266" s="404"/>
      <c r="F266" s="404"/>
    </row>
    <row r="267" spans="2:6" ht="12.75" customHeight="1" x14ac:dyDescent="0.25">
      <c r="B267" s="407"/>
      <c r="C267" s="408"/>
      <c r="D267" s="404"/>
      <c r="E267" s="404"/>
      <c r="F267" s="404"/>
    </row>
    <row r="268" spans="2:6" ht="12.75" customHeight="1" x14ac:dyDescent="0.25">
      <c r="B268" s="407"/>
      <c r="C268" s="408"/>
      <c r="D268" s="404"/>
      <c r="E268" s="404"/>
      <c r="F268" s="404"/>
    </row>
    <row r="269" spans="2:6" ht="12.75" customHeight="1" x14ac:dyDescent="0.25">
      <c r="B269" s="407"/>
      <c r="C269" s="408"/>
      <c r="D269" s="404"/>
      <c r="E269" s="404"/>
      <c r="F269" s="404"/>
    </row>
    <row r="270" spans="2:6" ht="12.75" customHeight="1" x14ac:dyDescent="0.25">
      <c r="B270" s="407"/>
      <c r="C270" s="408"/>
      <c r="D270" s="404"/>
      <c r="E270" s="404"/>
      <c r="F270" s="404"/>
    </row>
    <row r="271" spans="2:6" ht="12.75" customHeight="1" x14ac:dyDescent="0.25">
      <c r="B271" s="407"/>
      <c r="C271" s="408"/>
      <c r="D271" s="404"/>
      <c r="E271" s="404"/>
      <c r="F271" s="404"/>
    </row>
    <row r="272" spans="2:6" ht="12.75" customHeight="1" x14ac:dyDescent="0.25">
      <c r="B272" s="407"/>
      <c r="C272" s="408"/>
      <c r="D272" s="404"/>
      <c r="E272" s="404"/>
      <c r="F272" s="404"/>
    </row>
    <row r="273" spans="2:6" ht="12.75" customHeight="1" x14ac:dyDescent="0.25">
      <c r="B273" s="407"/>
      <c r="C273" s="408"/>
      <c r="D273" s="404"/>
      <c r="E273" s="404"/>
      <c r="F273" s="404"/>
    </row>
    <row r="274" spans="2:6" ht="12.75" customHeight="1" x14ac:dyDescent="0.25">
      <c r="B274" s="407"/>
      <c r="C274" s="408"/>
      <c r="D274" s="404"/>
      <c r="E274" s="404"/>
      <c r="F274" s="404"/>
    </row>
    <row r="275" spans="2:6" ht="12.75" customHeight="1" x14ac:dyDescent="0.25">
      <c r="B275" s="407"/>
      <c r="C275" s="408"/>
      <c r="D275" s="404"/>
      <c r="E275" s="404"/>
      <c r="F275" s="404"/>
    </row>
    <row r="276" spans="2:6" ht="12.75" customHeight="1" x14ac:dyDescent="0.25">
      <c r="B276" s="407"/>
      <c r="C276" s="408"/>
      <c r="D276" s="404"/>
      <c r="E276" s="404"/>
      <c r="F276" s="404"/>
    </row>
    <row r="277" spans="2:6" ht="12.75" customHeight="1" x14ac:dyDescent="0.25">
      <c r="B277" s="407"/>
      <c r="C277" s="408"/>
      <c r="D277" s="404"/>
      <c r="E277" s="404"/>
      <c r="F277" s="404"/>
    </row>
    <row r="278" spans="2:6" ht="12.75" customHeight="1" x14ac:dyDescent="0.25">
      <c r="B278" s="407"/>
      <c r="C278" s="408"/>
      <c r="D278" s="404"/>
      <c r="E278" s="404"/>
      <c r="F278" s="404"/>
    </row>
    <row r="279" spans="2:6" ht="12.75" customHeight="1" x14ac:dyDescent="0.25">
      <c r="B279" s="407"/>
      <c r="C279" s="408"/>
      <c r="D279" s="404"/>
      <c r="E279" s="404"/>
      <c r="F279" s="404"/>
    </row>
    <row r="280" spans="2:6" ht="12.75" customHeight="1" x14ac:dyDescent="0.25">
      <c r="B280" s="407"/>
      <c r="C280" s="408"/>
      <c r="D280" s="404"/>
      <c r="E280" s="404"/>
      <c r="F280" s="404"/>
    </row>
    <row r="281" spans="2:6" ht="12.75" customHeight="1" x14ac:dyDescent="0.25">
      <c r="B281" s="407"/>
      <c r="C281" s="408"/>
      <c r="D281" s="404"/>
      <c r="E281" s="404"/>
      <c r="F281" s="404"/>
    </row>
    <row r="282" spans="2:6" ht="12.75" customHeight="1" x14ac:dyDescent="0.25">
      <c r="B282" s="407"/>
      <c r="C282" s="408"/>
      <c r="D282" s="404"/>
      <c r="E282" s="404"/>
      <c r="F282" s="404"/>
    </row>
    <row r="283" spans="2:6" ht="12.75" customHeight="1" x14ac:dyDescent="0.25">
      <c r="B283" s="407"/>
      <c r="C283" s="408"/>
      <c r="D283" s="404"/>
      <c r="E283" s="404"/>
      <c r="F283" s="404"/>
    </row>
    <row r="284" spans="2:6" ht="12.75" customHeight="1" x14ac:dyDescent="0.25">
      <c r="B284" s="407"/>
      <c r="C284" s="408"/>
      <c r="D284" s="404"/>
      <c r="E284" s="404"/>
      <c r="F284" s="404"/>
    </row>
    <row r="285" spans="2:6" ht="12.75" customHeight="1" x14ac:dyDescent="0.25">
      <c r="B285" s="407"/>
      <c r="C285" s="408"/>
      <c r="D285" s="404"/>
      <c r="E285" s="404"/>
      <c r="F285" s="404"/>
    </row>
    <row r="286" spans="2:6" ht="12.75" customHeight="1" x14ac:dyDescent="0.25">
      <c r="B286" s="407"/>
      <c r="C286" s="408"/>
      <c r="D286" s="404"/>
      <c r="E286" s="404"/>
      <c r="F286" s="404"/>
    </row>
    <row r="287" spans="2:6" ht="12.75" customHeight="1" x14ac:dyDescent="0.25">
      <c r="B287" s="407"/>
      <c r="C287" s="408"/>
      <c r="D287" s="404"/>
      <c r="E287" s="404"/>
      <c r="F287" s="404"/>
    </row>
    <row r="288" spans="2:6" ht="12.75" customHeight="1" x14ac:dyDescent="0.25">
      <c r="B288" s="407"/>
      <c r="C288" s="408"/>
      <c r="D288" s="404"/>
      <c r="E288" s="404"/>
      <c r="F288" s="404"/>
    </row>
    <row r="289" spans="2:6" ht="12.75" customHeight="1" x14ac:dyDescent="0.25">
      <c r="B289" s="407"/>
      <c r="C289" s="408"/>
      <c r="D289" s="404"/>
      <c r="E289" s="404"/>
      <c r="F289" s="404"/>
    </row>
    <row r="290" spans="2:6" ht="12.75" customHeight="1" x14ac:dyDescent="0.25">
      <c r="B290" s="407"/>
      <c r="C290" s="408"/>
      <c r="D290" s="404"/>
      <c r="E290" s="404"/>
      <c r="F290" s="404"/>
    </row>
    <row r="291" spans="2:6" ht="12.75" customHeight="1" x14ac:dyDescent="0.25">
      <c r="B291" s="407"/>
      <c r="C291" s="408"/>
      <c r="D291" s="404"/>
      <c r="E291" s="404"/>
      <c r="F291" s="404"/>
    </row>
    <row r="292" spans="2:6" ht="12.75" customHeight="1" x14ac:dyDescent="0.25">
      <c r="B292" s="407"/>
      <c r="C292" s="408"/>
      <c r="D292" s="404"/>
      <c r="E292" s="404"/>
      <c r="F292" s="404"/>
    </row>
    <row r="293" spans="2:6" ht="12.75" customHeight="1" x14ac:dyDescent="0.25">
      <c r="B293" s="407"/>
      <c r="C293" s="408"/>
      <c r="D293" s="404"/>
      <c r="E293" s="404"/>
      <c r="F293" s="404"/>
    </row>
    <row r="294" spans="2:6" ht="12.75" customHeight="1" x14ac:dyDescent="0.25">
      <c r="B294" s="407"/>
      <c r="C294" s="408"/>
      <c r="D294" s="404"/>
      <c r="E294" s="404"/>
      <c r="F294" s="404"/>
    </row>
    <row r="295" spans="2:6" ht="12.75" customHeight="1" x14ac:dyDescent="0.25">
      <c r="B295" s="407"/>
      <c r="C295" s="408"/>
      <c r="D295" s="404"/>
      <c r="E295" s="404"/>
      <c r="F295" s="404"/>
    </row>
    <row r="296" spans="2:6" ht="12.75" customHeight="1" x14ac:dyDescent="0.25">
      <c r="B296" s="407"/>
      <c r="C296" s="408"/>
      <c r="D296" s="404"/>
      <c r="E296" s="404"/>
      <c r="F296" s="404"/>
    </row>
    <row r="297" spans="2:6" ht="12.75" customHeight="1" x14ac:dyDescent="0.25">
      <c r="B297" s="407"/>
      <c r="C297" s="408"/>
      <c r="D297" s="404"/>
      <c r="E297" s="404"/>
      <c r="F297" s="404"/>
    </row>
    <row r="298" spans="2:6" ht="12.75" customHeight="1" x14ac:dyDescent="0.25">
      <c r="B298" s="407"/>
      <c r="C298" s="408"/>
      <c r="D298" s="404"/>
      <c r="E298" s="404"/>
      <c r="F298" s="404"/>
    </row>
    <row r="299" spans="2:6" ht="12.75" customHeight="1" x14ac:dyDescent="0.25">
      <c r="B299" s="407"/>
      <c r="C299" s="408"/>
      <c r="D299" s="404"/>
      <c r="E299" s="404"/>
      <c r="F299" s="404"/>
    </row>
    <row r="300" spans="2:6" ht="12.75" customHeight="1" x14ac:dyDescent="0.25">
      <c r="B300" s="407"/>
      <c r="C300" s="408"/>
      <c r="D300" s="404"/>
      <c r="E300" s="404"/>
      <c r="F300" s="404"/>
    </row>
    <row r="301" spans="2:6" ht="12.75" customHeight="1" x14ac:dyDescent="0.25">
      <c r="B301" s="407"/>
      <c r="C301" s="408"/>
      <c r="D301" s="404"/>
      <c r="E301" s="404"/>
      <c r="F301" s="404"/>
    </row>
    <row r="302" spans="2:6" ht="12.75" customHeight="1" x14ac:dyDescent="0.25">
      <c r="B302" s="407"/>
      <c r="C302" s="408"/>
      <c r="D302" s="404"/>
      <c r="E302" s="404"/>
      <c r="F302" s="404"/>
    </row>
    <row r="303" spans="2:6" ht="12.75" customHeight="1" x14ac:dyDescent="0.25">
      <c r="B303" s="407"/>
      <c r="C303" s="408"/>
      <c r="D303" s="404"/>
      <c r="E303" s="404"/>
      <c r="F303" s="404"/>
    </row>
    <row r="304" spans="2:6" ht="12.75" customHeight="1" x14ac:dyDescent="0.25">
      <c r="B304" s="407"/>
      <c r="C304" s="408"/>
      <c r="D304" s="404"/>
      <c r="E304" s="404"/>
      <c r="F304" s="404"/>
    </row>
    <row r="305" spans="2:6" ht="12.75" customHeight="1" x14ac:dyDescent="0.25">
      <c r="B305" s="407"/>
      <c r="C305" s="408"/>
      <c r="D305" s="404"/>
      <c r="E305" s="404"/>
      <c r="F305" s="404"/>
    </row>
    <row r="306" spans="2:6" ht="12.75" customHeight="1" x14ac:dyDescent="0.25">
      <c r="B306" s="407"/>
      <c r="C306" s="408"/>
      <c r="D306" s="404"/>
      <c r="E306" s="404"/>
      <c r="F306" s="404"/>
    </row>
    <row r="307" spans="2:6" ht="12.75" customHeight="1" x14ac:dyDescent="0.25">
      <c r="B307" s="407"/>
      <c r="C307" s="408"/>
      <c r="D307" s="404"/>
      <c r="E307" s="404"/>
      <c r="F307" s="404"/>
    </row>
    <row r="308" spans="2:6" ht="12.75" customHeight="1" x14ac:dyDescent="0.25">
      <c r="B308" s="407"/>
      <c r="C308" s="408"/>
      <c r="D308" s="404"/>
      <c r="E308" s="404"/>
      <c r="F308" s="404"/>
    </row>
    <row r="309" spans="2:6" ht="12.75" customHeight="1" x14ac:dyDescent="0.25">
      <c r="B309" s="407"/>
      <c r="C309" s="408"/>
      <c r="D309" s="404"/>
      <c r="E309" s="404"/>
      <c r="F309" s="404"/>
    </row>
    <row r="310" spans="2:6" ht="12.75" customHeight="1" x14ac:dyDescent="0.25">
      <c r="B310" s="407"/>
      <c r="C310" s="408"/>
      <c r="D310" s="404"/>
      <c r="E310" s="404"/>
      <c r="F310" s="404"/>
    </row>
    <row r="311" spans="2:6" ht="12.75" customHeight="1" x14ac:dyDescent="0.25">
      <c r="B311" s="407"/>
      <c r="C311" s="408"/>
      <c r="D311" s="404"/>
      <c r="E311" s="404"/>
      <c r="F311" s="404"/>
    </row>
    <row r="312" spans="2:6" ht="12.75" customHeight="1" x14ac:dyDescent="0.25">
      <c r="B312" s="407"/>
      <c r="C312" s="408"/>
      <c r="D312" s="404"/>
      <c r="E312" s="404"/>
      <c r="F312" s="404"/>
    </row>
    <row r="313" spans="2:6" ht="12.75" customHeight="1" x14ac:dyDescent="0.25">
      <c r="B313" s="407"/>
      <c r="C313" s="408"/>
      <c r="D313" s="404"/>
      <c r="E313" s="404"/>
      <c r="F313" s="404"/>
    </row>
    <row r="314" spans="2:6" ht="12.75" customHeight="1" x14ac:dyDescent="0.25">
      <c r="B314" s="407"/>
      <c r="C314" s="408"/>
      <c r="D314" s="404"/>
      <c r="E314" s="404"/>
      <c r="F314" s="404"/>
    </row>
    <row r="315" spans="2:6" ht="12.75" customHeight="1" x14ac:dyDescent="0.25">
      <c r="B315" s="407"/>
      <c r="C315" s="408"/>
      <c r="D315" s="404"/>
      <c r="E315" s="404"/>
      <c r="F315" s="404"/>
    </row>
    <row r="316" spans="2:6" ht="12.75" customHeight="1" x14ac:dyDescent="0.25">
      <c r="B316" s="407"/>
      <c r="C316" s="408"/>
      <c r="D316" s="404"/>
      <c r="E316" s="404"/>
      <c r="F316" s="404"/>
    </row>
    <row r="317" spans="2:6" ht="12.75" customHeight="1" x14ac:dyDescent="0.25">
      <c r="B317" s="407"/>
      <c r="C317" s="408"/>
      <c r="D317" s="404"/>
      <c r="E317" s="404"/>
      <c r="F317" s="404"/>
    </row>
    <row r="318" spans="2:6" ht="12.75" customHeight="1" x14ac:dyDescent="0.25">
      <c r="B318" s="407"/>
      <c r="C318" s="408"/>
      <c r="D318" s="404"/>
      <c r="E318" s="404"/>
      <c r="F318" s="404"/>
    </row>
    <row r="319" spans="2:6" ht="12.75" customHeight="1" x14ac:dyDescent="0.25">
      <c r="B319" s="407"/>
      <c r="C319" s="408"/>
      <c r="D319" s="404"/>
      <c r="E319" s="404"/>
      <c r="F319" s="404"/>
    </row>
    <row r="320" spans="2:6" ht="12.75" customHeight="1" x14ac:dyDescent="0.25">
      <c r="B320" s="407"/>
      <c r="C320" s="408"/>
      <c r="D320" s="404"/>
      <c r="E320" s="404"/>
      <c r="F320" s="404"/>
    </row>
    <row r="321" spans="2:6" ht="12.75" customHeight="1" x14ac:dyDescent="0.25">
      <c r="B321" s="407"/>
      <c r="C321" s="408"/>
      <c r="D321" s="404"/>
      <c r="E321" s="404"/>
      <c r="F321" s="404"/>
    </row>
    <row r="322" spans="2:6" ht="12.75" customHeight="1" x14ac:dyDescent="0.25">
      <c r="B322" s="407"/>
      <c r="C322" s="408"/>
      <c r="D322" s="404"/>
      <c r="E322" s="404"/>
      <c r="F322" s="404"/>
    </row>
    <row r="323" spans="2:6" ht="12.75" customHeight="1" x14ac:dyDescent="0.25">
      <c r="B323" s="407"/>
      <c r="C323" s="408"/>
      <c r="D323" s="404"/>
      <c r="E323" s="404"/>
      <c r="F323" s="404"/>
    </row>
    <row r="324" spans="2:6" ht="12.75" customHeight="1" x14ac:dyDescent="0.25">
      <c r="B324" s="407"/>
      <c r="C324" s="408"/>
      <c r="D324" s="404"/>
      <c r="E324" s="404"/>
      <c r="F324" s="404"/>
    </row>
    <row r="325" spans="2:6" ht="12.75" customHeight="1" x14ac:dyDescent="0.25">
      <c r="B325" s="407"/>
      <c r="C325" s="408"/>
      <c r="D325" s="404"/>
      <c r="E325" s="404"/>
      <c r="F325" s="404"/>
    </row>
    <row r="326" spans="2:6" ht="12.75" customHeight="1" x14ac:dyDescent="0.25">
      <c r="B326" s="407"/>
      <c r="C326" s="408"/>
      <c r="D326" s="404"/>
      <c r="E326" s="404"/>
      <c r="F326" s="404"/>
    </row>
    <row r="327" spans="2:6" ht="12.75" customHeight="1" x14ac:dyDescent="0.25">
      <c r="B327" s="407"/>
      <c r="C327" s="408"/>
      <c r="D327" s="404"/>
      <c r="E327" s="404"/>
      <c r="F327" s="404"/>
    </row>
    <row r="328" spans="2:6" ht="12.75" customHeight="1" x14ac:dyDescent="0.25">
      <c r="B328" s="407"/>
      <c r="C328" s="408"/>
      <c r="D328" s="404"/>
      <c r="E328" s="404"/>
      <c r="F328" s="404"/>
    </row>
    <row r="329" spans="2:6" ht="12.75" customHeight="1" x14ac:dyDescent="0.25">
      <c r="B329" s="407"/>
      <c r="C329" s="408"/>
      <c r="D329" s="404"/>
      <c r="E329" s="404"/>
      <c r="F329" s="404"/>
    </row>
    <row r="330" spans="2:6" ht="12.75" customHeight="1" x14ac:dyDescent="0.25">
      <c r="B330" s="407"/>
      <c r="C330" s="408"/>
      <c r="D330" s="404"/>
      <c r="E330" s="404"/>
      <c r="F330" s="404"/>
    </row>
    <row r="331" spans="2:6" ht="12.75" customHeight="1" x14ac:dyDescent="0.25">
      <c r="B331" s="407"/>
      <c r="C331" s="408"/>
      <c r="D331" s="404"/>
      <c r="E331" s="404"/>
      <c r="F331" s="404"/>
    </row>
    <row r="332" spans="2:6" ht="12.75" customHeight="1" x14ac:dyDescent="0.25">
      <c r="B332" s="407"/>
      <c r="C332" s="408"/>
      <c r="D332" s="404"/>
      <c r="E332" s="404"/>
      <c r="F332" s="404"/>
    </row>
    <row r="333" spans="2:6" ht="12.75" customHeight="1" x14ac:dyDescent="0.25">
      <c r="B333" s="407"/>
      <c r="C333" s="408"/>
      <c r="D333" s="404"/>
      <c r="E333" s="404"/>
      <c r="F333" s="404"/>
    </row>
    <row r="334" spans="2:6" ht="12.75" customHeight="1" x14ac:dyDescent="0.25">
      <c r="B334" s="407"/>
      <c r="C334" s="408"/>
      <c r="D334" s="404"/>
      <c r="E334" s="404"/>
      <c r="F334" s="404"/>
    </row>
    <row r="335" spans="2:6" ht="12.75" customHeight="1" x14ac:dyDescent="0.25">
      <c r="B335" s="407"/>
      <c r="C335" s="408"/>
      <c r="D335" s="404"/>
      <c r="E335" s="404"/>
      <c r="F335" s="404"/>
    </row>
    <row r="336" spans="2:6" ht="12.75" customHeight="1" x14ac:dyDescent="0.25">
      <c r="B336" s="407"/>
      <c r="C336" s="408"/>
      <c r="D336" s="404"/>
      <c r="E336" s="404"/>
      <c r="F336" s="404"/>
    </row>
    <row r="337" spans="2:6" ht="12.75" customHeight="1" x14ac:dyDescent="0.25">
      <c r="B337" s="407"/>
      <c r="C337" s="408"/>
      <c r="D337" s="404"/>
      <c r="E337" s="404"/>
      <c r="F337" s="404"/>
    </row>
    <row r="338" spans="2:6" ht="12.75" customHeight="1" x14ac:dyDescent="0.25">
      <c r="B338" s="407"/>
      <c r="C338" s="408"/>
      <c r="D338" s="404"/>
      <c r="E338" s="404"/>
      <c r="F338" s="404"/>
    </row>
    <row r="339" spans="2:6" ht="12.75" customHeight="1" x14ac:dyDescent="0.25">
      <c r="B339" s="407"/>
      <c r="C339" s="408"/>
      <c r="D339" s="404"/>
      <c r="E339" s="404"/>
      <c r="F339" s="404"/>
    </row>
    <row r="340" spans="2:6" ht="12.75" customHeight="1" x14ac:dyDescent="0.25">
      <c r="B340" s="407"/>
      <c r="C340" s="408"/>
      <c r="D340" s="404"/>
      <c r="E340" s="404"/>
      <c r="F340" s="404"/>
    </row>
    <row r="341" spans="2:6" ht="12.75" customHeight="1" x14ac:dyDescent="0.25">
      <c r="B341" s="407"/>
      <c r="C341" s="408"/>
      <c r="D341" s="404"/>
      <c r="E341" s="404"/>
      <c r="F341" s="404"/>
    </row>
    <row r="342" spans="2:6" ht="12.75" customHeight="1" x14ac:dyDescent="0.25">
      <c r="B342" s="407"/>
      <c r="C342" s="408"/>
      <c r="D342" s="404"/>
      <c r="E342" s="404"/>
      <c r="F342" s="404"/>
    </row>
    <row r="343" spans="2:6" ht="12.75" customHeight="1" x14ac:dyDescent="0.25">
      <c r="B343" s="407"/>
      <c r="C343" s="408"/>
      <c r="D343" s="404"/>
      <c r="E343" s="404"/>
      <c r="F343" s="404"/>
    </row>
    <row r="344" spans="2:6" ht="12.75" customHeight="1" x14ac:dyDescent="0.25">
      <c r="B344" s="407"/>
      <c r="C344" s="408"/>
      <c r="D344" s="404"/>
      <c r="E344" s="404"/>
      <c r="F344" s="404"/>
    </row>
    <row r="345" spans="2:6" ht="12.75" customHeight="1" x14ac:dyDescent="0.25">
      <c r="B345" s="407"/>
      <c r="C345" s="408"/>
      <c r="D345" s="404"/>
      <c r="E345" s="404"/>
      <c r="F345" s="404"/>
    </row>
    <row r="346" spans="2:6" ht="12.75" customHeight="1" x14ac:dyDescent="0.25">
      <c r="B346" s="407"/>
      <c r="C346" s="408"/>
      <c r="D346" s="404"/>
      <c r="E346" s="404"/>
      <c r="F346" s="404"/>
    </row>
    <row r="347" spans="2:6" ht="12.75" customHeight="1" x14ac:dyDescent="0.25">
      <c r="B347" s="407"/>
      <c r="C347" s="408"/>
      <c r="D347" s="404"/>
      <c r="E347" s="404"/>
      <c r="F347" s="404"/>
    </row>
    <row r="348" spans="2:6" ht="12.75" customHeight="1" x14ac:dyDescent="0.25">
      <c r="B348" s="407"/>
      <c r="C348" s="408"/>
      <c r="D348" s="404"/>
      <c r="E348" s="404"/>
      <c r="F348" s="404"/>
    </row>
    <row r="349" spans="2:6" ht="12.75" customHeight="1" x14ac:dyDescent="0.25">
      <c r="B349" s="407"/>
      <c r="C349" s="408"/>
      <c r="D349" s="404"/>
      <c r="E349" s="404"/>
      <c r="F349" s="404"/>
    </row>
    <row r="350" spans="2:6" ht="12.75" customHeight="1" x14ac:dyDescent="0.25">
      <c r="B350" s="407"/>
      <c r="C350" s="408"/>
      <c r="D350" s="404"/>
      <c r="E350" s="404"/>
      <c r="F350" s="404"/>
    </row>
    <row r="351" spans="2:6" ht="12.75" customHeight="1" x14ac:dyDescent="0.25">
      <c r="B351" s="407"/>
      <c r="C351" s="408"/>
      <c r="D351" s="404"/>
      <c r="E351" s="404"/>
      <c r="F351" s="404"/>
    </row>
    <row r="352" spans="2:6" ht="12.75" customHeight="1" x14ac:dyDescent="0.25">
      <c r="B352" s="407"/>
      <c r="C352" s="408"/>
      <c r="D352" s="404"/>
      <c r="E352" s="404"/>
      <c r="F352" s="404"/>
    </row>
    <row r="353" spans="2:6" ht="12.75" customHeight="1" x14ac:dyDescent="0.25">
      <c r="B353" s="407"/>
      <c r="C353" s="408"/>
      <c r="D353" s="404"/>
      <c r="E353" s="404"/>
      <c r="F353" s="404"/>
    </row>
    <row r="354" spans="2:6" ht="12.75" customHeight="1" x14ac:dyDescent="0.25">
      <c r="B354" s="407"/>
      <c r="C354" s="408"/>
      <c r="D354" s="404"/>
      <c r="E354" s="404"/>
      <c r="F354" s="404"/>
    </row>
    <row r="355" spans="2:6" ht="12.75" customHeight="1" x14ac:dyDescent="0.25">
      <c r="B355" s="407"/>
      <c r="C355" s="408"/>
      <c r="D355" s="404"/>
      <c r="E355" s="404"/>
      <c r="F355" s="404"/>
    </row>
    <row r="356" spans="2:6" ht="12.75" customHeight="1" x14ac:dyDescent="0.25">
      <c r="B356" s="407"/>
      <c r="C356" s="408"/>
      <c r="D356" s="404"/>
      <c r="E356" s="404"/>
      <c r="F356" s="404"/>
    </row>
    <row r="357" spans="2:6" ht="12.75" customHeight="1" x14ac:dyDescent="0.25">
      <c r="B357" s="407"/>
      <c r="C357" s="408"/>
      <c r="D357" s="404"/>
      <c r="E357" s="404"/>
      <c r="F357" s="404"/>
    </row>
    <row r="358" spans="2:6" ht="12.75" customHeight="1" x14ac:dyDescent="0.25">
      <c r="B358" s="407"/>
      <c r="C358" s="408"/>
      <c r="D358" s="404"/>
      <c r="E358" s="404"/>
      <c r="F358" s="404"/>
    </row>
    <row r="359" spans="2:6" ht="12.75" customHeight="1" x14ac:dyDescent="0.25">
      <c r="B359" s="407"/>
      <c r="C359" s="408"/>
      <c r="D359" s="404"/>
      <c r="E359" s="404"/>
      <c r="F359" s="404"/>
    </row>
    <row r="360" spans="2:6" ht="12.75" customHeight="1" x14ac:dyDescent="0.25">
      <c r="B360" s="407"/>
      <c r="C360" s="408"/>
      <c r="D360" s="404"/>
      <c r="E360" s="404"/>
      <c r="F360" s="404"/>
    </row>
    <row r="361" spans="2:6" ht="12.75" customHeight="1" x14ac:dyDescent="0.25">
      <c r="B361" s="407"/>
      <c r="C361" s="408"/>
      <c r="D361" s="404"/>
      <c r="E361" s="404"/>
      <c r="F361" s="404"/>
    </row>
    <row r="362" spans="2:6" ht="12.75" customHeight="1" x14ac:dyDescent="0.25">
      <c r="B362" s="407"/>
      <c r="C362" s="408"/>
      <c r="D362" s="404"/>
      <c r="E362" s="404"/>
      <c r="F362" s="404"/>
    </row>
    <row r="363" spans="2:6" ht="12.75" customHeight="1" x14ac:dyDescent="0.25">
      <c r="B363" s="407"/>
      <c r="C363" s="408"/>
      <c r="D363" s="404"/>
      <c r="E363" s="404"/>
      <c r="F363" s="404"/>
    </row>
    <row r="364" spans="2:6" ht="12.75" customHeight="1" x14ac:dyDescent="0.25">
      <c r="B364" s="407"/>
      <c r="C364" s="408"/>
      <c r="D364" s="404"/>
      <c r="E364" s="404"/>
      <c r="F364" s="404"/>
    </row>
    <row r="365" spans="2:6" ht="12.75" customHeight="1" x14ac:dyDescent="0.25">
      <c r="B365" s="407"/>
      <c r="C365" s="408"/>
      <c r="D365" s="404"/>
      <c r="E365" s="404"/>
      <c r="F365" s="404"/>
    </row>
    <row r="366" spans="2:6" ht="12.75" customHeight="1" x14ac:dyDescent="0.25">
      <c r="B366" s="407"/>
      <c r="C366" s="408"/>
      <c r="D366" s="404"/>
      <c r="E366" s="404"/>
      <c r="F366" s="404"/>
    </row>
    <row r="367" spans="2:6" ht="12.75" customHeight="1" x14ac:dyDescent="0.25">
      <c r="B367" s="407"/>
      <c r="C367" s="408"/>
      <c r="D367" s="404"/>
      <c r="E367" s="404"/>
      <c r="F367" s="404"/>
    </row>
    <row r="368" spans="2:6" ht="12.75" customHeight="1" x14ac:dyDescent="0.25">
      <c r="B368" s="407"/>
      <c r="C368" s="408"/>
      <c r="D368" s="404"/>
      <c r="E368" s="404"/>
      <c r="F368" s="404"/>
    </row>
    <row r="369" spans="2:6" ht="12.75" customHeight="1" x14ac:dyDescent="0.25">
      <c r="B369" s="407"/>
      <c r="C369" s="408"/>
      <c r="D369" s="404"/>
      <c r="E369" s="404"/>
      <c r="F369" s="404"/>
    </row>
    <row r="370" spans="2:6" ht="12.75" customHeight="1" x14ac:dyDescent="0.25">
      <c r="B370" s="407"/>
      <c r="C370" s="408"/>
      <c r="D370" s="404"/>
      <c r="E370" s="404"/>
      <c r="F370" s="404"/>
    </row>
    <row r="371" spans="2:6" ht="12.75" customHeight="1" x14ac:dyDescent="0.25">
      <c r="B371" s="407"/>
      <c r="C371" s="408"/>
      <c r="D371" s="404"/>
      <c r="E371" s="404"/>
      <c r="F371" s="404"/>
    </row>
    <row r="372" spans="2:6" ht="12.75" customHeight="1" x14ac:dyDescent="0.25">
      <c r="B372" s="407"/>
      <c r="C372" s="408"/>
      <c r="D372" s="404"/>
      <c r="E372" s="404"/>
      <c r="F372" s="404"/>
    </row>
    <row r="373" spans="2:6" ht="12.75" customHeight="1" x14ac:dyDescent="0.25">
      <c r="B373" s="407"/>
      <c r="C373" s="408"/>
      <c r="D373" s="404"/>
      <c r="E373" s="404"/>
      <c r="F373" s="404"/>
    </row>
    <row r="374" spans="2:6" ht="12.75" customHeight="1" x14ac:dyDescent="0.25">
      <c r="B374" s="407"/>
      <c r="C374" s="408"/>
      <c r="D374" s="404"/>
      <c r="E374" s="404"/>
      <c r="F374" s="404"/>
    </row>
    <row r="375" spans="2:6" ht="12.75" customHeight="1" x14ac:dyDescent="0.25">
      <c r="B375" s="407"/>
      <c r="C375" s="408"/>
      <c r="D375" s="404"/>
      <c r="E375" s="404"/>
      <c r="F375" s="404"/>
    </row>
    <row r="376" spans="2:6" ht="12.75" customHeight="1" x14ac:dyDescent="0.25">
      <c r="B376" s="407"/>
      <c r="C376" s="408"/>
      <c r="D376" s="404"/>
      <c r="E376" s="404"/>
      <c r="F376" s="404"/>
    </row>
    <row r="377" spans="2:6" ht="12.75" customHeight="1" x14ac:dyDescent="0.25">
      <c r="B377" s="407"/>
      <c r="C377" s="408"/>
      <c r="D377" s="404"/>
      <c r="E377" s="404"/>
      <c r="F377" s="404"/>
    </row>
    <row r="378" spans="2:6" ht="12.75" customHeight="1" x14ac:dyDescent="0.25">
      <c r="B378" s="407"/>
      <c r="C378" s="408"/>
      <c r="D378" s="404"/>
      <c r="E378" s="404"/>
      <c r="F378" s="404"/>
    </row>
    <row r="379" spans="2:6" ht="12.75" customHeight="1" x14ac:dyDescent="0.25">
      <c r="B379" s="407"/>
      <c r="C379" s="408"/>
      <c r="D379" s="404"/>
      <c r="E379" s="404"/>
      <c r="F379" s="404"/>
    </row>
    <row r="380" spans="2:6" ht="12.75" customHeight="1" x14ac:dyDescent="0.25">
      <c r="B380" s="407"/>
      <c r="C380" s="408"/>
      <c r="D380" s="404"/>
      <c r="E380" s="404"/>
      <c r="F380" s="404"/>
    </row>
    <row r="381" spans="2:6" ht="12.75" customHeight="1" x14ac:dyDescent="0.25">
      <c r="B381" s="407"/>
      <c r="C381" s="408"/>
      <c r="D381" s="404"/>
      <c r="E381" s="404"/>
      <c r="F381" s="404"/>
    </row>
    <row r="382" spans="2:6" ht="12.75" customHeight="1" x14ac:dyDescent="0.25">
      <c r="B382" s="407"/>
      <c r="C382" s="408"/>
      <c r="D382" s="404"/>
      <c r="E382" s="404"/>
      <c r="F382" s="404"/>
    </row>
    <row r="383" spans="2:6" ht="12.75" customHeight="1" x14ac:dyDescent="0.25">
      <c r="B383" s="407"/>
      <c r="C383" s="408"/>
      <c r="D383" s="404"/>
      <c r="E383" s="404"/>
      <c r="F383" s="404"/>
    </row>
    <row r="384" spans="2:6" ht="12.75" customHeight="1" x14ac:dyDescent="0.25">
      <c r="B384" s="407"/>
      <c r="C384" s="408"/>
      <c r="D384" s="404"/>
      <c r="E384" s="404"/>
      <c r="F384" s="404"/>
    </row>
    <row r="385" spans="2:6" ht="12.75" customHeight="1" x14ac:dyDescent="0.25">
      <c r="B385" s="407"/>
      <c r="C385" s="408"/>
      <c r="D385" s="404"/>
      <c r="E385" s="404"/>
      <c r="F385" s="404"/>
    </row>
    <row r="386" spans="2:6" ht="12.75" customHeight="1" x14ac:dyDescent="0.25">
      <c r="B386" s="407"/>
      <c r="C386" s="408"/>
      <c r="D386" s="404"/>
      <c r="E386" s="404"/>
      <c r="F386" s="404"/>
    </row>
    <row r="387" spans="2:6" ht="12.75" customHeight="1" x14ac:dyDescent="0.25">
      <c r="B387" s="407"/>
      <c r="C387" s="408"/>
      <c r="D387" s="404"/>
      <c r="E387" s="404"/>
      <c r="F387" s="404"/>
    </row>
    <row r="388" spans="2:6" ht="12.75" customHeight="1" x14ac:dyDescent="0.25">
      <c r="B388" s="407"/>
      <c r="C388" s="408"/>
      <c r="D388" s="404"/>
      <c r="E388" s="404"/>
      <c r="F388" s="404"/>
    </row>
    <row r="389" spans="2:6" ht="12.75" customHeight="1" x14ac:dyDescent="0.25">
      <c r="B389" s="407"/>
      <c r="C389" s="408"/>
      <c r="D389" s="404"/>
      <c r="E389" s="404"/>
      <c r="F389" s="404"/>
    </row>
    <row r="390" spans="2:6" ht="12.75" customHeight="1" x14ac:dyDescent="0.25">
      <c r="B390" s="407"/>
      <c r="C390" s="408"/>
      <c r="D390" s="404"/>
      <c r="E390" s="404"/>
      <c r="F390" s="404"/>
    </row>
    <row r="391" spans="2:6" ht="12.75" customHeight="1" x14ac:dyDescent="0.25">
      <c r="B391" s="407"/>
      <c r="C391" s="408"/>
      <c r="D391" s="404"/>
      <c r="E391" s="404"/>
      <c r="F391" s="404"/>
    </row>
    <row r="392" spans="2:6" ht="12.75" customHeight="1" x14ac:dyDescent="0.25">
      <c r="B392" s="407"/>
      <c r="C392" s="408"/>
      <c r="D392" s="404"/>
      <c r="E392" s="404"/>
      <c r="F392" s="404"/>
    </row>
    <row r="393" spans="2:6" ht="12.75" customHeight="1" x14ac:dyDescent="0.25">
      <c r="B393" s="407"/>
      <c r="C393" s="408"/>
      <c r="D393" s="404"/>
      <c r="E393" s="404"/>
      <c r="F393" s="404"/>
    </row>
    <row r="394" spans="2:6" ht="12.75" customHeight="1" x14ac:dyDescent="0.25">
      <c r="B394" s="407"/>
      <c r="C394" s="408"/>
      <c r="D394" s="404"/>
      <c r="E394" s="404"/>
      <c r="F394" s="404"/>
    </row>
    <row r="395" spans="2:6" ht="12.75" customHeight="1" x14ac:dyDescent="0.25">
      <c r="B395" s="407"/>
      <c r="C395" s="408"/>
      <c r="D395" s="404"/>
      <c r="E395" s="404"/>
      <c r="F395" s="404"/>
    </row>
    <row r="396" spans="2:6" ht="12.75" customHeight="1" x14ac:dyDescent="0.25">
      <c r="B396" s="407"/>
      <c r="C396" s="408"/>
      <c r="D396" s="404"/>
      <c r="E396" s="404"/>
      <c r="F396" s="404"/>
    </row>
    <row r="397" spans="2:6" ht="12.75" customHeight="1" x14ac:dyDescent="0.25">
      <c r="B397" s="407"/>
      <c r="C397" s="408"/>
      <c r="D397" s="404"/>
      <c r="E397" s="404"/>
      <c r="F397" s="404"/>
    </row>
    <row r="398" spans="2:6" ht="12.75" customHeight="1" x14ac:dyDescent="0.25">
      <c r="B398" s="407"/>
      <c r="C398" s="408"/>
      <c r="D398" s="404"/>
      <c r="E398" s="404"/>
      <c r="F398" s="404"/>
    </row>
    <row r="399" spans="2:6" ht="12.75" customHeight="1" x14ac:dyDescent="0.25">
      <c r="B399" s="407"/>
      <c r="C399" s="408"/>
      <c r="D399" s="404"/>
      <c r="E399" s="404"/>
      <c r="F399" s="404"/>
    </row>
    <row r="400" spans="2:6" ht="12.75" customHeight="1" x14ac:dyDescent="0.25">
      <c r="B400" s="407"/>
      <c r="C400" s="408"/>
      <c r="D400" s="404"/>
      <c r="E400" s="404"/>
      <c r="F400" s="404"/>
    </row>
    <row r="401" spans="2:6" ht="12.75" customHeight="1" x14ac:dyDescent="0.25">
      <c r="B401" s="407"/>
      <c r="C401" s="408"/>
      <c r="D401" s="404"/>
      <c r="E401" s="404"/>
      <c r="F401" s="404"/>
    </row>
    <row r="402" spans="2:6" ht="12.75" customHeight="1" x14ac:dyDescent="0.25">
      <c r="B402" s="407"/>
      <c r="C402" s="408"/>
      <c r="D402" s="404"/>
      <c r="E402" s="404"/>
      <c r="F402" s="404"/>
    </row>
    <row r="403" spans="2:6" ht="12.75" customHeight="1" x14ac:dyDescent="0.25">
      <c r="B403" s="407"/>
      <c r="C403" s="408"/>
      <c r="D403" s="404"/>
      <c r="E403" s="404"/>
      <c r="F403" s="404"/>
    </row>
    <row r="404" spans="2:6" ht="12.75" customHeight="1" x14ac:dyDescent="0.25">
      <c r="B404" s="407"/>
      <c r="C404" s="408"/>
      <c r="D404" s="404"/>
      <c r="E404" s="404"/>
      <c r="F404" s="404"/>
    </row>
    <row r="405" spans="2:6" ht="12.75" customHeight="1" x14ac:dyDescent="0.25">
      <c r="B405" s="407"/>
      <c r="C405" s="408"/>
      <c r="D405" s="404"/>
      <c r="E405" s="404"/>
      <c r="F405" s="404"/>
    </row>
    <row r="406" spans="2:6" ht="12.75" customHeight="1" x14ac:dyDescent="0.25">
      <c r="B406" s="407"/>
      <c r="C406" s="408"/>
      <c r="D406" s="404"/>
      <c r="E406" s="404"/>
      <c r="F406" s="404"/>
    </row>
    <row r="407" spans="2:6" ht="12.75" customHeight="1" x14ac:dyDescent="0.25">
      <c r="B407" s="407"/>
      <c r="C407" s="408"/>
      <c r="D407" s="404"/>
      <c r="E407" s="404"/>
      <c r="F407" s="404"/>
    </row>
    <row r="408" spans="2:6" ht="12.75" customHeight="1" x14ac:dyDescent="0.25">
      <c r="B408" s="407"/>
      <c r="C408" s="408"/>
      <c r="D408" s="404"/>
      <c r="E408" s="404"/>
      <c r="F408" s="404"/>
    </row>
    <row r="409" spans="2:6" ht="12.75" customHeight="1" x14ac:dyDescent="0.25">
      <c r="B409" s="407"/>
      <c r="C409" s="408"/>
      <c r="D409" s="404"/>
      <c r="E409" s="404"/>
      <c r="F409" s="404"/>
    </row>
    <row r="410" spans="2:6" ht="12.75" customHeight="1" x14ac:dyDescent="0.25">
      <c r="B410" s="407"/>
      <c r="C410" s="408"/>
      <c r="D410" s="404"/>
      <c r="E410" s="404"/>
      <c r="F410" s="404"/>
    </row>
    <row r="411" spans="2:6" ht="12.75" customHeight="1" x14ac:dyDescent="0.25">
      <c r="B411" s="407"/>
      <c r="C411" s="408"/>
      <c r="D411" s="404"/>
      <c r="E411" s="404"/>
      <c r="F411" s="404"/>
    </row>
    <row r="412" spans="2:6" ht="12.75" customHeight="1" x14ac:dyDescent="0.25">
      <c r="B412" s="407"/>
      <c r="C412" s="408"/>
      <c r="D412" s="404"/>
      <c r="E412" s="404"/>
      <c r="F412" s="404"/>
    </row>
    <row r="413" spans="2:6" ht="12.75" customHeight="1" x14ac:dyDescent="0.25">
      <c r="B413" s="407"/>
      <c r="C413" s="408"/>
      <c r="D413" s="404"/>
      <c r="E413" s="404"/>
      <c r="F413" s="404"/>
    </row>
    <row r="414" spans="2:6" ht="12.75" customHeight="1" x14ac:dyDescent="0.25">
      <c r="B414" s="407"/>
      <c r="C414" s="408"/>
      <c r="D414" s="404"/>
      <c r="E414" s="404"/>
      <c r="F414" s="404"/>
    </row>
    <row r="415" spans="2:6" ht="12.75" customHeight="1" x14ac:dyDescent="0.25">
      <c r="B415" s="407"/>
      <c r="C415" s="408"/>
      <c r="D415" s="404"/>
      <c r="E415" s="404"/>
      <c r="F415" s="404"/>
    </row>
    <row r="416" spans="2:6" ht="12.75" customHeight="1" x14ac:dyDescent="0.25">
      <c r="B416" s="407"/>
      <c r="C416" s="408"/>
      <c r="D416" s="404"/>
      <c r="E416" s="404"/>
      <c r="F416" s="404"/>
    </row>
    <row r="417" spans="2:6" ht="12.75" customHeight="1" x14ac:dyDescent="0.25">
      <c r="B417" s="407"/>
      <c r="C417" s="408"/>
      <c r="D417" s="404"/>
      <c r="E417" s="404"/>
      <c r="F417" s="404"/>
    </row>
    <row r="418" spans="2:6" ht="12.75" customHeight="1" x14ac:dyDescent="0.25">
      <c r="B418" s="407"/>
      <c r="C418" s="408"/>
      <c r="D418" s="404"/>
      <c r="E418" s="404"/>
      <c r="F418" s="404"/>
    </row>
    <row r="419" spans="2:6" ht="12.75" customHeight="1" x14ac:dyDescent="0.25">
      <c r="B419" s="407"/>
      <c r="C419" s="408"/>
      <c r="D419" s="404"/>
      <c r="E419" s="404"/>
      <c r="F419" s="404"/>
    </row>
    <row r="420" spans="2:6" ht="12.75" customHeight="1" x14ac:dyDescent="0.25">
      <c r="B420" s="407"/>
      <c r="C420" s="408"/>
      <c r="D420" s="404"/>
      <c r="E420" s="404"/>
      <c r="F420" s="404"/>
    </row>
    <row r="421" spans="2:6" ht="12.75" customHeight="1" x14ac:dyDescent="0.25">
      <c r="B421" s="407"/>
      <c r="C421" s="408"/>
      <c r="D421" s="404"/>
      <c r="E421" s="404"/>
      <c r="F421" s="404"/>
    </row>
    <row r="422" spans="2:6" ht="12.75" customHeight="1" x14ac:dyDescent="0.25">
      <c r="B422" s="407"/>
      <c r="C422" s="408"/>
      <c r="D422" s="404"/>
      <c r="E422" s="404"/>
      <c r="F422" s="404"/>
    </row>
    <row r="423" spans="2:6" ht="12.75" customHeight="1" x14ac:dyDescent="0.25">
      <c r="B423" s="407"/>
      <c r="C423" s="408"/>
      <c r="D423" s="404"/>
      <c r="E423" s="404"/>
      <c r="F423" s="404"/>
    </row>
    <row r="424" spans="2:6" ht="12.75" customHeight="1" x14ac:dyDescent="0.25">
      <c r="B424" s="407"/>
      <c r="C424" s="408"/>
      <c r="D424" s="404"/>
      <c r="E424" s="404"/>
      <c r="F424" s="404"/>
    </row>
    <row r="425" spans="2:6" ht="12.75" customHeight="1" x14ac:dyDescent="0.25">
      <c r="B425" s="407"/>
      <c r="C425" s="408"/>
      <c r="D425" s="404"/>
      <c r="E425" s="404"/>
      <c r="F425" s="404"/>
    </row>
    <row r="426" spans="2:6" ht="12.75" customHeight="1" x14ac:dyDescent="0.25">
      <c r="B426" s="407"/>
      <c r="C426" s="408"/>
      <c r="D426" s="404"/>
      <c r="E426" s="404"/>
      <c r="F426" s="404"/>
    </row>
    <row r="427" spans="2:6" ht="12.75" customHeight="1" x14ac:dyDescent="0.25">
      <c r="B427" s="407"/>
      <c r="C427" s="408"/>
      <c r="D427" s="404"/>
      <c r="E427" s="404"/>
      <c r="F427" s="404"/>
    </row>
    <row r="428" spans="2:6" ht="12.75" customHeight="1" x14ac:dyDescent="0.25">
      <c r="B428" s="407"/>
      <c r="C428" s="408"/>
      <c r="D428" s="404"/>
      <c r="E428" s="404"/>
      <c r="F428" s="404"/>
    </row>
    <row r="429" spans="2:6" ht="12.75" customHeight="1" x14ac:dyDescent="0.25">
      <c r="B429" s="407"/>
      <c r="C429" s="408"/>
      <c r="D429" s="404"/>
      <c r="E429" s="404"/>
      <c r="F429" s="404"/>
    </row>
    <row r="430" spans="2:6" ht="12.75" customHeight="1" x14ac:dyDescent="0.25">
      <c r="B430" s="407"/>
      <c r="C430" s="408"/>
      <c r="D430" s="404"/>
      <c r="E430" s="404"/>
      <c r="F430" s="404"/>
    </row>
    <row r="431" spans="2:6" ht="12.75" customHeight="1" x14ac:dyDescent="0.25">
      <c r="B431" s="407"/>
      <c r="C431" s="408"/>
      <c r="D431" s="404"/>
      <c r="E431" s="404"/>
      <c r="F431" s="404"/>
    </row>
    <row r="432" spans="2:6" ht="12.75" customHeight="1" x14ac:dyDescent="0.25">
      <c r="B432" s="407"/>
      <c r="C432" s="408"/>
      <c r="D432" s="404"/>
      <c r="E432" s="404"/>
      <c r="F432" s="404"/>
    </row>
    <row r="433" spans="2:6" ht="12.75" customHeight="1" x14ac:dyDescent="0.25">
      <c r="B433" s="407"/>
      <c r="C433" s="408"/>
      <c r="D433" s="404"/>
      <c r="E433" s="404"/>
      <c r="F433" s="404"/>
    </row>
    <row r="434" spans="2:6" ht="12.75" customHeight="1" x14ac:dyDescent="0.25">
      <c r="B434" s="407"/>
      <c r="C434" s="408"/>
      <c r="D434" s="404"/>
      <c r="E434" s="404"/>
      <c r="F434" s="404"/>
    </row>
    <row r="435" spans="2:6" ht="12.75" customHeight="1" x14ac:dyDescent="0.25">
      <c r="B435" s="407"/>
      <c r="C435" s="408"/>
      <c r="D435" s="404"/>
      <c r="E435" s="404"/>
      <c r="F435" s="404"/>
    </row>
    <row r="436" spans="2:6" ht="12.75" customHeight="1" x14ac:dyDescent="0.25">
      <c r="B436" s="407"/>
      <c r="C436" s="408"/>
      <c r="D436" s="404"/>
      <c r="E436" s="404"/>
      <c r="F436" s="404"/>
    </row>
    <row r="437" spans="2:6" ht="12.75" customHeight="1" x14ac:dyDescent="0.25">
      <c r="B437" s="407"/>
      <c r="C437" s="408"/>
      <c r="D437" s="404"/>
      <c r="E437" s="404"/>
      <c r="F437" s="404"/>
    </row>
    <row r="438" spans="2:6" ht="12.75" customHeight="1" x14ac:dyDescent="0.25">
      <c r="B438" s="407"/>
      <c r="C438" s="408"/>
      <c r="D438" s="404"/>
      <c r="E438" s="404"/>
      <c r="F438" s="404"/>
    </row>
    <row r="439" spans="2:6" ht="12.75" customHeight="1" x14ac:dyDescent="0.25">
      <c r="B439" s="407"/>
      <c r="C439" s="408"/>
      <c r="D439" s="404"/>
      <c r="E439" s="404"/>
      <c r="F439" s="404"/>
    </row>
    <row r="440" spans="2:6" ht="12.75" customHeight="1" x14ac:dyDescent="0.25">
      <c r="B440" s="407"/>
      <c r="C440" s="408"/>
      <c r="D440" s="404"/>
      <c r="E440" s="404"/>
      <c r="F440" s="404"/>
    </row>
    <row r="441" spans="2:6" ht="12.75" customHeight="1" x14ac:dyDescent="0.25">
      <c r="B441" s="407"/>
      <c r="C441" s="408"/>
      <c r="D441" s="404"/>
      <c r="E441" s="404"/>
      <c r="F441" s="404"/>
    </row>
    <row r="442" spans="2:6" ht="12.75" customHeight="1" x14ac:dyDescent="0.25">
      <c r="B442" s="407"/>
      <c r="C442" s="408"/>
      <c r="D442" s="404"/>
      <c r="E442" s="404"/>
      <c r="F442" s="404"/>
    </row>
    <row r="443" spans="2:6" ht="12.75" customHeight="1" x14ac:dyDescent="0.25">
      <c r="B443" s="407"/>
      <c r="C443" s="408"/>
      <c r="D443" s="404"/>
      <c r="E443" s="404"/>
      <c r="F443" s="404"/>
    </row>
    <row r="444" spans="2:6" ht="12.75" customHeight="1" x14ac:dyDescent="0.25">
      <c r="B444" s="407"/>
      <c r="C444" s="408"/>
      <c r="D444" s="404"/>
      <c r="E444" s="404"/>
      <c r="F444" s="404"/>
    </row>
    <row r="445" spans="2:6" ht="12.75" customHeight="1" x14ac:dyDescent="0.25">
      <c r="B445" s="407"/>
      <c r="C445" s="408"/>
      <c r="D445" s="404"/>
      <c r="E445" s="404"/>
      <c r="F445" s="404"/>
    </row>
    <row r="446" spans="2:6" ht="12.75" customHeight="1" x14ac:dyDescent="0.25">
      <c r="B446" s="407"/>
      <c r="C446" s="408"/>
      <c r="D446" s="404"/>
      <c r="E446" s="404"/>
      <c r="F446" s="404"/>
    </row>
    <row r="447" spans="2:6" ht="12.75" customHeight="1" x14ac:dyDescent="0.25">
      <c r="B447" s="407"/>
      <c r="C447" s="408"/>
      <c r="D447" s="404"/>
      <c r="E447" s="404"/>
      <c r="F447" s="404"/>
    </row>
    <row r="448" spans="2:6" ht="12.75" customHeight="1" x14ac:dyDescent="0.25">
      <c r="B448" s="407"/>
      <c r="C448" s="408"/>
      <c r="D448" s="404"/>
      <c r="E448" s="404"/>
      <c r="F448" s="404"/>
    </row>
    <row r="449" spans="2:6" ht="12.75" customHeight="1" x14ac:dyDescent="0.25">
      <c r="B449" s="407"/>
      <c r="C449" s="408"/>
      <c r="D449" s="404"/>
      <c r="E449" s="404"/>
      <c r="F449" s="404"/>
    </row>
    <row r="450" spans="2:6" ht="12.75" customHeight="1" x14ac:dyDescent="0.25">
      <c r="B450" s="407"/>
      <c r="C450" s="408"/>
      <c r="D450" s="404"/>
      <c r="E450" s="404"/>
      <c r="F450" s="404"/>
    </row>
    <row r="451" spans="2:6" ht="12.75" customHeight="1" x14ac:dyDescent="0.25">
      <c r="B451" s="407"/>
      <c r="C451" s="408"/>
      <c r="D451" s="404"/>
      <c r="E451" s="404"/>
      <c r="F451" s="404"/>
    </row>
    <row r="452" spans="2:6" ht="12.75" customHeight="1" x14ac:dyDescent="0.25">
      <c r="B452" s="407"/>
      <c r="C452" s="408"/>
      <c r="D452" s="404"/>
      <c r="E452" s="404"/>
      <c r="F452" s="404"/>
    </row>
    <row r="453" spans="2:6" ht="12.75" customHeight="1" x14ac:dyDescent="0.25">
      <c r="B453" s="407"/>
      <c r="C453" s="408"/>
      <c r="D453" s="404"/>
      <c r="E453" s="404"/>
      <c r="F453" s="404"/>
    </row>
    <row r="454" spans="2:6" ht="12.75" customHeight="1" x14ac:dyDescent="0.25">
      <c r="B454" s="407"/>
      <c r="C454" s="408"/>
      <c r="D454" s="404"/>
      <c r="E454" s="404"/>
      <c r="F454" s="404"/>
    </row>
    <row r="455" spans="2:6" ht="12.75" customHeight="1" x14ac:dyDescent="0.25">
      <c r="B455" s="407"/>
      <c r="C455" s="408"/>
      <c r="D455" s="404"/>
      <c r="E455" s="404"/>
      <c r="F455" s="404"/>
    </row>
    <row r="456" spans="2:6" ht="12.75" customHeight="1" x14ac:dyDescent="0.25">
      <c r="B456" s="407"/>
      <c r="C456" s="408"/>
      <c r="D456" s="404"/>
      <c r="E456" s="404"/>
      <c r="F456" s="404"/>
    </row>
    <row r="457" spans="2:6" ht="12.75" customHeight="1" x14ac:dyDescent="0.25">
      <c r="B457" s="407"/>
      <c r="C457" s="408"/>
      <c r="D457" s="404"/>
      <c r="E457" s="404"/>
      <c r="F457" s="404"/>
    </row>
    <row r="458" spans="2:6" ht="12.75" customHeight="1" x14ac:dyDescent="0.25">
      <c r="B458" s="407"/>
      <c r="C458" s="408"/>
      <c r="D458" s="404"/>
      <c r="E458" s="404"/>
      <c r="F458" s="404"/>
    </row>
    <row r="459" spans="2:6" ht="12.75" customHeight="1" x14ac:dyDescent="0.25">
      <c r="B459" s="407"/>
      <c r="C459" s="408"/>
      <c r="D459" s="404"/>
      <c r="E459" s="404"/>
      <c r="F459" s="404"/>
    </row>
    <row r="460" spans="2:6" ht="12.75" customHeight="1" x14ac:dyDescent="0.25">
      <c r="B460" s="407"/>
      <c r="C460" s="408"/>
      <c r="D460" s="404"/>
      <c r="E460" s="404"/>
      <c r="F460" s="404"/>
    </row>
    <row r="461" spans="2:6" ht="12.75" customHeight="1" x14ac:dyDescent="0.25">
      <c r="B461" s="407"/>
      <c r="C461" s="408"/>
      <c r="D461" s="404"/>
      <c r="E461" s="404"/>
      <c r="F461" s="404"/>
    </row>
    <row r="462" spans="2:6" ht="12.75" customHeight="1" x14ac:dyDescent="0.25">
      <c r="B462" s="407"/>
      <c r="C462" s="408"/>
      <c r="D462" s="404"/>
      <c r="E462" s="404"/>
      <c r="F462" s="404"/>
    </row>
    <row r="463" spans="2:6" ht="12.75" customHeight="1" x14ac:dyDescent="0.25">
      <c r="B463" s="407"/>
      <c r="C463" s="408"/>
      <c r="D463" s="404"/>
      <c r="E463" s="404"/>
      <c r="F463" s="404"/>
    </row>
    <row r="464" spans="2:6" ht="12.75" customHeight="1" x14ac:dyDescent="0.25">
      <c r="B464" s="407"/>
      <c r="C464" s="408"/>
      <c r="D464" s="404"/>
      <c r="E464" s="404"/>
      <c r="F464" s="404"/>
    </row>
    <row r="465" spans="2:6" ht="12.75" customHeight="1" x14ac:dyDescent="0.25">
      <c r="B465" s="407"/>
      <c r="C465" s="408"/>
      <c r="D465" s="404"/>
      <c r="E465" s="404"/>
      <c r="F465" s="404"/>
    </row>
    <row r="466" spans="2:6" ht="12.75" customHeight="1" x14ac:dyDescent="0.25">
      <c r="B466" s="407"/>
      <c r="C466" s="408"/>
      <c r="D466" s="404"/>
      <c r="E466" s="404"/>
      <c r="F466" s="404"/>
    </row>
    <row r="467" spans="2:6" ht="12.75" customHeight="1" x14ac:dyDescent="0.25">
      <c r="B467" s="407"/>
      <c r="C467" s="408"/>
      <c r="D467" s="404"/>
      <c r="E467" s="404"/>
      <c r="F467" s="404"/>
    </row>
    <row r="468" spans="2:6" ht="12.75" customHeight="1" x14ac:dyDescent="0.25">
      <c r="B468" s="407"/>
      <c r="C468" s="408"/>
      <c r="D468" s="404"/>
      <c r="E468" s="404"/>
      <c r="F468" s="404"/>
    </row>
    <row r="469" spans="2:6" ht="12.75" customHeight="1" x14ac:dyDescent="0.25">
      <c r="B469" s="407"/>
      <c r="C469" s="408"/>
      <c r="D469" s="404"/>
      <c r="E469" s="404"/>
      <c r="F469" s="404"/>
    </row>
    <row r="470" spans="2:6" ht="12.75" customHeight="1" x14ac:dyDescent="0.25">
      <c r="B470" s="407"/>
      <c r="C470" s="408"/>
      <c r="D470" s="404"/>
      <c r="E470" s="404"/>
      <c r="F470" s="404"/>
    </row>
    <row r="471" spans="2:6" ht="12.75" customHeight="1" x14ac:dyDescent="0.25">
      <c r="B471" s="407"/>
      <c r="C471" s="408"/>
      <c r="D471" s="404"/>
      <c r="E471" s="404"/>
      <c r="F471" s="404"/>
    </row>
    <row r="472" spans="2:6" ht="12.75" customHeight="1" x14ac:dyDescent="0.25">
      <c r="B472" s="407"/>
      <c r="C472" s="408"/>
      <c r="D472" s="404"/>
      <c r="E472" s="404"/>
      <c r="F472" s="404"/>
    </row>
    <row r="473" spans="2:6" ht="12.75" customHeight="1" x14ac:dyDescent="0.25">
      <c r="B473" s="407"/>
      <c r="C473" s="408"/>
      <c r="D473" s="404"/>
      <c r="E473" s="404"/>
      <c r="F473" s="404"/>
    </row>
    <row r="474" spans="2:6" ht="12.75" customHeight="1" x14ac:dyDescent="0.25">
      <c r="B474" s="407"/>
      <c r="C474" s="408"/>
      <c r="D474" s="404"/>
      <c r="E474" s="404"/>
      <c r="F474" s="404"/>
    </row>
    <row r="475" spans="2:6" ht="12.75" customHeight="1" x14ac:dyDescent="0.25">
      <c r="B475" s="407"/>
      <c r="C475" s="408"/>
      <c r="D475" s="404"/>
      <c r="E475" s="404"/>
      <c r="F475" s="404"/>
    </row>
    <row r="476" spans="2:6" ht="12.75" customHeight="1" x14ac:dyDescent="0.25">
      <c r="B476" s="407"/>
      <c r="C476" s="408"/>
      <c r="D476" s="404"/>
      <c r="E476" s="404"/>
      <c r="F476" s="404"/>
    </row>
    <row r="477" spans="2:6" ht="12.75" customHeight="1" x14ac:dyDescent="0.25">
      <c r="B477" s="407"/>
      <c r="C477" s="408"/>
      <c r="D477" s="404"/>
      <c r="E477" s="404"/>
      <c r="F477" s="404"/>
    </row>
    <row r="478" spans="2:6" ht="12.75" customHeight="1" x14ac:dyDescent="0.25">
      <c r="B478" s="407"/>
      <c r="C478" s="408"/>
      <c r="D478" s="404"/>
      <c r="E478" s="404"/>
      <c r="F478" s="404"/>
    </row>
    <row r="479" spans="2:6" ht="12.75" customHeight="1" x14ac:dyDescent="0.25">
      <c r="B479" s="407"/>
      <c r="C479" s="408"/>
      <c r="D479" s="404"/>
      <c r="E479" s="404"/>
      <c r="F479" s="404"/>
    </row>
    <row r="480" spans="2:6" ht="12.75" customHeight="1" x14ac:dyDescent="0.25">
      <c r="B480" s="407"/>
      <c r="C480" s="408"/>
      <c r="D480" s="404"/>
      <c r="E480" s="404"/>
      <c r="F480" s="404"/>
    </row>
    <row r="481" spans="2:6" ht="12.75" customHeight="1" x14ac:dyDescent="0.25">
      <c r="B481" s="407"/>
      <c r="C481" s="408"/>
      <c r="D481" s="404"/>
      <c r="E481" s="404"/>
      <c r="F481" s="404"/>
    </row>
    <row r="482" spans="2:6" ht="12.75" customHeight="1" x14ac:dyDescent="0.25">
      <c r="B482" s="407"/>
      <c r="C482" s="408"/>
      <c r="D482" s="404"/>
      <c r="E482" s="404"/>
      <c r="F482" s="404"/>
    </row>
    <row r="483" spans="2:6" ht="12.75" customHeight="1" x14ac:dyDescent="0.25">
      <c r="B483" s="407"/>
      <c r="C483" s="408"/>
      <c r="D483" s="404"/>
      <c r="E483" s="404"/>
      <c r="F483" s="404"/>
    </row>
    <row r="484" spans="2:6" ht="12.75" customHeight="1" x14ac:dyDescent="0.25">
      <c r="B484" s="407"/>
      <c r="C484" s="408"/>
      <c r="D484" s="404"/>
      <c r="E484" s="404"/>
      <c r="F484" s="404"/>
    </row>
    <row r="485" spans="2:6" ht="12.75" customHeight="1" x14ac:dyDescent="0.25">
      <c r="B485" s="407"/>
      <c r="C485" s="408"/>
      <c r="D485" s="404"/>
      <c r="E485" s="404"/>
      <c r="F485" s="404"/>
    </row>
    <row r="486" spans="2:6" ht="12.75" customHeight="1" x14ac:dyDescent="0.25">
      <c r="B486" s="407"/>
      <c r="C486" s="408"/>
      <c r="D486" s="404"/>
      <c r="E486" s="404"/>
      <c r="F486" s="404"/>
    </row>
    <row r="487" spans="2:6" ht="12.75" customHeight="1" x14ac:dyDescent="0.25">
      <c r="B487" s="407"/>
      <c r="C487" s="408"/>
      <c r="D487" s="404"/>
      <c r="E487" s="404"/>
      <c r="F487" s="404"/>
    </row>
    <row r="488" spans="2:6" ht="12.75" customHeight="1" x14ac:dyDescent="0.25">
      <c r="B488" s="407"/>
      <c r="C488" s="408"/>
      <c r="D488" s="404"/>
      <c r="E488" s="404"/>
      <c r="F488" s="404"/>
    </row>
    <row r="489" spans="2:6" ht="12.75" customHeight="1" x14ac:dyDescent="0.25">
      <c r="B489" s="407"/>
      <c r="C489" s="408"/>
      <c r="D489" s="404"/>
      <c r="E489" s="404"/>
      <c r="F489" s="404"/>
    </row>
    <row r="490" spans="2:6" ht="12.75" customHeight="1" x14ac:dyDescent="0.25">
      <c r="B490" s="407"/>
      <c r="C490" s="408"/>
      <c r="D490" s="404"/>
      <c r="E490" s="404"/>
      <c r="F490" s="404"/>
    </row>
    <row r="491" spans="2:6" ht="12.75" customHeight="1" x14ac:dyDescent="0.25">
      <c r="B491" s="407"/>
      <c r="C491" s="408"/>
      <c r="D491" s="404"/>
      <c r="E491" s="404"/>
      <c r="F491" s="404"/>
    </row>
    <row r="492" spans="2:6" ht="12.75" customHeight="1" x14ac:dyDescent="0.25">
      <c r="B492" s="407"/>
      <c r="C492" s="408"/>
      <c r="D492" s="404"/>
      <c r="E492" s="404"/>
      <c r="F492" s="404"/>
    </row>
    <row r="493" spans="2:6" ht="12.75" customHeight="1" x14ac:dyDescent="0.25">
      <c r="B493" s="407"/>
      <c r="C493" s="408"/>
      <c r="D493" s="404"/>
      <c r="E493" s="404"/>
      <c r="F493" s="404"/>
    </row>
    <row r="494" spans="2:6" ht="12.75" customHeight="1" x14ac:dyDescent="0.25">
      <c r="B494" s="407"/>
      <c r="C494" s="408"/>
      <c r="D494" s="404"/>
      <c r="E494" s="404"/>
      <c r="F494" s="404"/>
    </row>
    <row r="495" spans="2:6" ht="12.75" customHeight="1" x14ac:dyDescent="0.25">
      <c r="B495" s="407"/>
      <c r="C495" s="408"/>
      <c r="D495" s="404"/>
      <c r="E495" s="404"/>
      <c r="F495" s="404"/>
    </row>
    <row r="496" spans="2:6" ht="12.75" customHeight="1" x14ac:dyDescent="0.25">
      <c r="B496" s="407"/>
      <c r="C496" s="408"/>
      <c r="D496" s="404"/>
      <c r="E496" s="404"/>
      <c r="F496" s="404"/>
    </row>
    <row r="497" spans="2:6" ht="12.75" customHeight="1" x14ac:dyDescent="0.25">
      <c r="B497" s="407"/>
      <c r="C497" s="408"/>
      <c r="D497" s="404"/>
      <c r="E497" s="404"/>
      <c r="F497" s="404"/>
    </row>
    <row r="498" spans="2:6" ht="12.75" customHeight="1" x14ac:dyDescent="0.25">
      <c r="B498" s="407"/>
      <c r="C498" s="408"/>
      <c r="D498" s="404"/>
      <c r="E498" s="404"/>
      <c r="F498" s="404"/>
    </row>
    <row r="499" spans="2:6" ht="12.75" customHeight="1" x14ac:dyDescent="0.25">
      <c r="B499" s="407"/>
      <c r="C499" s="408"/>
      <c r="D499" s="404"/>
      <c r="E499" s="404"/>
      <c r="F499" s="404"/>
    </row>
    <row r="500" spans="2:6" ht="12.75" customHeight="1" x14ac:dyDescent="0.25">
      <c r="B500" s="407"/>
      <c r="C500" s="408"/>
      <c r="D500" s="404"/>
      <c r="E500" s="404"/>
      <c r="F500" s="404"/>
    </row>
    <row r="501" spans="2:6" ht="12.75" customHeight="1" x14ac:dyDescent="0.25">
      <c r="B501" s="407"/>
      <c r="C501" s="408"/>
      <c r="D501" s="404"/>
      <c r="E501" s="404"/>
      <c r="F501" s="404"/>
    </row>
    <row r="502" spans="2:6" ht="12.75" customHeight="1" x14ac:dyDescent="0.25">
      <c r="B502" s="407"/>
      <c r="C502" s="408"/>
      <c r="D502" s="404"/>
      <c r="E502" s="404"/>
      <c r="F502" s="404"/>
    </row>
    <row r="503" spans="2:6" ht="12.75" customHeight="1" x14ac:dyDescent="0.25">
      <c r="B503" s="407"/>
      <c r="C503" s="408"/>
      <c r="D503" s="404"/>
      <c r="E503" s="404"/>
      <c r="F503" s="404"/>
    </row>
    <row r="504" spans="2:6" ht="12.75" customHeight="1" x14ac:dyDescent="0.25">
      <c r="B504" s="407"/>
      <c r="C504" s="408"/>
      <c r="D504" s="404"/>
      <c r="E504" s="404"/>
      <c r="F504" s="404"/>
    </row>
    <row r="505" spans="2:6" ht="12.75" customHeight="1" x14ac:dyDescent="0.25">
      <c r="B505" s="407"/>
      <c r="C505" s="408"/>
      <c r="D505" s="404"/>
      <c r="E505" s="404"/>
      <c r="F505" s="404"/>
    </row>
    <row r="506" spans="2:6" ht="12.75" customHeight="1" x14ac:dyDescent="0.25">
      <c r="B506" s="407"/>
      <c r="C506" s="408"/>
      <c r="D506" s="404"/>
      <c r="E506" s="404"/>
      <c r="F506" s="404"/>
    </row>
    <row r="507" spans="2:6" ht="12.75" customHeight="1" x14ac:dyDescent="0.25">
      <c r="B507" s="407"/>
      <c r="C507" s="408"/>
      <c r="D507" s="404"/>
      <c r="E507" s="404"/>
      <c r="F507" s="404"/>
    </row>
    <row r="508" spans="2:6" ht="12.75" customHeight="1" x14ac:dyDescent="0.25">
      <c r="B508" s="407"/>
      <c r="C508" s="408"/>
      <c r="D508" s="404"/>
      <c r="E508" s="404"/>
      <c r="F508" s="404"/>
    </row>
    <row r="509" spans="2:6" ht="12.75" customHeight="1" x14ac:dyDescent="0.25">
      <c r="B509" s="407"/>
      <c r="C509" s="408"/>
      <c r="D509" s="404"/>
      <c r="E509" s="404"/>
      <c r="F509" s="404"/>
    </row>
    <row r="510" spans="2:6" ht="12.75" customHeight="1" x14ac:dyDescent="0.25">
      <c r="B510" s="407"/>
      <c r="C510" s="408"/>
      <c r="D510" s="404"/>
      <c r="E510" s="404"/>
      <c r="F510" s="404"/>
    </row>
    <row r="511" spans="2:6" ht="12.75" customHeight="1" x14ac:dyDescent="0.25">
      <c r="B511" s="407"/>
      <c r="C511" s="408"/>
      <c r="D511" s="404"/>
      <c r="E511" s="404"/>
      <c r="F511" s="404"/>
    </row>
    <row r="512" spans="2:6" ht="12.75" customHeight="1" x14ac:dyDescent="0.25">
      <c r="B512" s="407"/>
      <c r="C512" s="408"/>
      <c r="D512" s="404"/>
      <c r="E512" s="404"/>
      <c r="F512" s="404"/>
    </row>
    <row r="513" spans="2:6" ht="12.75" customHeight="1" x14ac:dyDescent="0.25">
      <c r="B513" s="407"/>
      <c r="C513" s="408"/>
      <c r="D513" s="404"/>
      <c r="E513" s="404"/>
      <c r="F513" s="404"/>
    </row>
    <row r="514" spans="2:6" ht="12.75" customHeight="1" x14ac:dyDescent="0.25">
      <c r="B514" s="407"/>
      <c r="C514" s="408"/>
      <c r="D514" s="404"/>
      <c r="E514" s="404"/>
      <c r="F514" s="404"/>
    </row>
    <row r="515" spans="2:6" ht="12.75" customHeight="1" x14ac:dyDescent="0.25">
      <c r="B515" s="407"/>
      <c r="C515" s="408"/>
      <c r="D515" s="404"/>
      <c r="E515" s="404"/>
      <c r="F515" s="404"/>
    </row>
    <row r="516" spans="2:6" ht="12.75" customHeight="1" x14ac:dyDescent="0.25">
      <c r="B516" s="407"/>
      <c r="C516" s="408"/>
      <c r="D516" s="404"/>
      <c r="E516" s="404"/>
      <c r="F516" s="404"/>
    </row>
    <row r="517" spans="2:6" ht="12.75" customHeight="1" x14ac:dyDescent="0.25">
      <c r="B517" s="407"/>
      <c r="C517" s="408"/>
      <c r="D517" s="404"/>
      <c r="E517" s="404"/>
      <c r="F517" s="404"/>
    </row>
    <row r="518" spans="2:6" ht="12.75" customHeight="1" x14ac:dyDescent="0.25">
      <c r="B518" s="407"/>
      <c r="C518" s="408"/>
      <c r="D518" s="404"/>
      <c r="E518" s="404"/>
      <c r="F518" s="404"/>
    </row>
    <row r="519" spans="2:6" ht="12.75" customHeight="1" x14ac:dyDescent="0.25">
      <c r="B519" s="407"/>
      <c r="C519" s="408"/>
      <c r="D519" s="404"/>
      <c r="E519" s="404"/>
      <c r="F519" s="404"/>
    </row>
    <row r="520" spans="2:6" ht="12.75" customHeight="1" x14ac:dyDescent="0.25">
      <c r="B520" s="407"/>
      <c r="C520" s="408"/>
      <c r="D520" s="404"/>
      <c r="E520" s="404"/>
      <c r="F520" s="404"/>
    </row>
    <row r="521" spans="2:6" ht="12.75" customHeight="1" x14ac:dyDescent="0.25">
      <c r="B521" s="407"/>
      <c r="C521" s="408"/>
      <c r="D521" s="404"/>
      <c r="E521" s="404"/>
      <c r="F521" s="404"/>
    </row>
    <row r="522" spans="2:6" ht="12.75" customHeight="1" x14ac:dyDescent="0.25">
      <c r="B522" s="407"/>
      <c r="C522" s="408"/>
      <c r="D522" s="404"/>
      <c r="E522" s="404"/>
      <c r="F522" s="404"/>
    </row>
    <row r="523" spans="2:6" ht="12.75" customHeight="1" x14ac:dyDescent="0.25">
      <c r="B523" s="407"/>
      <c r="C523" s="408"/>
      <c r="D523" s="404"/>
      <c r="E523" s="404"/>
      <c r="F523" s="404"/>
    </row>
    <row r="524" spans="2:6" ht="12.75" customHeight="1" x14ac:dyDescent="0.25">
      <c r="B524" s="407"/>
      <c r="C524" s="408"/>
      <c r="D524" s="404"/>
      <c r="E524" s="404"/>
      <c r="F524" s="404"/>
    </row>
    <row r="525" spans="2:6" ht="12.75" customHeight="1" x14ac:dyDescent="0.25">
      <c r="B525" s="407"/>
      <c r="C525" s="408"/>
      <c r="D525" s="404"/>
      <c r="E525" s="404"/>
      <c r="F525" s="404"/>
    </row>
    <row r="526" spans="2:6" ht="12.75" customHeight="1" x14ac:dyDescent="0.25">
      <c r="B526" s="407"/>
      <c r="C526" s="408"/>
      <c r="D526" s="404"/>
      <c r="E526" s="404"/>
      <c r="F526" s="404"/>
    </row>
    <row r="527" spans="2:6" ht="12.75" customHeight="1" x14ac:dyDescent="0.25">
      <c r="B527" s="407"/>
      <c r="C527" s="408"/>
      <c r="D527" s="404"/>
      <c r="E527" s="404"/>
      <c r="F527" s="404"/>
    </row>
    <row r="528" spans="2:6" ht="12.75" customHeight="1" x14ac:dyDescent="0.25">
      <c r="B528" s="407"/>
      <c r="C528" s="408"/>
      <c r="D528" s="404"/>
      <c r="E528" s="404"/>
      <c r="F528" s="404"/>
    </row>
    <row r="529" spans="2:6" ht="12.75" customHeight="1" x14ac:dyDescent="0.25">
      <c r="B529" s="407"/>
      <c r="C529" s="408"/>
      <c r="D529" s="404"/>
      <c r="E529" s="404"/>
      <c r="F529" s="404"/>
    </row>
    <row r="530" spans="2:6" ht="12.75" customHeight="1" x14ac:dyDescent="0.25">
      <c r="B530" s="407"/>
      <c r="C530" s="408"/>
      <c r="D530" s="404"/>
      <c r="E530" s="404"/>
      <c r="F530" s="404"/>
    </row>
    <row r="531" spans="2:6" ht="12.75" customHeight="1" x14ac:dyDescent="0.25">
      <c r="B531" s="407"/>
      <c r="C531" s="408"/>
      <c r="D531" s="404"/>
      <c r="E531" s="404"/>
      <c r="F531" s="404"/>
    </row>
    <row r="532" spans="2:6" ht="12.75" customHeight="1" x14ac:dyDescent="0.25">
      <c r="B532" s="407"/>
      <c r="C532" s="408"/>
      <c r="D532" s="404"/>
      <c r="E532" s="404"/>
      <c r="F532" s="404"/>
    </row>
    <row r="533" spans="2:6" ht="12.75" customHeight="1" x14ac:dyDescent="0.25">
      <c r="B533" s="407"/>
      <c r="C533" s="408"/>
      <c r="D533" s="404"/>
      <c r="E533" s="404"/>
      <c r="F533" s="404"/>
    </row>
    <row r="534" spans="2:6" ht="12.75" customHeight="1" x14ac:dyDescent="0.25">
      <c r="B534" s="407"/>
      <c r="C534" s="408"/>
      <c r="D534" s="404"/>
      <c r="E534" s="404"/>
      <c r="F534" s="404"/>
    </row>
    <row r="535" spans="2:6" ht="12.75" customHeight="1" x14ac:dyDescent="0.25">
      <c r="B535" s="407"/>
      <c r="C535" s="408"/>
      <c r="D535" s="404"/>
      <c r="E535" s="404"/>
      <c r="F535" s="404"/>
    </row>
    <row r="536" spans="2:6" ht="12.75" customHeight="1" x14ac:dyDescent="0.25">
      <c r="B536" s="407"/>
      <c r="C536" s="408"/>
      <c r="D536" s="404"/>
      <c r="E536" s="404"/>
      <c r="F536" s="404"/>
    </row>
    <row r="537" spans="2:6" ht="12.75" customHeight="1" x14ac:dyDescent="0.25">
      <c r="B537" s="407"/>
      <c r="C537" s="408"/>
      <c r="D537" s="404"/>
      <c r="E537" s="404"/>
      <c r="F537" s="404"/>
    </row>
    <row r="538" spans="2:6" ht="12.75" customHeight="1" x14ac:dyDescent="0.25">
      <c r="B538" s="407"/>
      <c r="C538" s="408"/>
      <c r="D538" s="404"/>
      <c r="E538" s="404"/>
      <c r="F538" s="404"/>
    </row>
    <row r="539" spans="2:6" ht="12.75" customHeight="1" x14ac:dyDescent="0.25">
      <c r="B539" s="407"/>
      <c r="C539" s="408"/>
      <c r="D539" s="404"/>
      <c r="E539" s="404"/>
      <c r="F539" s="404"/>
    </row>
    <row r="540" spans="2:6" ht="12.75" customHeight="1" x14ac:dyDescent="0.25">
      <c r="B540" s="407"/>
      <c r="C540" s="408"/>
      <c r="D540" s="404"/>
      <c r="E540" s="404"/>
      <c r="F540" s="404"/>
    </row>
    <row r="541" spans="2:6" ht="12.75" customHeight="1" x14ac:dyDescent="0.25">
      <c r="B541" s="407"/>
      <c r="C541" s="408"/>
      <c r="D541" s="404"/>
      <c r="E541" s="404"/>
      <c r="F541" s="404"/>
    </row>
    <row r="542" spans="2:6" ht="12.75" customHeight="1" x14ac:dyDescent="0.25">
      <c r="B542" s="407"/>
      <c r="C542" s="408"/>
      <c r="D542" s="404"/>
      <c r="E542" s="404"/>
      <c r="F542" s="404"/>
    </row>
    <row r="543" spans="2:6" ht="12.75" customHeight="1" x14ac:dyDescent="0.25">
      <c r="B543" s="407"/>
      <c r="C543" s="408"/>
      <c r="D543" s="404"/>
      <c r="E543" s="404"/>
      <c r="F543" s="404"/>
    </row>
    <row r="544" spans="2:6" ht="12.75" customHeight="1" x14ac:dyDescent="0.25">
      <c r="B544" s="407"/>
      <c r="C544" s="408"/>
      <c r="D544" s="404"/>
      <c r="E544" s="404"/>
      <c r="F544" s="404"/>
    </row>
    <row r="545" spans="2:6" ht="12.75" customHeight="1" x14ac:dyDescent="0.25">
      <c r="B545" s="407"/>
      <c r="C545" s="408"/>
      <c r="D545" s="404"/>
      <c r="E545" s="404"/>
      <c r="F545" s="404"/>
    </row>
    <row r="546" spans="2:6" ht="12.75" customHeight="1" x14ac:dyDescent="0.25">
      <c r="B546" s="407"/>
      <c r="C546" s="408"/>
      <c r="D546" s="404"/>
      <c r="E546" s="404"/>
      <c r="F546" s="404"/>
    </row>
    <row r="547" spans="2:6" ht="12.75" customHeight="1" x14ac:dyDescent="0.25">
      <c r="B547" s="407"/>
      <c r="C547" s="408"/>
      <c r="D547" s="404"/>
      <c r="E547" s="404"/>
      <c r="F547" s="404"/>
    </row>
    <row r="548" spans="2:6" ht="12.75" customHeight="1" x14ac:dyDescent="0.25">
      <c r="B548" s="407"/>
      <c r="C548" s="408"/>
      <c r="D548" s="404"/>
      <c r="E548" s="404"/>
      <c r="F548" s="404"/>
    </row>
    <row r="549" spans="2:6" ht="12.75" customHeight="1" x14ac:dyDescent="0.25">
      <c r="B549" s="407"/>
      <c r="C549" s="408"/>
      <c r="D549" s="404"/>
      <c r="E549" s="404"/>
      <c r="F549" s="404"/>
    </row>
    <row r="550" spans="2:6" ht="12.75" customHeight="1" x14ac:dyDescent="0.25">
      <c r="B550" s="407"/>
      <c r="C550" s="408"/>
      <c r="D550" s="404"/>
      <c r="E550" s="404"/>
      <c r="F550" s="404"/>
    </row>
    <row r="551" spans="2:6" ht="12.75" customHeight="1" x14ac:dyDescent="0.25">
      <c r="B551" s="407"/>
      <c r="C551" s="408"/>
      <c r="D551" s="404"/>
      <c r="E551" s="404"/>
      <c r="F551" s="404"/>
    </row>
    <row r="552" spans="2:6" ht="12.75" customHeight="1" x14ac:dyDescent="0.25">
      <c r="B552" s="407"/>
      <c r="C552" s="408"/>
      <c r="D552" s="404"/>
      <c r="E552" s="404"/>
      <c r="F552" s="404"/>
    </row>
    <row r="553" spans="2:6" ht="12.75" customHeight="1" x14ac:dyDescent="0.25">
      <c r="B553" s="407"/>
      <c r="C553" s="408"/>
      <c r="D553" s="404"/>
      <c r="E553" s="404"/>
      <c r="F553" s="404"/>
    </row>
    <row r="554" spans="2:6" ht="12.75" customHeight="1" x14ac:dyDescent="0.25">
      <c r="B554" s="407"/>
      <c r="C554" s="408"/>
      <c r="D554" s="404"/>
      <c r="E554" s="404"/>
      <c r="F554" s="404"/>
    </row>
    <row r="555" spans="2:6" ht="12.75" customHeight="1" x14ac:dyDescent="0.25">
      <c r="B555" s="407"/>
      <c r="C555" s="408"/>
      <c r="D555" s="404"/>
      <c r="E555" s="404"/>
      <c r="F555" s="404"/>
    </row>
    <row r="556" spans="2:6" ht="12.75" customHeight="1" x14ac:dyDescent="0.25">
      <c r="B556" s="407"/>
      <c r="C556" s="408"/>
      <c r="D556" s="404"/>
      <c r="E556" s="404"/>
      <c r="F556" s="404"/>
    </row>
    <row r="557" spans="2:6" ht="12.75" customHeight="1" x14ac:dyDescent="0.25">
      <c r="B557" s="407"/>
      <c r="C557" s="408"/>
      <c r="D557" s="404"/>
      <c r="E557" s="404"/>
      <c r="F557" s="404"/>
    </row>
    <row r="558" spans="2:6" ht="12.75" customHeight="1" x14ac:dyDescent="0.25">
      <c r="B558" s="407"/>
      <c r="C558" s="408"/>
      <c r="D558" s="404"/>
      <c r="E558" s="404"/>
      <c r="F558" s="404"/>
    </row>
    <row r="559" spans="2:6" ht="12.75" customHeight="1" x14ac:dyDescent="0.25">
      <c r="B559" s="407"/>
      <c r="C559" s="408"/>
      <c r="D559" s="404"/>
      <c r="E559" s="404"/>
      <c r="F559" s="404"/>
    </row>
    <row r="560" spans="2:6" ht="12.75" customHeight="1" x14ac:dyDescent="0.25">
      <c r="B560" s="407"/>
      <c r="C560" s="408"/>
      <c r="D560" s="404"/>
      <c r="E560" s="404"/>
      <c r="F560" s="404"/>
    </row>
    <row r="561" spans="2:6" ht="12.75" customHeight="1" x14ac:dyDescent="0.25">
      <c r="B561" s="407"/>
      <c r="C561" s="408"/>
      <c r="D561" s="404"/>
      <c r="E561" s="404"/>
      <c r="F561" s="404"/>
    </row>
    <row r="562" spans="2:6" ht="12.75" customHeight="1" x14ac:dyDescent="0.25">
      <c r="B562" s="407"/>
      <c r="C562" s="408"/>
      <c r="D562" s="404"/>
      <c r="E562" s="404"/>
      <c r="F562" s="404"/>
    </row>
    <row r="563" spans="2:6" ht="12.75" customHeight="1" x14ac:dyDescent="0.25">
      <c r="B563" s="407"/>
      <c r="C563" s="408"/>
      <c r="D563" s="404"/>
      <c r="E563" s="404"/>
      <c r="F563" s="404"/>
    </row>
    <row r="564" spans="2:6" ht="12.75" customHeight="1" x14ac:dyDescent="0.25">
      <c r="B564" s="407"/>
      <c r="C564" s="408"/>
      <c r="D564" s="404"/>
      <c r="E564" s="404"/>
      <c r="F564" s="404"/>
    </row>
    <row r="565" spans="2:6" ht="12.75" customHeight="1" x14ac:dyDescent="0.25">
      <c r="B565" s="407"/>
      <c r="C565" s="408"/>
      <c r="D565" s="404"/>
      <c r="E565" s="404"/>
      <c r="F565" s="404"/>
    </row>
    <row r="566" spans="2:6" ht="12.75" customHeight="1" x14ac:dyDescent="0.25">
      <c r="B566" s="407"/>
      <c r="C566" s="408"/>
      <c r="D566" s="404"/>
      <c r="E566" s="404"/>
      <c r="F566" s="404"/>
    </row>
    <row r="567" spans="2:6" ht="12.75" customHeight="1" x14ac:dyDescent="0.25">
      <c r="B567" s="407"/>
      <c r="C567" s="408"/>
      <c r="D567" s="404"/>
      <c r="E567" s="404"/>
      <c r="F567" s="404"/>
    </row>
    <row r="568" spans="2:6" ht="12.75" customHeight="1" x14ac:dyDescent="0.25">
      <c r="B568" s="407"/>
      <c r="C568" s="408"/>
      <c r="D568" s="404"/>
      <c r="E568" s="404"/>
      <c r="F568" s="404"/>
    </row>
    <row r="569" spans="2:6" ht="12.75" customHeight="1" x14ac:dyDescent="0.25">
      <c r="B569" s="407"/>
      <c r="C569" s="408"/>
      <c r="D569" s="404"/>
      <c r="E569" s="404"/>
      <c r="F569" s="404"/>
    </row>
    <row r="570" spans="2:6" ht="12.75" customHeight="1" x14ac:dyDescent="0.25">
      <c r="B570" s="407"/>
      <c r="C570" s="408"/>
      <c r="D570" s="404"/>
      <c r="E570" s="404"/>
      <c r="F570" s="404"/>
    </row>
    <row r="571" spans="2:6" ht="12.75" customHeight="1" x14ac:dyDescent="0.25">
      <c r="B571" s="407"/>
      <c r="C571" s="408"/>
      <c r="D571" s="404"/>
      <c r="E571" s="404"/>
      <c r="F571" s="404"/>
    </row>
    <row r="572" spans="2:6" ht="12.75" customHeight="1" x14ac:dyDescent="0.25">
      <c r="B572" s="407"/>
      <c r="C572" s="408"/>
      <c r="D572" s="404"/>
      <c r="E572" s="404"/>
      <c r="F572" s="404"/>
    </row>
    <row r="573" spans="2:6" ht="12.75" customHeight="1" x14ac:dyDescent="0.25">
      <c r="B573" s="407"/>
      <c r="C573" s="408"/>
      <c r="D573" s="404"/>
      <c r="E573" s="404"/>
      <c r="F573" s="404"/>
    </row>
    <row r="574" spans="2:6" ht="12.75" customHeight="1" x14ac:dyDescent="0.25">
      <c r="B574" s="407"/>
      <c r="C574" s="408"/>
      <c r="D574" s="404"/>
      <c r="E574" s="404"/>
      <c r="F574" s="404"/>
    </row>
    <row r="575" spans="2:6" ht="12.75" customHeight="1" x14ac:dyDescent="0.25">
      <c r="B575" s="407"/>
      <c r="C575" s="408"/>
      <c r="D575" s="404"/>
      <c r="E575" s="404"/>
      <c r="F575" s="404"/>
    </row>
    <row r="576" spans="2:6" ht="12.75" customHeight="1" x14ac:dyDescent="0.25">
      <c r="B576" s="407"/>
      <c r="C576" s="408"/>
      <c r="D576" s="404"/>
      <c r="E576" s="404"/>
      <c r="F576" s="404"/>
    </row>
    <row r="577" spans="2:6" ht="12.75" customHeight="1" x14ac:dyDescent="0.25">
      <c r="B577" s="407"/>
      <c r="C577" s="408"/>
      <c r="D577" s="404"/>
      <c r="E577" s="404"/>
      <c r="F577" s="404"/>
    </row>
    <row r="578" spans="2:6" ht="12.75" customHeight="1" x14ac:dyDescent="0.25">
      <c r="B578" s="407"/>
      <c r="C578" s="408"/>
      <c r="D578" s="404"/>
      <c r="E578" s="404"/>
      <c r="F578" s="404"/>
    </row>
    <row r="579" spans="2:6" ht="12.75" customHeight="1" x14ac:dyDescent="0.25">
      <c r="B579" s="407"/>
      <c r="C579" s="408"/>
      <c r="D579" s="404"/>
      <c r="E579" s="404"/>
      <c r="F579" s="404"/>
    </row>
    <row r="580" spans="2:6" ht="12.75" customHeight="1" x14ac:dyDescent="0.25">
      <c r="B580" s="407"/>
      <c r="C580" s="408"/>
      <c r="D580" s="404"/>
      <c r="E580" s="404"/>
      <c r="F580" s="404"/>
    </row>
    <row r="581" spans="2:6" ht="12.75" customHeight="1" x14ac:dyDescent="0.25">
      <c r="B581" s="407"/>
      <c r="C581" s="408"/>
      <c r="D581" s="404"/>
      <c r="E581" s="404"/>
      <c r="F581" s="404"/>
    </row>
    <row r="582" spans="2:6" ht="12.75" customHeight="1" x14ac:dyDescent="0.25">
      <c r="B582" s="407"/>
      <c r="C582" s="408"/>
      <c r="D582" s="404"/>
      <c r="E582" s="404"/>
      <c r="F582" s="404"/>
    </row>
    <row r="583" spans="2:6" ht="12.75" customHeight="1" x14ac:dyDescent="0.25">
      <c r="B583" s="407"/>
      <c r="C583" s="408"/>
      <c r="D583" s="404"/>
      <c r="E583" s="404"/>
      <c r="F583" s="404"/>
    </row>
    <row r="584" spans="2:6" ht="12.75" customHeight="1" x14ac:dyDescent="0.25">
      <c r="B584" s="407"/>
      <c r="C584" s="408"/>
      <c r="D584" s="404"/>
      <c r="E584" s="404"/>
      <c r="F584" s="404"/>
    </row>
    <row r="585" spans="2:6" ht="12.75" customHeight="1" x14ac:dyDescent="0.25">
      <c r="B585" s="407"/>
      <c r="C585" s="408"/>
      <c r="D585" s="404"/>
      <c r="E585" s="404"/>
      <c r="F585" s="404"/>
    </row>
    <row r="586" spans="2:6" ht="12.75" customHeight="1" x14ac:dyDescent="0.25">
      <c r="B586" s="407"/>
      <c r="C586" s="408"/>
      <c r="D586" s="404"/>
      <c r="E586" s="404"/>
      <c r="F586" s="404"/>
    </row>
    <row r="587" spans="2:6" ht="12.75" customHeight="1" x14ac:dyDescent="0.25">
      <c r="B587" s="407"/>
      <c r="C587" s="408"/>
      <c r="D587" s="404"/>
      <c r="E587" s="404"/>
      <c r="F587" s="404"/>
    </row>
    <row r="588" spans="2:6" ht="12.75" customHeight="1" x14ac:dyDescent="0.25">
      <c r="B588" s="407"/>
      <c r="C588" s="408"/>
      <c r="D588" s="404"/>
      <c r="E588" s="404"/>
      <c r="F588" s="404"/>
    </row>
    <row r="589" spans="2:6" ht="12.75" customHeight="1" x14ac:dyDescent="0.25">
      <c r="B589" s="407"/>
      <c r="C589" s="408"/>
      <c r="D589" s="404"/>
      <c r="E589" s="404"/>
      <c r="F589" s="404"/>
    </row>
    <row r="590" spans="2:6" ht="12.75" customHeight="1" x14ac:dyDescent="0.25">
      <c r="B590" s="407"/>
      <c r="C590" s="408"/>
      <c r="D590" s="404"/>
      <c r="E590" s="404"/>
      <c r="F590" s="404"/>
    </row>
    <row r="591" spans="2:6" ht="12.75" customHeight="1" x14ac:dyDescent="0.25">
      <c r="B591" s="407"/>
      <c r="C591" s="408"/>
      <c r="D591" s="404"/>
      <c r="E591" s="404"/>
      <c r="F591" s="404"/>
    </row>
    <row r="592" spans="2:6" ht="12.75" customHeight="1" x14ac:dyDescent="0.25">
      <c r="B592" s="407"/>
      <c r="C592" s="408"/>
      <c r="D592" s="404"/>
      <c r="E592" s="404"/>
      <c r="F592" s="404"/>
    </row>
    <row r="593" spans="2:6" ht="12.75" customHeight="1" x14ac:dyDescent="0.25">
      <c r="B593" s="407"/>
      <c r="C593" s="408"/>
      <c r="D593" s="404"/>
      <c r="E593" s="404"/>
      <c r="F593" s="404"/>
    </row>
    <row r="594" spans="2:6" ht="12.75" customHeight="1" x14ac:dyDescent="0.25">
      <c r="B594" s="407"/>
      <c r="C594" s="408"/>
      <c r="D594" s="404"/>
      <c r="E594" s="404"/>
      <c r="F594" s="404"/>
    </row>
    <row r="595" spans="2:6" ht="12.75" customHeight="1" x14ac:dyDescent="0.25">
      <c r="B595" s="407"/>
      <c r="C595" s="408"/>
      <c r="D595" s="404"/>
      <c r="E595" s="404"/>
      <c r="F595" s="404"/>
    </row>
    <row r="596" spans="2:6" ht="12.75" customHeight="1" x14ac:dyDescent="0.25">
      <c r="B596" s="407"/>
      <c r="C596" s="408"/>
      <c r="D596" s="404"/>
      <c r="E596" s="404"/>
      <c r="F596" s="404"/>
    </row>
    <row r="597" spans="2:6" ht="12.75" customHeight="1" x14ac:dyDescent="0.25">
      <c r="B597" s="407"/>
      <c r="C597" s="408"/>
      <c r="D597" s="404"/>
      <c r="E597" s="404"/>
      <c r="F597" s="404"/>
    </row>
    <row r="598" spans="2:6" ht="12.75" customHeight="1" x14ac:dyDescent="0.25">
      <c r="B598" s="407"/>
      <c r="C598" s="408"/>
      <c r="D598" s="404"/>
      <c r="E598" s="404"/>
      <c r="F598" s="404"/>
    </row>
    <row r="599" spans="2:6" ht="12.75" customHeight="1" x14ac:dyDescent="0.25">
      <c r="B599" s="407"/>
      <c r="C599" s="408"/>
      <c r="D599" s="404"/>
      <c r="E599" s="404"/>
      <c r="F599" s="404"/>
    </row>
    <row r="600" spans="2:6" ht="12.75" customHeight="1" x14ac:dyDescent="0.25">
      <c r="B600" s="407"/>
      <c r="C600" s="408"/>
      <c r="D600" s="404"/>
      <c r="E600" s="404"/>
      <c r="F600" s="404"/>
    </row>
    <row r="601" spans="2:6" ht="12.75" customHeight="1" x14ac:dyDescent="0.25">
      <c r="B601" s="407"/>
      <c r="C601" s="408"/>
      <c r="D601" s="404"/>
      <c r="E601" s="404"/>
      <c r="F601" s="404"/>
    </row>
    <row r="602" spans="2:6" ht="12.75" customHeight="1" x14ac:dyDescent="0.25">
      <c r="B602" s="407"/>
      <c r="C602" s="408"/>
      <c r="D602" s="404"/>
      <c r="E602" s="404"/>
      <c r="F602" s="404"/>
    </row>
    <row r="603" spans="2:6" ht="12.75" customHeight="1" x14ac:dyDescent="0.25">
      <c r="B603" s="407"/>
      <c r="C603" s="408"/>
      <c r="D603" s="404"/>
      <c r="E603" s="404"/>
      <c r="F603" s="404"/>
    </row>
    <row r="604" spans="2:6" ht="12.75" customHeight="1" x14ac:dyDescent="0.25">
      <c r="B604" s="407"/>
      <c r="C604" s="408"/>
      <c r="D604" s="404"/>
      <c r="E604" s="404"/>
      <c r="F604" s="404"/>
    </row>
    <row r="605" spans="2:6" ht="12.75" customHeight="1" x14ac:dyDescent="0.25">
      <c r="B605" s="407"/>
      <c r="C605" s="408"/>
      <c r="D605" s="404"/>
      <c r="E605" s="404"/>
      <c r="F605" s="404"/>
    </row>
    <row r="606" spans="2:6" ht="12.75" customHeight="1" x14ac:dyDescent="0.25">
      <c r="B606" s="407"/>
      <c r="C606" s="408"/>
      <c r="D606" s="404"/>
      <c r="E606" s="404"/>
      <c r="F606" s="404"/>
    </row>
    <row r="607" spans="2:6" ht="12.75" customHeight="1" x14ac:dyDescent="0.25">
      <c r="B607" s="407"/>
      <c r="C607" s="408"/>
      <c r="D607" s="404"/>
      <c r="E607" s="404"/>
      <c r="F607" s="404"/>
    </row>
    <row r="608" spans="2:6" ht="12.75" customHeight="1" x14ac:dyDescent="0.25">
      <c r="B608" s="407"/>
      <c r="C608" s="408"/>
      <c r="D608" s="404"/>
      <c r="E608" s="404"/>
      <c r="F608" s="404"/>
    </row>
    <row r="609" spans="2:6" ht="12.75" customHeight="1" x14ac:dyDescent="0.25">
      <c r="B609" s="407"/>
      <c r="C609" s="408"/>
      <c r="D609" s="404"/>
      <c r="E609" s="404"/>
      <c r="F609" s="404"/>
    </row>
    <row r="610" spans="2:6" ht="12.75" customHeight="1" x14ac:dyDescent="0.25">
      <c r="B610" s="407"/>
      <c r="C610" s="408"/>
      <c r="D610" s="404"/>
      <c r="E610" s="404"/>
      <c r="F610" s="404"/>
    </row>
    <row r="611" spans="2:6" ht="12.75" customHeight="1" x14ac:dyDescent="0.25">
      <c r="B611" s="407"/>
      <c r="C611" s="408"/>
      <c r="D611" s="404"/>
      <c r="E611" s="404"/>
      <c r="F611" s="404"/>
    </row>
    <row r="612" spans="2:6" ht="12.75" customHeight="1" x14ac:dyDescent="0.25">
      <c r="B612" s="407"/>
      <c r="C612" s="408"/>
      <c r="D612" s="404"/>
      <c r="E612" s="404"/>
      <c r="F612" s="404"/>
    </row>
    <row r="613" spans="2:6" ht="12.75" customHeight="1" x14ac:dyDescent="0.25">
      <c r="B613" s="407"/>
      <c r="C613" s="408"/>
      <c r="D613" s="404"/>
      <c r="E613" s="404"/>
      <c r="F613" s="404"/>
    </row>
    <row r="614" spans="2:6" ht="12.75" customHeight="1" x14ac:dyDescent="0.25">
      <c r="B614" s="407"/>
      <c r="C614" s="408"/>
      <c r="D614" s="404"/>
      <c r="E614" s="404"/>
      <c r="F614" s="404"/>
    </row>
    <row r="615" spans="2:6" ht="12.75" customHeight="1" x14ac:dyDescent="0.25">
      <c r="B615" s="407"/>
      <c r="C615" s="408"/>
      <c r="D615" s="404"/>
      <c r="E615" s="404"/>
      <c r="F615" s="404"/>
    </row>
    <row r="616" spans="2:6" ht="12.75" customHeight="1" x14ac:dyDescent="0.25">
      <c r="B616" s="407"/>
      <c r="C616" s="408"/>
      <c r="D616" s="404"/>
      <c r="E616" s="404"/>
      <c r="F616" s="404"/>
    </row>
    <row r="617" spans="2:6" ht="12.75" customHeight="1" x14ac:dyDescent="0.25">
      <c r="B617" s="407"/>
      <c r="C617" s="408"/>
      <c r="D617" s="404"/>
      <c r="E617" s="404"/>
      <c r="F617" s="404"/>
    </row>
    <row r="618" spans="2:6" ht="12.75" customHeight="1" x14ac:dyDescent="0.25">
      <c r="B618" s="407"/>
      <c r="C618" s="408"/>
      <c r="D618" s="404"/>
      <c r="E618" s="404"/>
      <c r="F618" s="404"/>
    </row>
    <row r="619" spans="2:6" ht="12.75" customHeight="1" x14ac:dyDescent="0.25">
      <c r="B619" s="407"/>
      <c r="C619" s="408"/>
      <c r="D619" s="404"/>
      <c r="E619" s="404"/>
      <c r="F619" s="404"/>
    </row>
    <row r="620" spans="2:6" ht="12.75" customHeight="1" x14ac:dyDescent="0.25">
      <c r="B620" s="407"/>
      <c r="C620" s="408"/>
      <c r="D620" s="404"/>
      <c r="E620" s="404"/>
      <c r="F620" s="404"/>
    </row>
    <row r="621" spans="2:6" ht="12.75" customHeight="1" x14ac:dyDescent="0.25">
      <c r="B621" s="407"/>
      <c r="C621" s="408"/>
      <c r="D621" s="404"/>
      <c r="E621" s="404"/>
      <c r="F621" s="404"/>
    </row>
    <row r="622" spans="2:6" ht="12.75" customHeight="1" x14ac:dyDescent="0.25">
      <c r="B622" s="407"/>
      <c r="C622" s="408"/>
      <c r="D622" s="404"/>
      <c r="E622" s="404"/>
      <c r="F622" s="404"/>
    </row>
    <row r="623" spans="2:6" ht="12.75" customHeight="1" x14ac:dyDescent="0.25">
      <c r="B623" s="407"/>
      <c r="C623" s="408"/>
      <c r="D623" s="404"/>
      <c r="E623" s="404"/>
      <c r="F623" s="404"/>
    </row>
    <row r="624" spans="2:6" ht="12.75" customHeight="1" x14ac:dyDescent="0.25">
      <c r="B624" s="407"/>
      <c r="C624" s="408"/>
      <c r="D624" s="404"/>
      <c r="E624" s="404"/>
      <c r="F624" s="404"/>
    </row>
    <row r="625" spans="2:6" ht="12.75" customHeight="1" x14ac:dyDescent="0.25">
      <c r="B625" s="407"/>
      <c r="C625" s="408"/>
      <c r="D625" s="404"/>
      <c r="E625" s="404"/>
      <c r="F625" s="404"/>
    </row>
    <row r="626" spans="2:6" ht="12.75" customHeight="1" x14ac:dyDescent="0.25">
      <c r="B626" s="407"/>
      <c r="C626" s="408"/>
      <c r="D626" s="404"/>
      <c r="E626" s="404"/>
      <c r="F626" s="404"/>
    </row>
    <row r="627" spans="2:6" ht="12.75" customHeight="1" x14ac:dyDescent="0.25">
      <c r="B627" s="407"/>
      <c r="C627" s="408"/>
      <c r="D627" s="404"/>
      <c r="E627" s="404"/>
      <c r="F627" s="404"/>
    </row>
    <row r="628" spans="2:6" ht="12.75" customHeight="1" x14ac:dyDescent="0.25">
      <c r="B628" s="407"/>
      <c r="C628" s="408"/>
      <c r="D628" s="404"/>
      <c r="E628" s="404"/>
      <c r="F628" s="404"/>
    </row>
    <row r="629" spans="2:6" ht="12.75" customHeight="1" x14ac:dyDescent="0.25">
      <c r="B629" s="407"/>
      <c r="C629" s="408"/>
      <c r="D629" s="404"/>
      <c r="E629" s="404"/>
      <c r="F629" s="404"/>
    </row>
    <row r="630" spans="2:6" ht="12.75" customHeight="1" x14ac:dyDescent="0.25">
      <c r="B630" s="407"/>
      <c r="C630" s="408"/>
      <c r="D630" s="404"/>
      <c r="E630" s="404"/>
      <c r="F630" s="404"/>
    </row>
    <row r="631" spans="2:6" ht="12.75" customHeight="1" x14ac:dyDescent="0.25">
      <c r="B631" s="407"/>
      <c r="C631" s="408"/>
      <c r="D631" s="404"/>
      <c r="E631" s="404"/>
      <c r="F631" s="404"/>
    </row>
    <row r="632" spans="2:6" ht="12.75" customHeight="1" x14ac:dyDescent="0.25">
      <c r="B632" s="407"/>
      <c r="C632" s="408"/>
      <c r="D632" s="404"/>
      <c r="E632" s="404"/>
      <c r="F632" s="404"/>
    </row>
    <row r="633" spans="2:6" ht="12.75" customHeight="1" x14ac:dyDescent="0.25">
      <c r="B633" s="407"/>
      <c r="C633" s="408"/>
      <c r="D633" s="404"/>
      <c r="E633" s="404"/>
      <c r="F633" s="404"/>
    </row>
    <row r="634" spans="2:6" ht="12.75" customHeight="1" x14ac:dyDescent="0.25">
      <c r="B634" s="407"/>
      <c r="C634" s="408"/>
      <c r="D634" s="404"/>
      <c r="E634" s="404"/>
      <c r="F634" s="404"/>
    </row>
    <row r="635" spans="2:6" ht="12.75" customHeight="1" x14ac:dyDescent="0.25">
      <c r="B635" s="407"/>
      <c r="C635" s="408"/>
      <c r="D635" s="404"/>
      <c r="E635" s="404"/>
      <c r="F635" s="404"/>
    </row>
    <row r="636" spans="2:6" ht="12.75" customHeight="1" x14ac:dyDescent="0.25">
      <c r="B636" s="407"/>
      <c r="C636" s="408"/>
      <c r="D636" s="404"/>
      <c r="E636" s="404"/>
      <c r="F636" s="404"/>
    </row>
    <row r="637" spans="2:6" ht="12.75" customHeight="1" x14ac:dyDescent="0.25">
      <c r="B637" s="407"/>
      <c r="C637" s="408"/>
      <c r="D637" s="404"/>
      <c r="E637" s="404"/>
      <c r="F637" s="404"/>
    </row>
    <row r="638" spans="2:6" ht="12.75" customHeight="1" x14ac:dyDescent="0.25">
      <c r="B638" s="407"/>
      <c r="C638" s="408"/>
      <c r="D638" s="404"/>
      <c r="E638" s="404"/>
      <c r="F638" s="404"/>
    </row>
    <row r="639" spans="2:6" ht="12.75" customHeight="1" x14ac:dyDescent="0.25">
      <c r="B639" s="407"/>
      <c r="C639" s="408"/>
      <c r="D639" s="404"/>
      <c r="E639" s="404"/>
      <c r="F639" s="404"/>
    </row>
    <row r="640" spans="2:6" ht="12.75" customHeight="1" x14ac:dyDescent="0.25">
      <c r="B640" s="407"/>
      <c r="C640" s="408"/>
      <c r="D640" s="404"/>
      <c r="E640" s="404"/>
      <c r="F640" s="404"/>
    </row>
    <row r="641" spans="2:6" ht="12.75" customHeight="1" x14ac:dyDescent="0.25">
      <c r="B641" s="407"/>
      <c r="C641" s="408"/>
      <c r="D641" s="404"/>
      <c r="E641" s="404"/>
      <c r="F641" s="404"/>
    </row>
    <row r="642" spans="2:6" ht="12.75" customHeight="1" x14ac:dyDescent="0.25">
      <c r="B642" s="407"/>
      <c r="C642" s="408"/>
      <c r="D642" s="404"/>
      <c r="E642" s="404"/>
      <c r="F642" s="404"/>
    </row>
    <row r="643" spans="2:6" ht="12.75" customHeight="1" x14ac:dyDescent="0.25">
      <c r="B643" s="407"/>
      <c r="C643" s="408"/>
      <c r="D643" s="404"/>
      <c r="E643" s="404"/>
      <c r="F643" s="404"/>
    </row>
    <row r="644" spans="2:6" ht="12.75" customHeight="1" x14ac:dyDescent="0.25">
      <c r="B644" s="407"/>
      <c r="C644" s="408"/>
      <c r="D644" s="404"/>
      <c r="E644" s="404"/>
      <c r="F644" s="404"/>
    </row>
    <row r="645" spans="2:6" ht="12.75" customHeight="1" x14ac:dyDescent="0.25">
      <c r="B645" s="407"/>
      <c r="C645" s="408"/>
      <c r="D645" s="404"/>
      <c r="E645" s="404"/>
      <c r="F645" s="404"/>
    </row>
    <row r="646" spans="2:6" ht="12.75" customHeight="1" x14ac:dyDescent="0.25">
      <c r="B646" s="407"/>
      <c r="C646" s="408"/>
      <c r="D646" s="404"/>
      <c r="E646" s="404"/>
      <c r="F646" s="404"/>
    </row>
    <row r="647" spans="2:6" ht="12.75" customHeight="1" x14ac:dyDescent="0.25">
      <c r="B647" s="407"/>
      <c r="C647" s="408"/>
      <c r="D647" s="404"/>
      <c r="E647" s="404"/>
      <c r="F647" s="404"/>
    </row>
    <row r="648" spans="2:6" ht="12.75" customHeight="1" x14ac:dyDescent="0.25">
      <c r="B648" s="407"/>
      <c r="C648" s="408"/>
      <c r="D648" s="404"/>
      <c r="E648" s="404"/>
      <c r="F648" s="404"/>
    </row>
    <row r="649" spans="2:6" ht="12.75" customHeight="1" x14ac:dyDescent="0.25">
      <c r="B649" s="407"/>
      <c r="C649" s="408"/>
      <c r="D649" s="404"/>
      <c r="E649" s="404"/>
      <c r="F649" s="404"/>
    </row>
    <row r="650" spans="2:6" ht="12.75" customHeight="1" x14ac:dyDescent="0.25">
      <c r="B650" s="407"/>
      <c r="C650" s="408"/>
      <c r="D650" s="404"/>
      <c r="E650" s="404"/>
      <c r="F650" s="404"/>
    </row>
    <row r="651" spans="2:6" ht="12.75" customHeight="1" x14ac:dyDescent="0.25">
      <c r="B651" s="407"/>
      <c r="C651" s="408"/>
      <c r="D651" s="404"/>
      <c r="E651" s="404"/>
      <c r="F651" s="404"/>
    </row>
    <row r="652" spans="2:6" ht="12.75" customHeight="1" x14ac:dyDescent="0.25">
      <c r="B652" s="407"/>
      <c r="C652" s="408"/>
      <c r="D652" s="404"/>
      <c r="E652" s="404"/>
      <c r="F652" s="404"/>
    </row>
    <row r="653" spans="2:6" ht="12.75" customHeight="1" x14ac:dyDescent="0.25">
      <c r="B653" s="407"/>
      <c r="C653" s="408"/>
      <c r="D653" s="404"/>
      <c r="E653" s="404"/>
      <c r="F653" s="404"/>
    </row>
    <row r="654" spans="2:6" ht="12.75" customHeight="1" x14ac:dyDescent="0.25">
      <c r="B654" s="407"/>
      <c r="C654" s="408"/>
      <c r="D654" s="404"/>
      <c r="E654" s="404"/>
      <c r="F654" s="404"/>
    </row>
    <row r="655" spans="2:6" ht="12.75" customHeight="1" x14ac:dyDescent="0.25">
      <c r="B655" s="407"/>
      <c r="C655" s="408"/>
      <c r="D655" s="404"/>
      <c r="E655" s="404"/>
      <c r="F655" s="404"/>
    </row>
    <row r="656" spans="2:6" ht="12.75" customHeight="1" x14ac:dyDescent="0.25">
      <c r="B656" s="407"/>
      <c r="C656" s="408"/>
      <c r="D656" s="404"/>
      <c r="E656" s="404"/>
      <c r="F656" s="404"/>
    </row>
    <row r="657" spans="2:6" ht="12.75" customHeight="1" x14ac:dyDescent="0.25">
      <c r="B657" s="407"/>
      <c r="C657" s="408"/>
      <c r="D657" s="404"/>
      <c r="E657" s="404"/>
      <c r="F657" s="404"/>
    </row>
    <row r="658" spans="2:6" ht="12.75" customHeight="1" x14ac:dyDescent="0.25">
      <c r="B658" s="407"/>
      <c r="C658" s="408"/>
      <c r="D658" s="404"/>
      <c r="E658" s="404"/>
      <c r="F658" s="404"/>
    </row>
    <row r="659" spans="2:6" ht="12.75" customHeight="1" x14ac:dyDescent="0.25">
      <c r="B659" s="407"/>
      <c r="C659" s="408"/>
      <c r="D659" s="404"/>
      <c r="E659" s="404"/>
      <c r="F659" s="404"/>
    </row>
    <row r="660" spans="2:6" ht="12.75" customHeight="1" x14ac:dyDescent="0.25">
      <c r="B660" s="407"/>
      <c r="C660" s="408"/>
      <c r="D660" s="404"/>
      <c r="E660" s="404"/>
      <c r="F660" s="404"/>
    </row>
    <row r="661" spans="2:6" ht="12.75" customHeight="1" x14ac:dyDescent="0.25">
      <c r="B661" s="407"/>
      <c r="C661" s="408"/>
      <c r="D661" s="404"/>
      <c r="E661" s="404"/>
      <c r="F661" s="404"/>
    </row>
    <row r="662" spans="2:6" ht="12.75" customHeight="1" x14ac:dyDescent="0.25">
      <c r="B662" s="407"/>
      <c r="C662" s="408"/>
      <c r="D662" s="404"/>
      <c r="E662" s="404"/>
      <c r="F662" s="404"/>
    </row>
    <row r="663" spans="2:6" ht="12.75" customHeight="1" x14ac:dyDescent="0.25">
      <c r="B663" s="407"/>
      <c r="C663" s="408"/>
      <c r="D663" s="404"/>
      <c r="E663" s="404"/>
      <c r="F663" s="404"/>
    </row>
    <row r="664" spans="2:6" ht="12.75" customHeight="1" x14ac:dyDescent="0.25">
      <c r="B664" s="407"/>
      <c r="C664" s="408"/>
      <c r="D664" s="404"/>
      <c r="E664" s="404"/>
      <c r="F664" s="404"/>
    </row>
    <row r="665" spans="2:6" ht="12.75" customHeight="1" x14ac:dyDescent="0.25">
      <c r="B665" s="407"/>
      <c r="C665" s="408"/>
      <c r="D665" s="404"/>
      <c r="E665" s="404"/>
      <c r="F665" s="404"/>
    </row>
    <row r="666" spans="2:6" ht="12.75" customHeight="1" x14ac:dyDescent="0.25">
      <c r="B666" s="407"/>
      <c r="C666" s="408"/>
      <c r="D666" s="404"/>
      <c r="E666" s="404"/>
      <c r="F666" s="404"/>
    </row>
    <row r="667" spans="2:6" ht="12.75" customHeight="1" x14ac:dyDescent="0.25">
      <c r="B667" s="407"/>
      <c r="C667" s="408"/>
      <c r="D667" s="404"/>
      <c r="E667" s="404"/>
      <c r="F667" s="404"/>
    </row>
    <row r="668" spans="2:6" ht="12.75" customHeight="1" x14ac:dyDescent="0.25">
      <c r="B668" s="407"/>
      <c r="C668" s="408"/>
      <c r="D668" s="404"/>
      <c r="E668" s="404"/>
      <c r="F668" s="404"/>
    </row>
    <row r="669" spans="2:6" ht="12.75" customHeight="1" x14ac:dyDescent="0.25">
      <c r="B669" s="407"/>
      <c r="C669" s="408"/>
      <c r="D669" s="404"/>
      <c r="E669" s="404"/>
      <c r="F669" s="404"/>
    </row>
    <row r="670" spans="2:6" ht="12.75" customHeight="1" x14ac:dyDescent="0.25">
      <c r="B670" s="407"/>
      <c r="C670" s="408"/>
      <c r="D670" s="404"/>
      <c r="E670" s="404"/>
      <c r="F670" s="404"/>
    </row>
    <row r="671" spans="2:6" ht="12.75" customHeight="1" x14ac:dyDescent="0.25">
      <c r="B671" s="407"/>
      <c r="C671" s="408"/>
      <c r="D671" s="404"/>
      <c r="E671" s="404"/>
      <c r="F671" s="404"/>
    </row>
    <row r="672" spans="2:6" ht="12.75" customHeight="1" x14ac:dyDescent="0.25">
      <c r="B672" s="407"/>
      <c r="C672" s="408"/>
      <c r="D672" s="404"/>
      <c r="E672" s="404"/>
      <c r="F672" s="404"/>
    </row>
    <row r="673" spans="2:6" ht="12.75" customHeight="1" x14ac:dyDescent="0.25">
      <c r="B673" s="407"/>
      <c r="C673" s="408"/>
      <c r="D673" s="404"/>
      <c r="E673" s="404"/>
      <c r="F673" s="404"/>
    </row>
    <row r="674" spans="2:6" ht="12.75" customHeight="1" x14ac:dyDescent="0.25">
      <c r="B674" s="407"/>
      <c r="C674" s="408"/>
      <c r="D674" s="404"/>
      <c r="E674" s="404"/>
      <c r="F674" s="404"/>
    </row>
    <row r="675" spans="2:6" ht="12.75" customHeight="1" x14ac:dyDescent="0.25">
      <c r="B675" s="407"/>
      <c r="C675" s="408"/>
      <c r="D675" s="404"/>
      <c r="E675" s="404"/>
      <c r="F675" s="404"/>
    </row>
    <row r="676" spans="2:6" ht="12.75" customHeight="1" x14ac:dyDescent="0.25">
      <c r="B676" s="407"/>
      <c r="C676" s="408"/>
      <c r="D676" s="404"/>
      <c r="E676" s="404"/>
      <c r="F676" s="404"/>
    </row>
    <row r="677" spans="2:6" ht="12.75" customHeight="1" x14ac:dyDescent="0.25">
      <c r="B677" s="407"/>
      <c r="C677" s="408"/>
      <c r="D677" s="404"/>
      <c r="E677" s="404"/>
      <c r="F677" s="404"/>
    </row>
    <row r="678" spans="2:6" ht="12.75" customHeight="1" x14ac:dyDescent="0.25">
      <c r="B678" s="407"/>
      <c r="C678" s="408"/>
      <c r="D678" s="404"/>
      <c r="E678" s="404"/>
      <c r="F678" s="404"/>
    </row>
    <row r="679" spans="2:6" ht="12.75" customHeight="1" x14ac:dyDescent="0.25">
      <c r="B679" s="407"/>
      <c r="C679" s="408"/>
      <c r="D679" s="404"/>
      <c r="E679" s="404"/>
      <c r="F679" s="404"/>
    </row>
    <row r="680" spans="2:6" ht="12.75" customHeight="1" x14ac:dyDescent="0.25">
      <c r="B680" s="407"/>
      <c r="C680" s="408"/>
      <c r="D680" s="404"/>
      <c r="E680" s="404"/>
      <c r="F680" s="404"/>
    </row>
    <row r="681" spans="2:6" ht="12.75" customHeight="1" x14ac:dyDescent="0.25">
      <c r="B681" s="407"/>
      <c r="C681" s="408"/>
      <c r="D681" s="404"/>
      <c r="E681" s="404"/>
      <c r="F681" s="404"/>
    </row>
    <row r="682" spans="2:6" ht="12.75" customHeight="1" x14ac:dyDescent="0.25">
      <c r="B682" s="407"/>
      <c r="C682" s="408"/>
      <c r="D682" s="404"/>
      <c r="E682" s="404"/>
      <c r="F682" s="404"/>
    </row>
    <row r="683" spans="2:6" ht="12.75" customHeight="1" x14ac:dyDescent="0.25">
      <c r="B683" s="407"/>
      <c r="C683" s="408"/>
      <c r="D683" s="404"/>
      <c r="E683" s="404"/>
      <c r="F683" s="404"/>
    </row>
    <row r="684" spans="2:6" ht="12.75" customHeight="1" x14ac:dyDescent="0.25">
      <c r="B684" s="407"/>
      <c r="C684" s="408"/>
      <c r="D684" s="404"/>
      <c r="E684" s="404"/>
      <c r="F684" s="404"/>
    </row>
    <row r="685" spans="2:6" ht="12.75" customHeight="1" x14ac:dyDescent="0.25">
      <c r="B685" s="407"/>
      <c r="C685" s="408"/>
      <c r="D685" s="404"/>
      <c r="E685" s="404"/>
      <c r="F685" s="404"/>
    </row>
    <row r="686" spans="2:6" ht="12.75" customHeight="1" x14ac:dyDescent="0.25">
      <c r="B686" s="407"/>
      <c r="C686" s="408"/>
      <c r="D686" s="404"/>
      <c r="E686" s="404"/>
      <c r="F686" s="404"/>
    </row>
    <row r="687" spans="2:6" ht="12.75" customHeight="1" x14ac:dyDescent="0.25">
      <c r="B687" s="407"/>
      <c r="C687" s="408"/>
      <c r="D687" s="404"/>
      <c r="E687" s="404"/>
      <c r="F687" s="404"/>
    </row>
    <row r="688" spans="2:6" ht="12.75" customHeight="1" x14ac:dyDescent="0.25">
      <c r="B688" s="407"/>
      <c r="C688" s="408"/>
      <c r="D688" s="404"/>
      <c r="E688" s="404"/>
      <c r="F688" s="404"/>
    </row>
    <row r="689" spans="2:6" ht="12.75" customHeight="1" x14ac:dyDescent="0.25">
      <c r="B689" s="407"/>
      <c r="C689" s="408"/>
      <c r="D689" s="404"/>
      <c r="E689" s="404"/>
      <c r="F689" s="404"/>
    </row>
    <row r="690" spans="2:6" ht="12.75" customHeight="1" x14ac:dyDescent="0.25">
      <c r="B690" s="407"/>
      <c r="C690" s="408"/>
      <c r="D690" s="404"/>
      <c r="E690" s="404"/>
      <c r="F690" s="404"/>
    </row>
    <row r="691" spans="2:6" ht="12.75" customHeight="1" x14ac:dyDescent="0.25">
      <c r="B691" s="407"/>
      <c r="C691" s="408"/>
      <c r="D691" s="404"/>
      <c r="E691" s="404"/>
      <c r="F691" s="404"/>
    </row>
    <row r="692" spans="2:6" ht="12.75" customHeight="1" x14ac:dyDescent="0.25">
      <c r="B692" s="407"/>
      <c r="C692" s="408"/>
      <c r="D692" s="404"/>
      <c r="E692" s="404"/>
      <c r="F692" s="404"/>
    </row>
    <row r="693" spans="2:6" ht="12.75" customHeight="1" x14ac:dyDescent="0.25">
      <c r="B693" s="407"/>
      <c r="C693" s="408"/>
      <c r="D693" s="404"/>
      <c r="E693" s="404"/>
      <c r="F693" s="404"/>
    </row>
    <row r="694" spans="2:6" ht="12.75" customHeight="1" x14ac:dyDescent="0.25">
      <c r="B694" s="407"/>
      <c r="C694" s="408"/>
      <c r="D694" s="404"/>
      <c r="E694" s="404"/>
      <c r="F694" s="404"/>
    </row>
    <row r="695" spans="2:6" ht="12.75" customHeight="1" x14ac:dyDescent="0.25">
      <c r="B695" s="407"/>
      <c r="C695" s="408"/>
      <c r="D695" s="404"/>
      <c r="E695" s="404"/>
      <c r="F695" s="404"/>
    </row>
    <row r="696" spans="2:6" ht="12.75" customHeight="1" x14ac:dyDescent="0.25">
      <c r="B696" s="407"/>
      <c r="C696" s="408"/>
      <c r="D696" s="404"/>
      <c r="E696" s="404"/>
      <c r="F696" s="404"/>
    </row>
    <row r="697" spans="2:6" ht="12.75" customHeight="1" x14ac:dyDescent="0.25">
      <c r="B697" s="407"/>
      <c r="C697" s="408"/>
      <c r="D697" s="404"/>
      <c r="E697" s="404"/>
      <c r="F697" s="404"/>
    </row>
    <row r="698" spans="2:6" ht="12.75" customHeight="1" x14ac:dyDescent="0.25">
      <c r="B698" s="407"/>
      <c r="C698" s="408"/>
      <c r="D698" s="404"/>
      <c r="E698" s="404"/>
      <c r="F698" s="404"/>
    </row>
    <row r="699" spans="2:6" ht="12.75" customHeight="1" x14ac:dyDescent="0.25">
      <c r="B699" s="407"/>
      <c r="C699" s="408"/>
      <c r="D699" s="404"/>
      <c r="E699" s="404"/>
      <c r="F699" s="404"/>
    </row>
    <row r="700" spans="2:6" ht="12.75" customHeight="1" x14ac:dyDescent="0.25">
      <c r="B700" s="407"/>
      <c r="C700" s="408"/>
      <c r="D700" s="404"/>
      <c r="E700" s="404"/>
      <c r="F700" s="404"/>
    </row>
    <row r="701" spans="2:6" ht="12.75" customHeight="1" x14ac:dyDescent="0.25">
      <c r="B701" s="407"/>
      <c r="C701" s="408"/>
      <c r="D701" s="404"/>
      <c r="E701" s="404"/>
      <c r="F701" s="404"/>
    </row>
    <row r="702" spans="2:6" ht="12.75" customHeight="1" x14ac:dyDescent="0.25">
      <c r="B702" s="407"/>
      <c r="C702" s="408"/>
      <c r="D702" s="404"/>
      <c r="E702" s="404"/>
      <c r="F702" s="404"/>
    </row>
    <row r="703" spans="2:6" ht="12.75" customHeight="1" x14ac:dyDescent="0.25">
      <c r="B703" s="407"/>
      <c r="C703" s="408"/>
      <c r="D703" s="404"/>
      <c r="E703" s="404"/>
      <c r="F703" s="404"/>
    </row>
    <row r="704" spans="2:6" ht="12.75" customHeight="1" x14ac:dyDescent="0.25">
      <c r="B704" s="407"/>
      <c r="C704" s="408"/>
      <c r="D704" s="404"/>
      <c r="E704" s="404"/>
      <c r="F704" s="404"/>
    </row>
    <row r="705" spans="2:6" ht="12.75" customHeight="1" x14ac:dyDescent="0.25">
      <c r="B705" s="407"/>
      <c r="C705" s="408"/>
      <c r="D705" s="404"/>
      <c r="E705" s="404"/>
      <c r="F705" s="404"/>
    </row>
    <row r="706" spans="2:6" ht="12.75" customHeight="1" x14ac:dyDescent="0.25">
      <c r="B706" s="407"/>
      <c r="C706" s="408"/>
      <c r="D706" s="404"/>
      <c r="E706" s="404"/>
      <c r="F706" s="404"/>
    </row>
    <row r="707" spans="2:6" ht="12.75" customHeight="1" x14ac:dyDescent="0.25">
      <c r="B707" s="407"/>
      <c r="C707" s="408"/>
      <c r="D707" s="404"/>
      <c r="E707" s="404"/>
      <c r="F707" s="404"/>
    </row>
    <row r="708" spans="2:6" ht="12.75" customHeight="1" x14ac:dyDescent="0.25">
      <c r="B708" s="407"/>
      <c r="C708" s="408"/>
      <c r="D708" s="404"/>
      <c r="E708" s="404"/>
      <c r="F708" s="404"/>
    </row>
    <row r="709" spans="2:6" ht="12.75" customHeight="1" x14ac:dyDescent="0.25">
      <c r="B709" s="407"/>
      <c r="C709" s="408"/>
      <c r="D709" s="404"/>
      <c r="E709" s="404"/>
      <c r="F709" s="404"/>
    </row>
    <row r="710" spans="2:6" ht="12.75" customHeight="1" x14ac:dyDescent="0.25">
      <c r="B710" s="407"/>
      <c r="C710" s="408"/>
      <c r="D710" s="404"/>
      <c r="E710" s="404"/>
      <c r="F710" s="404"/>
    </row>
    <row r="711" spans="2:6" ht="12.75" customHeight="1" x14ac:dyDescent="0.25">
      <c r="B711" s="407"/>
      <c r="C711" s="408"/>
      <c r="D711" s="404"/>
      <c r="E711" s="404"/>
      <c r="F711" s="404"/>
    </row>
    <row r="712" spans="2:6" ht="12.75" customHeight="1" x14ac:dyDescent="0.25">
      <c r="B712" s="407"/>
      <c r="C712" s="408"/>
      <c r="D712" s="404"/>
      <c r="E712" s="404"/>
      <c r="F712" s="404"/>
    </row>
    <row r="713" spans="2:6" ht="12.75" customHeight="1" x14ac:dyDescent="0.25">
      <c r="B713" s="407"/>
      <c r="C713" s="408"/>
      <c r="D713" s="404"/>
      <c r="E713" s="404"/>
      <c r="F713" s="404"/>
    </row>
    <row r="714" spans="2:6" ht="12.75" customHeight="1" x14ac:dyDescent="0.25">
      <c r="B714" s="407"/>
      <c r="C714" s="408"/>
      <c r="D714" s="404"/>
      <c r="E714" s="404"/>
      <c r="F714" s="404"/>
    </row>
    <row r="715" spans="2:6" ht="12.75" customHeight="1" x14ac:dyDescent="0.25">
      <c r="B715" s="407"/>
      <c r="C715" s="408"/>
      <c r="D715" s="404"/>
      <c r="E715" s="404"/>
      <c r="F715" s="404"/>
    </row>
    <row r="716" spans="2:6" ht="12.75" customHeight="1" x14ac:dyDescent="0.25">
      <c r="B716" s="407"/>
      <c r="C716" s="408"/>
      <c r="D716" s="404"/>
      <c r="E716" s="404"/>
      <c r="F716" s="404"/>
    </row>
    <row r="717" spans="2:6" ht="12.75" customHeight="1" x14ac:dyDescent="0.25">
      <c r="B717" s="407"/>
      <c r="C717" s="408"/>
      <c r="D717" s="404"/>
      <c r="E717" s="404"/>
      <c r="F717" s="404"/>
    </row>
    <row r="718" spans="2:6" ht="12.75" customHeight="1" x14ac:dyDescent="0.25">
      <c r="B718" s="407"/>
      <c r="C718" s="408"/>
      <c r="D718" s="404"/>
      <c r="E718" s="404"/>
      <c r="F718" s="404"/>
    </row>
    <row r="719" spans="2:6" ht="12.75" customHeight="1" x14ac:dyDescent="0.25">
      <c r="B719" s="407"/>
      <c r="C719" s="408"/>
      <c r="D719" s="404"/>
      <c r="E719" s="404"/>
      <c r="F719" s="404"/>
    </row>
    <row r="720" spans="2:6" ht="12.75" customHeight="1" x14ac:dyDescent="0.25">
      <c r="B720" s="407"/>
      <c r="C720" s="408"/>
      <c r="D720" s="404"/>
      <c r="E720" s="404"/>
      <c r="F720" s="404"/>
    </row>
    <row r="721" spans="2:6" ht="12.75" customHeight="1" x14ac:dyDescent="0.25">
      <c r="B721" s="407"/>
      <c r="C721" s="408"/>
      <c r="D721" s="404"/>
      <c r="E721" s="404"/>
      <c r="F721" s="404"/>
    </row>
    <row r="722" spans="2:6" ht="12.75" customHeight="1" x14ac:dyDescent="0.25">
      <c r="B722" s="407"/>
      <c r="C722" s="408"/>
      <c r="D722" s="404"/>
      <c r="E722" s="404"/>
      <c r="F722" s="404"/>
    </row>
    <row r="723" spans="2:6" ht="12.75" customHeight="1" x14ac:dyDescent="0.25">
      <c r="B723" s="407"/>
      <c r="C723" s="408"/>
      <c r="D723" s="404"/>
      <c r="E723" s="404"/>
      <c r="F723" s="404"/>
    </row>
    <row r="724" spans="2:6" ht="12.75" customHeight="1" x14ac:dyDescent="0.25">
      <c r="B724" s="407"/>
      <c r="C724" s="408"/>
      <c r="D724" s="404"/>
      <c r="E724" s="404"/>
      <c r="F724" s="404"/>
    </row>
    <row r="725" spans="2:6" ht="12.75" customHeight="1" x14ac:dyDescent="0.25">
      <c r="B725" s="407"/>
      <c r="C725" s="408"/>
      <c r="D725" s="404"/>
      <c r="E725" s="404"/>
      <c r="F725" s="404"/>
    </row>
    <row r="726" spans="2:6" ht="12.75" customHeight="1" x14ac:dyDescent="0.25">
      <c r="B726" s="407"/>
      <c r="C726" s="408"/>
      <c r="D726" s="404"/>
      <c r="E726" s="404"/>
      <c r="F726" s="404"/>
    </row>
    <row r="727" spans="2:6" ht="12.75" customHeight="1" x14ac:dyDescent="0.25">
      <c r="B727" s="407"/>
      <c r="C727" s="408"/>
      <c r="D727" s="404"/>
      <c r="E727" s="404"/>
      <c r="F727" s="404"/>
    </row>
    <row r="728" spans="2:6" ht="12.75" customHeight="1" x14ac:dyDescent="0.25">
      <c r="B728" s="407"/>
      <c r="C728" s="408"/>
      <c r="D728" s="404"/>
      <c r="E728" s="404"/>
      <c r="F728" s="404"/>
    </row>
    <row r="729" spans="2:6" ht="12.75" customHeight="1" x14ac:dyDescent="0.25">
      <c r="B729" s="407"/>
      <c r="C729" s="408"/>
      <c r="D729" s="404"/>
      <c r="E729" s="404"/>
      <c r="F729" s="404"/>
    </row>
    <row r="730" spans="2:6" ht="12.75" customHeight="1" x14ac:dyDescent="0.25">
      <c r="B730" s="407"/>
      <c r="C730" s="408"/>
      <c r="D730" s="404"/>
      <c r="E730" s="404"/>
      <c r="F730" s="404"/>
    </row>
    <row r="731" spans="2:6" ht="12.75" customHeight="1" x14ac:dyDescent="0.25">
      <c r="B731" s="407"/>
      <c r="C731" s="408"/>
      <c r="D731" s="404"/>
      <c r="E731" s="404"/>
      <c r="F731" s="404"/>
    </row>
    <row r="732" spans="2:6" ht="12.75" customHeight="1" x14ac:dyDescent="0.25">
      <c r="B732" s="407"/>
      <c r="C732" s="408"/>
      <c r="D732" s="404"/>
      <c r="E732" s="404"/>
      <c r="F732" s="404"/>
    </row>
    <row r="733" spans="2:6" ht="12.75" customHeight="1" x14ac:dyDescent="0.25">
      <c r="B733" s="407"/>
      <c r="C733" s="408"/>
      <c r="D733" s="404"/>
      <c r="E733" s="404"/>
      <c r="F733" s="404"/>
    </row>
    <row r="734" spans="2:6" ht="12.75" customHeight="1" x14ac:dyDescent="0.25">
      <c r="B734" s="407"/>
      <c r="C734" s="408"/>
      <c r="D734" s="404"/>
      <c r="E734" s="404"/>
      <c r="F734" s="404"/>
    </row>
    <row r="735" spans="2:6" ht="12.75" customHeight="1" x14ac:dyDescent="0.25">
      <c r="B735" s="407"/>
      <c r="C735" s="408"/>
      <c r="D735" s="404"/>
      <c r="E735" s="404"/>
      <c r="F735" s="404"/>
    </row>
    <row r="736" spans="2:6" ht="12.75" customHeight="1" x14ac:dyDescent="0.25">
      <c r="B736" s="407"/>
      <c r="C736" s="408"/>
      <c r="D736" s="404"/>
      <c r="E736" s="404"/>
      <c r="F736" s="404"/>
    </row>
    <row r="737" spans="2:6" ht="12.75" customHeight="1" x14ac:dyDescent="0.25">
      <c r="B737" s="407"/>
      <c r="C737" s="408"/>
      <c r="D737" s="404"/>
      <c r="E737" s="404"/>
      <c r="F737" s="404"/>
    </row>
    <row r="738" spans="2:6" ht="12.75" customHeight="1" x14ac:dyDescent="0.25">
      <c r="B738" s="407"/>
      <c r="C738" s="408"/>
      <c r="D738" s="404"/>
      <c r="E738" s="404"/>
      <c r="F738" s="404"/>
    </row>
    <row r="739" spans="2:6" ht="12.75" customHeight="1" x14ac:dyDescent="0.25">
      <c r="B739" s="407"/>
      <c r="C739" s="408"/>
      <c r="D739" s="404"/>
      <c r="E739" s="404"/>
      <c r="F739" s="404"/>
    </row>
    <row r="740" spans="2:6" ht="12.75" customHeight="1" x14ac:dyDescent="0.25">
      <c r="B740" s="407"/>
      <c r="C740" s="408"/>
      <c r="D740" s="404"/>
      <c r="E740" s="404"/>
      <c r="F740" s="404"/>
    </row>
    <row r="741" spans="2:6" ht="12.75" customHeight="1" x14ac:dyDescent="0.25">
      <c r="B741" s="407"/>
      <c r="C741" s="408"/>
      <c r="D741" s="404"/>
      <c r="E741" s="404"/>
      <c r="F741" s="404"/>
    </row>
    <row r="742" spans="2:6" ht="12.75" customHeight="1" x14ac:dyDescent="0.25">
      <c r="B742" s="407"/>
      <c r="C742" s="408"/>
      <c r="D742" s="404"/>
      <c r="E742" s="404"/>
      <c r="F742" s="404"/>
    </row>
    <row r="743" spans="2:6" ht="12.75" customHeight="1" x14ac:dyDescent="0.25">
      <c r="B743" s="407"/>
      <c r="C743" s="408"/>
      <c r="D743" s="404"/>
      <c r="E743" s="404"/>
      <c r="F743" s="404"/>
    </row>
    <row r="744" spans="2:6" ht="12.75" customHeight="1" x14ac:dyDescent="0.25">
      <c r="B744" s="407"/>
      <c r="C744" s="408"/>
      <c r="D744" s="404"/>
      <c r="E744" s="404"/>
      <c r="F744" s="404"/>
    </row>
    <row r="745" spans="2:6" ht="12.75" customHeight="1" x14ac:dyDescent="0.25">
      <c r="B745" s="407"/>
      <c r="C745" s="408"/>
      <c r="D745" s="404"/>
      <c r="E745" s="404"/>
      <c r="F745" s="404"/>
    </row>
    <row r="746" spans="2:6" ht="12.75" customHeight="1" x14ac:dyDescent="0.25">
      <c r="B746" s="407"/>
      <c r="C746" s="408"/>
      <c r="D746" s="404"/>
      <c r="E746" s="404"/>
      <c r="F746" s="404"/>
    </row>
    <row r="747" spans="2:6" ht="12.75" customHeight="1" x14ac:dyDescent="0.25">
      <c r="B747" s="407"/>
      <c r="C747" s="408"/>
      <c r="D747" s="404"/>
      <c r="E747" s="404"/>
      <c r="F747" s="404"/>
    </row>
    <row r="748" spans="2:6" ht="12.75" customHeight="1" x14ac:dyDescent="0.25">
      <c r="B748" s="407"/>
      <c r="C748" s="408"/>
      <c r="D748" s="404"/>
      <c r="E748" s="404"/>
      <c r="F748" s="404"/>
    </row>
    <row r="749" spans="2:6" ht="12.75" customHeight="1" x14ac:dyDescent="0.25">
      <c r="B749" s="407"/>
      <c r="C749" s="408"/>
      <c r="D749" s="404"/>
      <c r="E749" s="404"/>
      <c r="F749" s="404"/>
    </row>
    <row r="750" spans="2:6" ht="12.75" customHeight="1" x14ac:dyDescent="0.25">
      <c r="B750" s="407"/>
      <c r="C750" s="408"/>
      <c r="D750" s="404"/>
      <c r="E750" s="404"/>
      <c r="F750" s="404"/>
    </row>
    <row r="751" spans="2:6" ht="12.75" customHeight="1" x14ac:dyDescent="0.25">
      <c r="B751" s="407"/>
      <c r="C751" s="408"/>
      <c r="D751" s="404"/>
      <c r="E751" s="404"/>
      <c r="F751" s="404"/>
    </row>
    <row r="752" spans="2:6" ht="12.75" customHeight="1" x14ac:dyDescent="0.25">
      <c r="B752" s="407"/>
      <c r="C752" s="408"/>
      <c r="D752" s="404"/>
      <c r="E752" s="404"/>
      <c r="F752" s="404"/>
    </row>
    <row r="753" spans="2:6" ht="12.75" customHeight="1" x14ac:dyDescent="0.25">
      <c r="B753" s="407"/>
      <c r="C753" s="408"/>
      <c r="D753" s="404"/>
      <c r="E753" s="404"/>
      <c r="F753" s="404"/>
    </row>
    <row r="754" spans="2:6" ht="12.75" customHeight="1" x14ac:dyDescent="0.25">
      <c r="B754" s="407"/>
      <c r="C754" s="408"/>
      <c r="D754" s="404"/>
      <c r="E754" s="404"/>
      <c r="F754" s="404"/>
    </row>
    <row r="755" spans="2:6" ht="12.75" customHeight="1" x14ac:dyDescent="0.25">
      <c r="B755" s="407"/>
      <c r="C755" s="408"/>
      <c r="D755" s="404"/>
      <c r="E755" s="404"/>
      <c r="F755" s="404"/>
    </row>
    <row r="756" spans="2:6" ht="12.75" customHeight="1" x14ac:dyDescent="0.25">
      <c r="B756" s="407"/>
      <c r="C756" s="408"/>
      <c r="D756" s="404"/>
      <c r="E756" s="404"/>
      <c r="F756" s="404"/>
    </row>
    <row r="757" spans="2:6" ht="12.75" customHeight="1" x14ac:dyDescent="0.25">
      <c r="B757" s="407"/>
      <c r="C757" s="408"/>
      <c r="D757" s="404"/>
      <c r="E757" s="404"/>
      <c r="F757" s="404"/>
    </row>
    <row r="758" spans="2:6" ht="12.75" customHeight="1" x14ac:dyDescent="0.25">
      <c r="B758" s="407"/>
      <c r="C758" s="408"/>
      <c r="D758" s="404"/>
      <c r="E758" s="404"/>
      <c r="F758" s="404"/>
    </row>
    <row r="759" spans="2:6" ht="12.75" customHeight="1" x14ac:dyDescent="0.25">
      <c r="B759" s="407"/>
      <c r="C759" s="408"/>
      <c r="D759" s="404"/>
      <c r="E759" s="404"/>
      <c r="F759" s="404"/>
    </row>
    <row r="760" spans="2:6" ht="12.75" customHeight="1" x14ac:dyDescent="0.25">
      <c r="B760" s="407"/>
      <c r="C760" s="408"/>
      <c r="D760" s="404"/>
      <c r="E760" s="404"/>
      <c r="F760" s="404"/>
    </row>
    <row r="761" spans="2:6" ht="12.75" customHeight="1" x14ac:dyDescent="0.25">
      <c r="B761" s="407"/>
      <c r="C761" s="408"/>
      <c r="D761" s="404"/>
      <c r="E761" s="404"/>
      <c r="F761" s="404"/>
    </row>
    <row r="762" spans="2:6" ht="12.75" customHeight="1" x14ac:dyDescent="0.25">
      <c r="B762" s="407"/>
      <c r="C762" s="408"/>
      <c r="D762" s="404"/>
      <c r="E762" s="404"/>
      <c r="F762" s="404"/>
    </row>
    <row r="763" spans="2:6" ht="12.75" customHeight="1" x14ac:dyDescent="0.25">
      <c r="B763" s="407"/>
      <c r="C763" s="408"/>
      <c r="D763" s="404"/>
      <c r="E763" s="404"/>
      <c r="F763" s="404"/>
    </row>
    <row r="764" spans="2:6" ht="12.75" customHeight="1" x14ac:dyDescent="0.25">
      <c r="B764" s="407"/>
      <c r="C764" s="408"/>
      <c r="D764" s="404"/>
      <c r="E764" s="404"/>
      <c r="F764" s="404"/>
    </row>
    <row r="765" spans="2:6" ht="12.75" customHeight="1" x14ac:dyDescent="0.25">
      <c r="B765" s="407"/>
      <c r="C765" s="408"/>
      <c r="D765" s="404"/>
      <c r="E765" s="404"/>
      <c r="F765" s="404"/>
    </row>
    <row r="766" spans="2:6" ht="12.75" customHeight="1" x14ac:dyDescent="0.25">
      <c r="B766" s="407"/>
      <c r="C766" s="408"/>
      <c r="D766" s="404"/>
      <c r="E766" s="404"/>
      <c r="F766" s="404"/>
    </row>
    <row r="767" spans="2:6" ht="12.75" customHeight="1" x14ac:dyDescent="0.25">
      <c r="B767" s="407"/>
      <c r="C767" s="408"/>
      <c r="D767" s="404"/>
      <c r="E767" s="404"/>
      <c r="F767" s="404"/>
    </row>
    <row r="768" spans="2:6" ht="12.75" customHeight="1" x14ac:dyDescent="0.25">
      <c r="B768" s="407"/>
      <c r="C768" s="408"/>
      <c r="D768" s="404"/>
      <c r="E768" s="404"/>
      <c r="F768" s="404"/>
    </row>
    <row r="769" spans="2:6" ht="12.75" customHeight="1" x14ac:dyDescent="0.25">
      <c r="B769" s="407"/>
      <c r="C769" s="408"/>
      <c r="D769" s="404"/>
      <c r="E769" s="404"/>
      <c r="F769" s="404"/>
    </row>
    <row r="770" spans="2:6" ht="12.75" customHeight="1" x14ac:dyDescent="0.25">
      <c r="B770" s="407"/>
      <c r="C770" s="408"/>
      <c r="D770" s="404"/>
      <c r="E770" s="404"/>
      <c r="F770" s="404"/>
    </row>
    <row r="771" spans="2:6" ht="12.75" customHeight="1" x14ac:dyDescent="0.25">
      <c r="B771" s="407"/>
      <c r="C771" s="408"/>
      <c r="D771" s="404"/>
      <c r="E771" s="404"/>
      <c r="F771" s="404"/>
    </row>
    <row r="772" spans="2:6" ht="12.75" customHeight="1" x14ac:dyDescent="0.25">
      <c r="B772" s="407"/>
      <c r="C772" s="408"/>
      <c r="D772" s="404"/>
      <c r="E772" s="404"/>
      <c r="F772" s="404"/>
    </row>
    <row r="773" spans="2:6" ht="12.75" customHeight="1" x14ac:dyDescent="0.25">
      <c r="B773" s="407"/>
      <c r="C773" s="408"/>
      <c r="D773" s="404"/>
      <c r="E773" s="404"/>
      <c r="F773" s="404"/>
    </row>
    <row r="774" spans="2:6" ht="12.75" customHeight="1" x14ac:dyDescent="0.25">
      <c r="B774" s="407"/>
      <c r="C774" s="408"/>
      <c r="D774" s="404"/>
      <c r="E774" s="404"/>
      <c r="F774" s="404"/>
    </row>
    <row r="775" spans="2:6" ht="12.75" customHeight="1" x14ac:dyDescent="0.25">
      <c r="B775" s="407"/>
      <c r="C775" s="408"/>
      <c r="D775" s="404"/>
      <c r="E775" s="404"/>
      <c r="F775" s="404"/>
    </row>
    <row r="776" spans="2:6" ht="12.75" customHeight="1" x14ac:dyDescent="0.25">
      <c r="B776" s="407"/>
      <c r="C776" s="408"/>
      <c r="D776" s="404"/>
      <c r="E776" s="404"/>
      <c r="F776" s="404"/>
    </row>
    <row r="777" spans="2:6" ht="12.75" customHeight="1" x14ac:dyDescent="0.25">
      <c r="B777" s="407"/>
      <c r="C777" s="408"/>
      <c r="D777" s="404"/>
      <c r="E777" s="404"/>
      <c r="F777" s="404"/>
    </row>
    <row r="778" spans="2:6" ht="12.75" customHeight="1" x14ac:dyDescent="0.25">
      <c r="B778" s="407"/>
      <c r="C778" s="408"/>
      <c r="D778" s="404"/>
      <c r="E778" s="404"/>
      <c r="F778" s="404"/>
    </row>
    <row r="779" spans="2:6" ht="12.75" customHeight="1" x14ac:dyDescent="0.25">
      <c r="B779" s="407"/>
      <c r="C779" s="408"/>
      <c r="D779" s="404"/>
      <c r="E779" s="404"/>
      <c r="F779" s="404"/>
    </row>
    <row r="780" spans="2:6" ht="12.75" customHeight="1" x14ac:dyDescent="0.25">
      <c r="B780" s="407"/>
      <c r="C780" s="408"/>
      <c r="D780" s="404"/>
      <c r="E780" s="404"/>
      <c r="F780" s="404"/>
    </row>
    <row r="781" spans="2:6" ht="12.75" customHeight="1" x14ac:dyDescent="0.25">
      <c r="B781" s="407"/>
      <c r="C781" s="408"/>
      <c r="D781" s="404"/>
      <c r="E781" s="404"/>
      <c r="F781" s="404"/>
    </row>
    <row r="782" spans="2:6" ht="12.75" customHeight="1" x14ac:dyDescent="0.25">
      <c r="B782" s="407"/>
      <c r="C782" s="408"/>
      <c r="D782" s="404"/>
      <c r="E782" s="404"/>
      <c r="F782" s="404"/>
    </row>
    <row r="783" spans="2:6" ht="12.75" customHeight="1" x14ac:dyDescent="0.25">
      <c r="B783" s="407"/>
      <c r="C783" s="408"/>
      <c r="D783" s="404"/>
      <c r="E783" s="404"/>
      <c r="F783" s="404"/>
    </row>
    <row r="784" spans="2:6" ht="12.75" customHeight="1" x14ac:dyDescent="0.25">
      <c r="B784" s="407"/>
      <c r="C784" s="408"/>
      <c r="D784" s="404"/>
      <c r="E784" s="404"/>
      <c r="F784" s="404"/>
    </row>
    <row r="785" spans="2:6" ht="12.75" customHeight="1" x14ac:dyDescent="0.25">
      <c r="B785" s="407"/>
      <c r="C785" s="408"/>
      <c r="D785" s="404"/>
      <c r="E785" s="404"/>
      <c r="F785" s="404"/>
    </row>
    <row r="786" spans="2:6" ht="12.75" customHeight="1" x14ac:dyDescent="0.25">
      <c r="B786" s="407"/>
      <c r="C786" s="408"/>
      <c r="D786" s="404"/>
      <c r="E786" s="404"/>
      <c r="F786" s="404"/>
    </row>
    <row r="787" spans="2:6" ht="12.75" customHeight="1" x14ac:dyDescent="0.25">
      <c r="B787" s="407"/>
      <c r="C787" s="408"/>
      <c r="D787" s="404"/>
      <c r="E787" s="404"/>
      <c r="F787" s="404"/>
    </row>
    <row r="788" spans="2:6" ht="12.75" customHeight="1" x14ac:dyDescent="0.25">
      <c r="B788" s="407"/>
      <c r="C788" s="408"/>
      <c r="D788" s="404"/>
      <c r="E788" s="404"/>
      <c r="F788" s="404"/>
    </row>
    <row r="789" spans="2:6" ht="12.75" customHeight="1" x14ac:dyDescent="0.25">
      <c r="B789" s="407"/>
      <c r="C789" s="408"/>
      <c r="D789" s="404"/>
      <c r="E789" s="404"/>
      <c r="F789" s="404"/>
    </row>
    <row r="790" spans="2:6" ht="12.75" customHeight="1" x14ac:dyDescent="0.25">
      <c r="B790" s="407"/>
      <c r="C790" s="408"/>
      <c r="D790" s="404"/>
      <c r="E790" s="404"/>
      <c r="F790" s="404"/>
    </row>
    <row r="791" spans="2:6" ht="12.75" customHeight="1" x14ac:dyDescent="0.25">
      <c r="B791" s="407"/>
      <c r="C791" s="408"/>
      <c r="D791" s="404"/>
      <c r="E791" s="404"/>
      <c r="F791" s="404"/>
    </row>
    <row r="792" spans="2:6" ht="12.75" customHeight="1" x14ac:dyDescent="0.25">
      <c r="B792" s="407"/>
      <c r="C792" s="408"/>
      <c r="D792" s="404"/>
      <c r="E792" s="404"/>
      <c r="F792" s="404"/>
    </row>
    <row r="793" spans="2:6" ht="12.75" customHeight="1" x14ac:dyDescent="0.25">
      <c r="B793" s="407"/>
      <c r="C793" s="408"/>
      <c r="D793" s="404"/>
      <c r="E793" s="404"/>
      <c r="F793" s="404"/>
    </row>
    <row r="794" spans="2:6" ht="12.75" customHeight="1" x14ac:dyDescent="0.25">
      <c r="B794" s="407"/>
      <c r="C794" s="408"/>
      <c r="D794" s="404"/>
      <c r="E794" s="404"/>
      <c r="F794" s="404"/>
    </row>
    <row r="795" spans="2:6" ht="12.75" customHeight="1" x14ac:dyDescent="0.25">
      <c r="B795" s="407"/>
      <c r="C795" s="408"/>
      <c r="D795" s="404"/>
      <c r="E795" s="404"/>
      <c r="F795" s="404"/>
    </row>
    <row r="796" spans="2:6" ht="12.75" customHeight="1" x14ac:dyDescent="0.25">
      <c r="B796" s="407"/>
      <c r="C796" s="408"/>
      <c r="D796" s="404"/>
      <c r="E796" s="404"/>
      <c r="F796" s="404"/>
    </row>
    <row r="797" spans="2:6" ht="12.75" customHeight="1" x14ac:dyDescent="0.25">
      <c r="B797" s="407"/>
      <c r="C797" s="408"/>
      <c r="D797" s="404"/>
      <c r="E797" s="404"/>
      <c r="F797" s="404"/>
    </row>
    <row r="798" spans="2:6" ht="12.75" customHeight="1" x14ac:dyDescent="0.25">
      <c r="B798" s="407"/>
      <c r="C798" s="408"/>
      <c r="D798" s="404"/>
      <c r="E798" s="404"/>
      <c r="F798" s="404"/>
    </row>
    <row r="799" spans="2:6" ht="12.75" customHeight="1" x14ac:dyDescent="0.25">
      <c r="B799" s="407"/>
      <c r="C799" s="408"/>
      <c r="D799" s="404"/>
      <c r="E799" s="404"/>
      <c r="F799" s="404"/>
    </row>
    <row r="800" spans="2:6" ht="12.75" customHeight="1" x14ac:dyDescent="0.25">
      <c r="B800" s="407"/>
      <c r="C800" s="408"/>
      <c r="D800" s="404"/>
      <c r="E800" s="404"/>
      <c r="F800" s="404"/>
    </row>
    <row r="801" spans="2:6" ht="12.75" customHeight="1" x14ac:dyDescent="0.25">
      <c r="B801" s="407"/>
      <c r="C801" s="408"/>
      <c r="D801" s="404"/>
      <c r="E801" s="404"/>
      <c r="F801" s="404"/>
    </row>
    <row r="802" spans="2:6" ht="12.75" customHeight="1" x14ac:dyDescent="0.25">
      <c r="B802" s="407"/>
      <c r="C802" s="408"/>
      <c r="D802" s="404"/>
      <c r="E802" s="404"/>
      <c r="F802" s="404"/>
    </row>
    <row r="803" spans="2:6" ht="12.75" customHeight="1" x14ac:dyDescent="0.25">
      <c r="B803" s="407"/>
      <c r="C803" s="408"/>
      <c r="D803" s="404"/>
      <c r="E803" s="404"/>
      <c r="F803" s="404"/>
    </row>
    <row r="804" spans="2:6" ht="12.75" customHeight="1" x14ac:dyDescent="0.25">
      <c r="B804" s="407"/>
      <c r="C804" s="408"/>
      <c r="D804" s="404"/>
      <c r="E804" s="404"/>
      <c r="F804" s="404"/>
    </row>
    <row r="805" spans="2:6" ht="12.75" customHeight="1" x14ac:dyDescent="0.25">
      <c r="B805" s="407"/>
      <c r="C805" s="408"/>
      <c r="D805" s="404"/>
      <c r="E805" s="404"/>
      <c r="F805" s="404"/>
    </row>
    <row r="806" spans="2:6" ht="12.75" customHeight="1" x14ac:dyDescent="0.25">
      <c r="B806" s="407"/>
      <c r="C806" s="408"/>
      <c r="D806" s="404"/>
      <c r="E806" s="404"/>
      <c r="F806" s="404"/>
    </row>
    <row r="807" spans="2:6" ht="12.75" customHeight="1" x14ac:dyDescent="0.25">
      <c r="B807" s="407"/>
      <c r="C807" s="408"/>
      <c r="D807" s="404"/>
      <c r="E807" s="404"/>
      <c r="F807" s="404"/>
    </row>
    <row r="808" spans="2:6" ht="12.75" customHeight="1" x14ac:dyDescent="0.25">
      <c r="B808" s="407"/>
      <c r="C808" s="408"/>
      <c r="D808" s="404"/>
      <c r="E808" s="404"/>
      <c r="F808" s="404"/>
    </row>
    <row r="809" spans="2:6" ht="12.75" customHeight="1" x14ac:dyDescent="0.25">
      <c r="B809" s="407"/>
      <c r="C809" s="408"/>
      <c r="D809" s="404"/>
      <c r="E809" s="404"/>
      <c r="F809" s="404"/>
    </row>
    <row r="810" spans="2:6" ht="12.75" customHeight="1" x14ac:dyDescent="0.25">
      <c r="B810" s="407"/>
      <c r="C810" s="408"/>
      <c r="D810" s="404"/>
      <c r="E810" s="404"/>
      <c r="F810" s="404"/>
    </row>
    <row r="811" spans="2:6" ht="12.75" customHeight="1" x14ac:dyDescent="0.25">
      <c r="B811" s="407"/>
      <c r="C811" s="408"/>
      <c r="D811" s="404"/>
      <c r="E811" s="404"/>
      <c r="F811" s="404"/>
    </row>
    <row r="812" spans="2:6" ht="12.75" customHeight="1" x14ac:dyDescent="0.25">
      <c r="B812" s="407"/>
      <c r="C812" s="408"/>
      <c r="D812" s="404"/>
      <c r="E812" s="404"/>
      <c r="F812" s="404"/>
    </row>
    <row r="813" spans="2:6" ht="12.75" customHeight="1" x14ac:dyDescent="0.25">
      <c r="B813" s="407"/>
      <c r="C813" s="408"/>
      <c r="D813" s="404"/>
      <c r="E813" s="404"/>
      <c r="F813" s="404"/>
    </row>
    <row r="814" spans="2:6" ht="12.75" customHeight="1" x14ac:dyDescent="0.25">
      <c r="B814" s="407"/>
      <c r="C814" s="408"/>
      <c r="D814" s="404"/>
      <c r="E814" s="404"/>
      <c r="F814" s="404"/>
    </row>
    <row r="815" spans="2:6" ht="12.75" customHeight="1" x14ac:dyDescent="0.25">
      <c r="B815" s="407"/>
      <c r="C815" s="408"/>
      <c r="D815" s="404"/>
      <c r="E815" s="404"/>
      <c r="F815" s="404"/>
    </row>
    <row r="816" spans="2:6" ht="12.75" customHeight="1" x14ac:dyDescent="0.25">
      <c r="B816" s="407"/>
      <c r="C816" s="408"/>
      <c r="D816" s="404"/>
      <c r="E816" s="404"/>
      <c r="F816" s="404"/>
    </row>
    <row r="817" spans="2:6" ht="12.75" customHeight="1" x14ac:dyDescent="0.25">
      <c r="B817" s="407"/>
      <c r="C817" s="408"/>
      <c r="D817" s="404"/>
      <c r="E817" s="404"/>
      <c r="F817" s="404"/>
    </row>
    <row r="818" spans="2:6" ht="12.75" customHeight="1" x14ac:dyDescent="0.25">
      <c r="B818" s="407"/>
      <c r="C818" s="408"/>
      <c r="D818" s="404"/>
      <c r="E818" s="404"/>
      <c r="F818" s="404"/>
    </row>
    <row r="819" spans="2:6" ht="12.75" customHeight="1" x14ac:dyDescent="0.25">
      <c r="B819" s="407"/>
      <c r="C819" s="408"/>
      <c r="D819" s="404"/>
      <c r="E819" s="404"/>
      <c r="F819" s="404"/>
    </row>
    <row r="820" spans="2:6" ht="12.75" customHeight="1" x14ac:dyDescent="0.25">
      <c r="B820" s="407"/>
      <c r="C820" s="408"/>
      <c r="D820" s="404"/>
      <c r="E820" s="404"/>
      <c r="F820" s="404"/>
    </row>
    <row r="821" spans="2:6" ht="12.75" customHeight="1" x14ac:dyDescent="0.25">
      <c r="B821" s="407"/>
      <c r="C821" s="408"/>
      <c r="D821" s="404"/>
      <c r="E821" s="404"/>
      <c r="F821" s="404"/>
    </row>
    <row r="822" spans="2:6" ht="12.75" customHeight="1" x14ac:dyDescent="0.25">
      <c r="B822" s="407"/>
      <c r="C822" s="408"/>
      <c r="D822" s="404"/>
      <c r="E822" s="404"/>
      <c r="F822" s="404"/>
    </row>
    <row r="823" spans="2:6" ht="12.75" customHeight="1" x14ac:dyDescent="0.25">
      <c r="B823" s="407"/>
      <c r="C823" s="408"/>
      <c r="D823" s="404"/>
      <c r="E823" s="404"/>
      <c r="F823" s="404"/>
    </row>
    <row r="824" spans="2:6" ht="12.75" customHeight="1" x14ac:dyDescent="0.25">
      <c r="B824" s="407"/>
      <c r="C824" s="408"/>
      <c r="D824" s="404"/>
      <c r="E824" s="404"/>
      <c r="F824" s="404"/>
    </row>
    <row r="825" spans="2:6" ht="12.75" customHeight="1" x14ac:dyDescent="0.25">
      <c r="B825" s="407"/>
      <c r="C825" s="408"/>
      <c r="D825" s="404"/>
      <c r="E825" s="404"/>
      <c r="F825" s="404"/>
    </row>
    <row r="826" spans="2:6" ht="12.75" customHeight="1" x14ac:dyDescent="0.25">
      <c r="B826" s="407"/>
      <c r="C826" s="408"/>
      <c r="D826" s="404"/>
      <c r="E826" s="404"/>
      <c r="F826" s="404"/>
    </row>
    <row r="827" spans="2:6" ht="12.75" customHeight="1" x14ac:dyDescent="0.25">
      <c r="B827" s="407"/>
      <c r="C827" s="408"/>
      <c r="D827" s="404"/>
      <c r="E827" s="404"/>
      <c r="F827" s="404"/>
    </row>
    <row r="828" spans="2:6" ht="12.75" customHeight="1" x14ac:dyDescent="0.25">
      <c r="B828" s="407"/>
      <c r="C828" s="408"/>
      <c r="D828" s="404"/>
      <c r="E828" s="404"/>
      <c r="F828" s="404"/>
    </row>
    <row r="829" spans="2:6" ht="12.75" customHeight="1" x14ac:dyDescent="0.25">
      <c r="B829" s="407"/>
      <c r="C829" s="408"/>
      <c r="D829" s="404"/>
      <c r="E829" s="404"/>
      <c r="F829" s="404"/>
    </row>
    <row r="830" spans="2:6" ht="12.75" customHeight="1" x14ac:dyDescent="0.25">
      <c r="B830" s="407"/>
      <c r="C830" s="408"/>
      <c r="D830" s="404"/>
      <c r="E830" s="404"/>
      <c r="F830" s="404"/>
    </row>
    <row r="831" spans="2:6" ht="12.75" customHeight="1" x14ac:dyDescent="0.25">
      <c r="B831" s="407"/>
      <c r="C831" s="408"/>
      <c r="D831" s="404"/>
      <c r="E831" s="404"/>
      <c r="F831" s="404"/>
    </row>
    <row r="832" spans="2:6" ht="12.75" customHeight="1" x14ac:dyDescent="0.25">
      <c r="B832" s="407"/>
      <c r="C832" s="408"/>
      <c r="D832" s="404"/>
      <c r="E832" s="404"/>
      <c r="F832" s="404"/>
    </row>
    <row r="833" spans="2:6" ht="12.75" customHeight="1" x14ac:dyDescent="0.25">
      <c r="B833" s="407"/>
      <c r="C833" s="408"/>
      <c r="D833" s="404"/>
      <c r="E833" s="404"/>
      <c r="F833" s="404"/>
    </row>
    <row r="834" spans="2:6" ht="12.75" customHeight="1" x14ac:dyDescent="0.25">
      <c r="B834" s="407"/>
      <c r="C834" s="408"/>
      <c r="D834" s="404"/>
      <c r="E834" s="404"/>
      <c r="F834" s="404"/>
    </row>
    <row r="835" spans="2:6" ht="12.75" customHeight="1" x14ac:dyDescent="0.25">
      <c r="B835" s="407"/>
      <c r="C835" s="408"/>
      <c r="D835" s="404"/>
      <c r="E835" s="404"/>
      <c r="F835" s="404"/>
    </row>
    <row r="836" spans="2:6" ht="12.75" customHeight="1" x14ac:dyDescent="0.25">
      <c r="B836" s="407"/>
      <c r="C836" s="408"/>
      <c r="D836" s="404"/>
      <c r="E836" s="404"/>
      <c r="F836" s="404"/>
    </row>
    <row r="837" spans="2:6" ht="12.75" customHeight="1" x14ac:dyDescent="0.25">
      <c r="B837" s="407"/>
      <c r="C837" s="408"/>
      <c r="D837" s="404"/>
      <c r="E837" s="404"/>
      <c r="F837" s="404"/>
    </row>
    <row r="838" spans="2:6" ht="12.75" customHeight="1" x14ac:dyDescent="0.25">
      <c r="B838" s="407"/>
      <c r="C838" s="408"/>
      <c r="D838" s="404"/>
      <c r="E838" s="404"/>
      <c r="F838" s="404"/>
    </row>
    <row r="839" spans="2:6" ht="12.75" customHeight="1" x14ac:dyDescent="0.25">
      <c r="B839" s="407"/>
      <c r="C839" s="408"/>
      <c r="D839" s="404"/>
      <c r="E839" s="404"/>
      <c r="F839" s="404"/>
    </row>
    <row r="840" spans="2:6" ht="12.75" customHeight="1" x14ac:dyDescent="0.25">
      <c r="B840" s="407"/>
      <c r="C840" s="408"/>
      <c r="D840" s="404"/>
      <c r="E840" s="404"/>
      <c r="F840" s="404"/>
    </row>
    <row r="841" spans="2:6" ht="12.75" customHeight="1" x14ac:dyDescent="0.25">
      <c r="B841" s="407"/>
      <c r="C841" s="408"/>
      <c r="D841" s="404"/>
      <c r="E841" s="404"/>
      <c r="F841" s="404"/>
    </row>
    <row r="842" spans="2:6" ht="12.75" customHeight="1" x14ac:dyDescent="0.25">
      <c r="B842" s="407"/>
      <c r="C842" s="408"/>
      <c r="D842" s="404"/>
      <c r="E842" s="404"/>
      <c r="F842" s="404"/>
    </row>
    <row r="843" spans="2:6" ht="12.75" customHeight="1" x14ac:dyDescent="0.25">
      <c r="B843" s="407"/>
      <c r="C843" s="408"/>
      <c r="D843" s="404"/>
      <c r="E843" s="404"/>
      <c r="F843" s="404"/>
    </row>
    <row r="844" spans="2:6" ht="12.75" customHeight="1" x14ac:dyDescent="0.25">
      <c r="B844" s="407"/>
      <c r="C844" s="408"/>
      <c r="D844" s="404"/>
      <c r="E844" s="404"/>
      <c r="F844" s="404"/>
    </row>
    <row r="845" spans="2:6" ht="12.75" customHeight="1" x14ac:dyDescent="0.25">
      <c r="B845" s="407"/>
      <c r="C845" s="408"/>
      <c r="D845" s="404"/>
      <c r="E845" s="404"/>
      <c r="F845" s="404"/>
    </row>
    <row r="846" spans="2:6" ht="12.75" customHeight="1" x14ac:dyDescent="0.25">
      <c r="B846" s="407"/>
      <c r="C846" s="408"/>
      <c r="D846" s="404"/>
      <c r="E846" s="404"/>
      <c r="F846" s="404"/>
    </row>
    <row r="847" spans="2:6" ht="12.75" customHeight="1" x14ac:dyDescent="0.25">
      <c r="B847" s="407"/>
      <c r="C847" s="408"/>
      <c r="D847" s="404"/>
      <c r="E847" s="404"/>
      <c r="F847" s="404"/>
    </row>
    <row r="848" spans="2:6" ht="12.75" customHeight="1" x14ac:dyDescent="0.25">
      <c r="B848" s="407"/>
      <c r="C848" s="408"/>
      <c r="D848" s="404"/>
      <c r="E848" s="404"/>
      <c r="F848" s="404"/>
    </row>
    <row r="849" spans="2:6" ht="12.75" customHeight="1" x14ac:dyDescent="0.25">
      <c r="B849" s="407"/>
      <c r="C849" s="408"/>
      <c r="D849" s="404"/>
      <c r="E849" s="404"/>
      <c r="F849" s="404"/>
    </row>
    <row r="850" spans="2:6" ht="12.75" customHeight="1" x14ac:dyDescent="0.25">
      <c r="B850" s="407"/>
      <c r="C850" s="408"/>
      <c r="D850" s="404"/>
      <c r="E850" s="404"/>
      <c r="F850" s="404"/>
    </row>
    <row r="851" spans="2:6" ht="12.75" customHeight="1" x14ac:dyDescent="0.25">
      <c r="B851" s="407"/>
      <c r="C851" s="408"/>
      <c r="D851" s="404"/>
      <c r="E851" s="404"/>
      <c r="F851" s="404"/>
    </row>
    <row r="852" spans="2:6" ht="12.75" customHeight="1" x14ac:dyDescent="0.25">
      <c r="B852" s="407"/>
      <c r="C852" s="408"/>
      <c r="D852" s="404"/>
      <c r="E852" s="404"/>
      <c r="F852" s="404"/>
    </row>
    <row r="853" spans="2:6" ht="12.75" customHeight="1" x14ac:dyDescent="0.25">
      <c r="B853" s="407"/>
      <c r="C853" s="408"/>
      <c r="D853" s="404"/>
      <c r="E853" s="404"/>
      <c r="F853" s="404"/>
    </row>
    <row r="854" spans="2:6" ht="12.75" customHeight="1" x14ac:dyDescent="0.25">
      <c r="B854" s="407"/>
      <c r="C854" s="408"/>
      <c r="D854" s="404"/>
      <c r="E854" s="404"/>
      <c r="F854" s="404"/>
    </row>
    <row r="855" spans="2:6" ht="12.75" customHeight="1" x14ac:dyDescent="0.25">
      <c r="B855" s="407"/>
      <c r="C855" s="408"/>
      <c r="D855" s="404"/>
      <c r="E855" s="404"/>
      <c r="F855" s="404"/>
    </row>
    <row r="856" spans="2:6" ht="12.75" customHeight="1" x14ac:dyDescent="0.25">
      <c r="B856" s="407"/>
      <c r="C856" s="408"/>
      <c r="D856" s="404"/>
      <c r="E856" s="404"/>
      <c r="F856" s="404"/>
    </row>
    <row r="857" spans="2:6" ht="12.75" customHeight="1" x14ac:dyDescent="0.25">
      <c r="B857" s="407"/>
      <c r="C857" s="408"/>
      <c r="D857" s="404"/>
      <c r="E857" s="404"/>
      <c r="F857" s="404"/>
    </row>
    <row r="858" spans="2:6" ht="12.75" customHeight="1" x14ac:dyDescent="0.25">
      <c r="B858" s="407"/>
      <c r="C858" s="408"/>
      <c r="D858" s="404"/>
      <c r="E858" s="404"/>
      <c r="F858" s="404"/>
    </row>
    <row r="859" spans="2:6" ht="12.75" customHeight="1" x14ac:dyDescent="0.25">
      <c r="B859" s="407"/>
      <c r="C859" s="408"/>
      <c r="D859" s="404"/>
      <c r="E859" s="404"/>
      <c r="F859" s="404"/>
    </row>
    <row r="860" spans="2:6" ht="12.75" customHeight="1" x14ac:dyDescent="0.25">
      <c r="B860" s="407"/>
      <c r="C860" s="408"/>
      <c r="D860" s="404"/>
      <c r="E860" s="404"/>
      <c r="F860" s="404"/>
    </row>
    <row r="861" spans="2:6" ht="12.75" customHeight="1" x14ac:dyDescent="0.25">
      <c r="B861" s="407"/>
      <c r="C861" s="408"/>
      <c r="D861" s="404"/>
      <c r="E861" s="404"/>
      <c r="F861" s="404"/>
    </row>
    <row r="862" spans="2:6" ht="12.75" customHeight="1" x14ac:dyDescent="0.25">
      <c r="B862" s="407"/>
      <c r="C862" s="408"/>
      <c r="D862" s="404"/>
      <c r="E862" s="404"/>
      <c r="F862" s="404"/>
    </row>
    <row r="863" spans="2:6" ht="12.75" customHeight="1" x14ac:dyDescent="0.25">
      <c r="B863" s="407"/>
      <c r="C863" s="408"/>
      <c r="D863" s="404"/>
      <c r="E863" s="404"/>
      <c r="F863" s="404"/>
    </row>
    <row r="864" spans="2:6" ht="12.75" customHeight="1" x14ac:dyDescent="0.25">
      <c r="B864" s="407"/>
      <c r="C864" s="408"/>
      <c r="D864" s="404"/>
      <c r="E864" s="404"/>
      <c r="F864" s="404"/>
    </row>
    <row r="865" spans="2:6" ht="12.75" customHeight="1" x14ac:dyDescent="0.25">
      <c r="B865" s="407"/>
      <c r="C865" s="408"/>
      <c r="D865" s="404"/>
      <c r="E865" s="404"/>
      <c r="F865" s="404"/>
    </row>
    <row r="866" spans="2:6" ht="12.75" customHeight="1" x14ac:dyDescent="0.25">
      <c r="B866" s="407"/>
      <c r="C866" s="408"/>
      <c r="D866" s="404"/>
      <c r="E866" s="404"/>
      <c r="F866" s="404"/>
    </row>
    <row r="867" spans="2:6" ht="12.75" customHeight="1" x14ac:dyDescent="0.25">
      <c r="B867" s="407"/>
      <c r="C867" s="408"/>
      <c r="D867" s="404"/>
      <c r="E867" s="404"/>
      <c r="F867" s="404"/>
    </row>
    <row r="868" spans="2:6" ht="12.75" customHeight="1" x14ac:dyDescent="0.25">
      <c r="B868" s="407"/>
      <c r="C868" s="408"/>
      <c r="D868" s="404"/>
      <c r="E868" s="404"/>
      <c r="F868" s="404"/>
    </row>
    <row r="869" spans="2:6" ht="12.75" customHeight="1" x14ac:dyDescent="0.25">
      <c r="B869" s="407"/>
      <c r="C869" s="408"/>
      <c r="D869" s="404"/>
      <c r="E869" s="404"/>
      <c r="F869" s="404"/>
    </row>
    <row r="870" spans="2:6" ht="12.75" customHeight="1" x14ac:dyDescent="0.25">
      <c r="B870" s="407"/>
      <c r="C870" s="408"/>
      <c r="D870" s="404"/>
      <c r="E870" s="404"/>
      <c r="F870" s="404"/>
    </row>
    <row r="871" spans="2:6" ht="12.75" customHeight="1" x14ac:dyDescent="0.25">
      <c r="B871" s="407"/>
      <c r="C871" s="408"/>
      <c r="D871" s="404"/>
      <c r="E871" s="404"/>
      <c r="F871" s="404"/>
    </row>
    <row r="872" spans="2:6" ht="12.75" customHeight="1" x14ac:dyDescent="0.25">
      <c r="B872" s="407"/>
      <c r="C872" s="408"/>
      <c r="D872" s="404"/>
      <c r="E872" s="404"/>
      <c r="F872" s="404"/>
    </row>
    <row r="873" spans="2:6" ht="12.75" customHeight="1" x14ac:dyDescent="0.25">
      <c r="B873" s="407"/>
      <c r="C873" s="408"/>
      <c r="D873" s="404"/>
      <c r="E873" s="404"/>
      <c r="F873" s="404"/>
    </row>
    <row r="874" spans="2:6" ht="12.75" customHeight="1" x14ac:dyDescent="0.25">
      <c r="B874" s="407"/>
      <c r="C874" s="408"/>
      <c r="D874" s="404"/>
      <c r="E874" s="404"/>
      <c r="F874" s="404"/>
    </row>
    <row r="875" spans="2:6" ht="12.75" customHeight="1" x14ac:dyDescent="0.25">
      <c r="B875" s="407"/>
      <c r="C875" s="408"/>
      <c r="D875" s="404"/>
      <c r="E875" s="404"/>
      <c r="F875" s="404"/>
    </row>
    <row r="876" spans="2:6" ht="12.75" customHeight="1" x14ac:dyDescent="0.25">
      <c r="B876" s="407"/>
      <c r="C876" s="408"/>
      <c r="D876" s="404"/>
      <c r="E876" s="404"/>
      <c r="F876" s="404"/>
    </row>
    <row r="877" spans="2:6" ht="12.75" customHeight="1" x14ac:dyDescent="0.25">
      <c r="B877" s="407"/>
      <c r="C877" s="408"/>
      <c r="D877" s="404"/>
      <c r="E877" s="404"/>
      <c r="F877" s="404"/>
    </row>
    <row r="878" spans="2:6" ht="12.75" customHeight="1" x14ac:dyDescent="0.25">
      <c r="B878" s="407"/>
      <c r="C878" s="408"/>
      <c r="D878" s="404"/>
      <c r="E878" s="404"/>
      <c r="F878" s="404"/>
    </row>
    <row r="879" spans="2:6" ht="12.75" customHeight="1" x14ac:dyDescent="0.25">
      <c r="B879" s="407"/>
      <c r="C879" s="408"/>
      <c r="D879" s="404"/>
      <c r="E879" s="404"/>
      <c r="F879" s="404"/>
    </row>
    <row r="880" spans="2:6" ht="12.75" customHeight="1" x14ac:dyDescent="0.25">
      <c r="B880" s="407"/>
      <c r="C880" s="408"/>
      <c r="D880" s="404"/>
      <c r="E880" s="404"/>
      <c r="F880" s="404"/>
    </row>
    <row r="881" spans="2:6" ht="12.75" customHeight="1" x14ac:dyDescent="0.25">
      <c r="B881" s="407"/>
      <c r="C881" s="408"/>
      <c r="D881" s="404"/>
      <c r="E881" s="404"/>
      <c r="F881" s="404"/>
    </row>
    <row r="882" spans="2:6" ht="12.75" customHeight="1" x14ac:dyDescent="0.25">
      <c r="B882" s="407"/>
      <c r="C882" s="408"/>
      <c r="D882" s="404"/>
      <c r="E882" s="404"/>
      <c r="F882" s="404"/>
    </row>
    <row r="883" spans="2:6" ht="12.75" customHeight="1" x14ac:dyDescent="0.25">
      <c r="B883" s="407"/>
      <c r="C883" s="408"/>
      <c r="D883" s="404"/>
      <c r="E883" s="404"/>
      <c r="F883" s="404"/>
    </row>
    <row r="884" spans="2:6" ht="12.75" customHeight="1" x14ac:dyDescent="0.25">
      <c r="B884" s="407"/>
      <c r="C884" s="408"/>
      <c r="D884" s="404"/>
      <c r="E884" s="404"/>
      <c r="F884" s="404"/>
    </row>
    <row r="885" spans="2:6" ht="12.75" customHeight="1" x14ac:dyDescent="0.25">
      <c r="B885" s="407"/>
      <c r="C885" s="408"/>
      <c r="D885" s="404"/>
      <c r="E885" s="404"/>
      <c r="F885" s="404"/>
    </row>
    <row r="886" spans="2:6" ht="12.75" customHeight="1" x14ac:dyDescent="0.25">
      <c r="B886" s="407"/>
      <c r="C886" s="408"/>
      <c r="D886" s="404"/>
      <c r="E886" s="404"/>
      <c r="F886" s="404"/>
    </row>
    <row r="887" spans="2:6" ht="12.75" customHeight="1" x14ac:dyDescent="0.25">
      <c r="B887" s="407"/>
      <c r="C887" s="408"/>
      <c r="D887" s="404"/>
      <c r="E887" s="404"/>
      <c r="F887" s="404"/>
    </row>
    <row r="888" spans="2:6" ht="12.75" customHeight="1" x14ac:dyDescent="0.25">
      <c r="B888" s="407"/>
      <c r="C888" s="408"/>
      <c r="D888" s="404"/>
      <c r="E888" s="404"/>
      <c r="F888" s="404"/>
    </row>
    <row r="889" spans="2:6" ht="12.75" customHeight="1" x14ac:dyDescent="0.25">
      <c r="B889" s="407"/>
      <c r="C889" s="408"/>
      <c r="D889" s="404"/>
      <c r="E889" s="404"/>
      <c r="F889" s="404"/>
    </row>
    <row r="890" spans="2:6" ht="12.75" customHeight="1" x14ac:dyDescent="0.25">
      <c r="B890" s="407"/>
      <c r="C890" s="408"/>
      <c r="D890" s="404"/>
      <c r="E890" s="404"/>
      <c r="F890" s="404"/>
    </row>
    <row r="891" spans="2:6" ht="12.75" customHeight="1" x14ac:dyDescent="0.25">
      <c r="B891" s="407"/>
      <c r="C891" s="408"/>
      <c r="D891" s="404"/>
      <c r="E891" s="404"/>
      <c r="F891" s="404"/>
    </row>
    <row r="892" spans="2:6" ht="12.75" customHeight="1" x14ac:dyDescent="0.25">
      <c r="B892" s="407"/>
      <c r="C892" s="408"/>
      <c r="D892" s="404"/>
      <c r="E892" s="404"/>
      <c r="F892" s="404"/>
    </row>
    <row r="893" spans="2:6" ht="12.75" customHeight="1" x14ac:dyDescent="0.25">
      <c r="B893" s="407"/>
      <c r="C893" s="408"/>
      <c r="D893" s="404"/>
      <c r="E893" s="404"/>
      <c r="F893" s="404"/>
    </row>
    <row r="894" spans="2:6" ht="12.75" customHeight="1" x14ac:dyDescent="0.25">
      <c r="B894" s="407"/>
      <c r="C894" s="408"/>
      <c r="D894" s="404"/>
      <c r="E894" s="404"/>
      <c r="F894" s="404"/>
    </row>
    <row r="895" spans="2:6" ht="12.75" customHeight="1" x14ac:dyDescent="0.25">
      <c r="B895" s="407"/>
      <c r="C895" s="408"/>
      <c r="D895" s="404"/>
      <c r="E895" s="404"/>
      <c r="F895" s="404"/>
    </row>
    <row r="896" spans="2:6" ht="12.75" customHeight="1" x14ac:dyDescent="0.25">
      <c r="B896" s="407"/>
      <c r="C896" s="408"/>
      <c r="D896" s="404"/>
      <c r="E896" s="404"/>
      <c r="F896" s="404"/>
    </row>
    <row r="897" spans="2:6" ht="12.75" customHeight="1" x14ac:dyDescent="0.25">
      <c r="B897" s="407"/>
      <c r="C897" s="408"/>
      <c r="D897" s="404"/>
      <c r="E897" s="404"/>
      <c r="F897" s="404"/>
    </row>
    <row r="898" spans="2:6" ht="12.75" customHeight="1" x14ac:dyDescent="0.25">
      <c r="B898" s="407"/>
      <c r="C898" s="408"/>
      <c r="D898" s="404"/>
      <c r="E898" s="404"/>
      <c r="F898" s="404"/>
    </row>
    <row r="899" spans="2:6" ht="12.75" customHeight="1" x14ac:dyDescent="0.25">
      <c r="B899" s="407"/>
      <c r="C899" s="408"/>
      <c r="D899" s="404"/>
      <c r="E899" s="404"/>
      <c r="F899" s="404"/>
    </row>
    <row r="900" spans="2:6" ht="12.75" customHeight="1" x14ac:dyDescent="0.25">
      <c r="B900" s="407"/>
      <c r="C900" s="408"/>
      <c r="D900" s="404"/>
      <c r="E900" s="404"/>
      <c r="F900" s="404"/>
    </row>
    <row r="901" spans="2:6" ht="12.75" customHeight="1" x14ac:dyDescent="0.25">
      <c r="B901" s="407"/>
      <c r="C901" s="408"/>
      <c r="D901" s="404"/>
      <c r="E901" s="404"/>
      <c r="F901" s="404"/>
    </row>
    <row r="902" spans="2:6" ht="12.75" customHeight="1" x14ac:dyDescent="0.25">
      <c r="B902" s="407"/>
      <c r="C902" s="408"/>
      <c r="D902" s="404"/>
      <c r="E902" s="404"/>
      <c r="F902" s="404"/>
    </row>
    <row r="903" spans="2:6" ht="12.75" customHeight="1" x14ac:dyDescent="0.25">
      <c r="B903" s="407"/>
      <c r="C903" s="408"/>
      <c r="D903" s="404"/>
      <c r="E903" s="404"/>
      <c r="F903" s="404"/>
    </row>
    <row r="904" spans="2:6" ht="12.75" customHeight="1" x14ac:dyDescent="0.25">
      <c r="B904" s="407"/>
      <c r="C904" s="408"/>
      <c r="D904" s="404"/>
      <c r="E904" s="404"/>
      <c r="F904" s="404"/>
    </row>
    <row r="905" spans="2:6" ht="12.75" customHeight="1" x14ac:dyDescent="0.25">
      <c r="B905" s="407"/>
      <c r="C905" s="408"/>
      <c r="D905" s="404"/>
      <c r="E905" s="404"/>
      <c r="F905" s="404"/>
    </row>
    <row r="906" spans="2:6" ht="12.75" customHeight="1" x14ac:dyDescent="0.25">
      <c r="B906" s="407"/>
      <c r="C906" s="408"/>
      <c r="D906" s="404"/>
      <c r="E906" s="404"/>
      <c r="F906" s="404"/>
    </row>
    <row r="907" spans="2:6" ht="12.75" customHeight="1" x14ac:dyDescent="0.25">
      <c r="B907" s="407"/>
      <c r="C907" s="408"/>
      <c r="D907" s="404"/>
      <c r="E907" s="404"/>
      <c r="F907" s="404"/>
    </row>
    <row r="908" spans="2:6" ht="12.75" customHeight="1" x14ac:dyDescent="0.25">
      <c r="B908" s="407"/>
      <c r="C908" s="408"/>
      <c r="D908" s="404"/>
      <c r="E908" s="404"/>
      <c r="F908" s="404"/>
    </row>
    <row r="909" spans="2:6" ht="12.75" customHeight="1" x14ac:dyDescent="0.25">
      <c r="B909" s="407"/>
      <c r="C909" s="408"/>
      <c r="D909" s="404"/>
      <c r="E909" s="404"/>
      <c r="F909" s="404"/>
    </row>
    <row r="910" spans="2:6" ht="12.75" customHeight="1" x14ac:dyDescent="0.25">
      <c r="B910" s="407"/>
      <c r="C910" s="408"/>
      <c r="D910" s="404"/>
      <c r="E910" s="404"/>
      <c r="F910" s="404"/>
    </row>
    <row r="911" spans="2:6" ht="12.75" customHeight="1" x14ac:dyDescent="0.25">
      <c r="B911" s="407"/>
      <c r="C911" s="408"/>
      <c r="D911" s="404"/>
      <c r="E911" s="404"/>
      <c r="F911" s="404"/>
    </row>
    <row r="912" spans="2:6" ht="12.75" customHeight="1" x14ac:dyDescent="0.25">
      <c r="B912" s="407"/>
      <c r="C912" s="408"/>
      <c r="D912" s="404"/>
      <c r="E912" s="404"/>
      <c r="F912" s="404"/>
    </row>
    <row r="913" spans="2:6" ht="12.75" customHeight="1" x14ac:dyDescent="0.25">
      <c r="B913" s="407"/>
      <c r="C913" s="408"/>
      <c r="D913" s="404"/>
      <c r="E913" s="404"/>
      <c r="F913" s="404"/>
    </row>
    <row r="914" spans="2:6" ht="12.75" customHeight="1" x14ac:dyDescent="0.25">
      <c r="B914" s="407"/>
      <c r="C914" s="408"/>
      <c r="D914" s="404"/>
      <c r="E914" s="404"/>
      <c r="F914" s="404"/>
    </row>
    <row r="915" spans="2:6" ht="12.75" customHeight="1" x14ac:dyDescent="0.25">
      <c r="B915" s="407"/>
      <c r="C915" s="408"/>
      <c r="D915" s="404"/>
      <c r="E915" s="404"/>
      <c r="F915" s="404"/>
    </row>
    <row r="916" spans="2:6" ht="12.75" customHeight="1" x14ac:dyDescent="0.25">
      <c r="B916" s="407"/>
      <c r="C916" s="408"/>
      <c r="D916" s="404"/>
      <c r="E916" s="404"/>
      <c r="F916" s="404"/>
    </row>
    <row r="917" spans="2:6" ht="12.75" customHeight="1" x14ac:dyDescent="0.25">
      <c r="B917" s="407"/>
      <c r="C917" s="408"/>
      <c r="D917" s="404"/>
      <c r="E917" s="404"/>
      <c r="F917" s="404"/>
    </row>
    <row r="918" spans="2:6" ht="12.75" customHeight="1" x14ac:dyDescent="0.25">
      <c r="B918" s="407"/>
      <c r="C918" s="408"/>
      <c r="D918" s="404"/>
      <c r="E918" s="404"/>
      <c r="F918" s="404"/>
    </row>
    <row r="919" spans="2:6" ht="12.75" customHeight="1" x14ac:dyDescent="0.25">
      <c r="B919" s="407"/>
      <c r="C919" s="408"/>
      <c r="D919" s="404"/>
      <c r="E919" s="404"/>
      <c r="F919" s="404"/>
    </row>
    <row r="920" spans="2:6" ht="12.75" customHeight="1" x14ac:dyDescent="0.25">
      <c r="B920" s="407"/>
      <c r="C920" s="408"/>
      <c r="D920" s="404"/>
      <c r="E920" s="404"/>
      <c r="F920" s="404"/>
    </row>
    <row r="921" spans="2:6" ht="12.75" customHeight="1" x14ac:dyDescent="0.25">
      <c r="B921" s="407"/>
      <c r="C921" s="408"/>
      <c r="D921" s="404"/>
      <c r="E921" s="404"/>
      <c r="F921" s="404"/>
    </row>
    <row r="922" spans="2:6" ht="12.75" customHeight="1" x14ac:dyDescent="0.25">
      <c r="B922" s="407"/>
      <c r="C922" s="408"/>
      <c r="D922" s="404"/>
      <c r="E922" s="404"/>
      <c r="F922" s="404"/>
    </row>
    <row r="923" spans="2:6" ht="12.75" customHeight="1" x14ac:dyDescent="0.25">
      <c r="B923" s="407"/>
      <c r="C923" s="408"/>
      <c r="D923" s="404"/>
      <c r="E923" s="404"/>
      <c r="F923" s="404"/>
    </row>
    <row r="924" spans="2:6" ht="12.75" customHeight="1" x14ac:dyDescent="0.25">
      <c r="B924" s="407"/>
      <c r="C924" s="408"/>
      <c r="D924" s="404"/>
      <c r="E924" s="404"/>
      <c r="F924" s="404"/>
    </row>
    <row r="925" spans="2:6" ht="12.75" customHeight="1" x14ac:dyDescent="0.25">
      <c r="B925" s="407"/>
      <c r="C925" s="408"/>
      <c r="D925" s="404"/>
      <c r="E925" s="404"/>
      <c r="F925" s="404"/>
    </row>
    <row r="926" spans="2:6" ht="12.75" customHeight="1" x14ac:dyDescent="0.25">
      <c r="B926" s="407"/>
      <c r="C926" s="408"/>
      <c r="D926" s="404"/>
      <c r="E926" s="404"/>
      <c r="F926" s="404"/>
    </row>
    <row r="927" spans="2:6" ht="12.75" customHeight="1" x14ac:dyDescent="0.25">
      <c r="B927" s="407"/>
      <c r="C927" s="408"/>
      <c r="D927" s="404"/>
      <c r="E927" s="404"/>
      <c r="F927" s="404"/>
    </row>
    <row r="928" spans="2:6" ht="12.75" customHeight="1" x14ac:dyDescent="0.25">
      <c r="B928" s="407"/>
      <c r="C928" s="408"/>
      <c r="D928" s="404"/>
      <c r="E928" s="404"/>
      <c r="F928" s="404"/>
    </row>
    <row r="929" spans="2:6" ht="12.75" customHeight="1" x14ac:dyDescent="0.25">
      <c r="B929" s="407"/>
      <c r="C929" s="408"/>
      <c r="D929" s="404"/>
      <c r="E929" s="404"/>
      <c r="F929" s="404"/>
    </row>
    <row r="930" spans="2:6" ht="12.75" customHeight="1" x14ac:dyDescent="0.25">
      <c r="B930" s="407"/>
      <c r="C930" s="408"/>
      <c r="D930" s="404"/>
      <c r="E930" s="404"/>
      <c r="F930" s="404"/>
    </row>
    <row r="931" spans="2:6" ht="12.75" customHeight="1" x14ac:dyDescent="0.25">
      <c r="B931" s="407"/>
      <c r="C931" s="408"/>
      <c r="D931" s="404"/>
      <c r="E931" s="404"/>
      <c r="F931" s="404"/>
    </row>
    <row r="932" spans="2:6" ht="12.75" customHeight="1" x14ac:dyDescent="0.25">
      <c r="B932" s="407"/>
      <c r="C932" s="408"/>
      <c r="D932" s="404"/>
      <c r="E932" s="404"/>
      <c r="F932" s="404"/>
    </row>
    <row r="933" spans="2:6" ht="12.75" customHeight="1" x14ac:dyDescent="0.25">
      <c r="B933" s="407"/>
      <c r="C933" s="408"/>
      <c r="D933" s="404"/>
      <c r="E933" s="404"/>
      <c r="F933" s="404"/>
    </row>
    <row r="934" spans="2:6" ht="12.75" customHeight="1" x14ac:dyDescent="0.25">
      <c r="B934" s="407"/>
      <c r="C934" s="408"/>
      <c r="D934" s="404"/>
      <c r="E934" s="404"/>
      <c r="F934" s="404"/>
    </row>
    <row r="935" spans="2:6" ht="12.75" customHeight="1" x14ac:dyDescent="0.25">
      <c r="B935" s="407"/>
      <c r="C935" s="408"/>
      <c r="D935" s="404"/>
      <c r="E935" s="404"/>
      <c r="F935" s="404"/>
    </row>
    <row r="936" spans="2:6" ht="12.75" customHeight="1" x14ac:dyDescent="0.25">
      <c r="B936" s="407"/>
      <c r="C936" s="408"/>
      <c r="D936" s="404"/>
      <c r="E936" s="404"/>
      <c r="F936" s="404"/>
    </row>
    <row r="937" spans="2:6" ht="12.75" customHeight="1" x14ac:dyDescent="0.25">
      <c r="B937" s="407"/>
      <c r="C937" s="408"/>
      <c r="D937" s="404"/>
      <c r="E937" s="404"/>
      <c r="F937" s="404"/>
    </row>
    <row r="938" spans="2:6" ht="12.75" customHeight="1" x14ac:dyDescent="0.25">
      <c r="B938" s="407"/>
      <c r="C938" s="408"/>
      <c r="D938" s="404"/>
      <c r="E938" s="404"/>
      <c r="F938" s="404"/>
    </row>
    <row r="939" spans="2:6" ht="12.75" customHeight="1" x14ac:dyDescent="0.25">
      <c r="B939" s="407"/>
      <c r="C939" s="408"/>
      <c r="D939" s="404"/>
      <c r="E939" s="404"/>
      <c r="F939" s="404"/>
    </row>
    <row r="940" spans="2:6" ht="12.75" customHeight="1" x14ac:dyDescent="0.25">
      <c r="B940" s="407"/>
      <c r="C940" s="408"/>
      <c r="D940" s="404"/>
      <c r="E940" s="404"/>
      <c r="F940" s="404"/>
    </row>
    <row r="941" spans="2:6" ht="12.75" customHeight="1" x14ac:dyDescent="0.25">
      <c r="B941" s="407"/>
      <c r="C941" s="408"/>
      <c r="D941" s="404"/>
      <c r="E941" s="404"/>
      <c r="F941" s="404"/>
    </row>
    <row r="942" spans="2:6" ht="12.75" customHeight="1" x14ac:dyDescent="0.25">
      <c r="B942" s="407"/>
      <c r="C942" s="408"/>
      <c r="D942" s="404"/>
      <c r="E942" s="404"/>
      <c r="F942" s="404"/>
    </row>
    <row r="943" spans="2:6" ht="12.75" customHeight="1" x14ac:dyDescent="0.25">
      <c r="B943" s="407"/>
      <c r="C943" s="408"/>
      <c r="D943" s="404"/>
      <c r="E943" s="404"/>
      <c r="F943" s="404"/>
    </row>
    <row r="944" spans="2:6" ht="12.75" customHeight="1" x14ac:dyDescent="0.25">
      <c r="B944" s="407"/>
      <c r="C944" s="408"/>
      <c r="D944" s="404"/>
      <c r="E944" s="404"/>
      <c r="F944" s="404"/>
    </row>
    <row r="945" spans="2:6" ht="12.75" customHeight="1" x14ac:dyDescent="0.25">
      <c r="B945" s="407"/>
      <c r="C945" s="408"/>
      <c r="D945" s="404"/>
      <c r="E945" s="404"/>
      <c r="F945" s="404"/>
    </row>
    <row r="946" spans="2:6" ht="12.75" customHeight="1" x14ac:dyDescent="0.25">
      <c r="B946" s="407"/>
      <c r="C946" s="408"/>
      <c r="D946" s="404"/>
      <c r="E946" s="404"/>
      <c r="F946" s="404"/>
    </row>
    <row r="947" spans="2:6" ht="12.75" customHeight="1" x14ac:dyDescent="0.25">
      <c r="B947" s="407"/>
      <c r="C947" s="408"/>
      <c r="D947" s="404"/>
      <c r="E947" s="404"/>
      <c r="F947" s="404"/>
    </row>
    <row r="948" spans="2:6" ht="12.75" customHeight="1" x14ac:dyDescent="0.25">
      <c r="B948" s="407"/>
      <c r="C948" s="408"/>
      <c r="D948" s="404"/>
      <c r="E948" s="404"/>
      <c r="F948" s="404"/>
    </row>
    <row r="949" spans="2:6" ht="12.75" customHeight="1" x14ac:dyDescent="0.25">
      <c r="B949" s="407"/>
      <c r="C949" s="408"/>
      <c r="D949" s="404"/>
      <c r="E949" s="404"/>
      <c r="F949" s="404"/>
    </row>
    <row r="950" spans="2:6" ht="12.75" customHeight="1" x14ac:dyDescent="0.25">
      <c r="B950" s="407"/>
      <c r="C950" s="408"/>
      <c r="D950" s="404"/>
      <c r="E950" s="404"/>
      <c r="F950" s="404"/>
    </row>
    <row r="951" spans="2:6" ht="12.75" customHeight="1" x14ac:dyDescent="0.25">
      <c r="B951" s="407"/>
      <c r="C951" s="408"/>
      <c r="D951" s="404"/>
      <c r="E951" s="404"/>
      <c r="F951" s="404"/>
    </row>
    <row r="952" spans="2:6" ht="12.75" customHeight="1" x14ac:dyDescent="0.25">
      <c r="B952" s="407"/>
      <c r="C952" s="408"/>
      <c r="D952" s="404"/>
      <c r="E952" s="404"/>
      <c r="F952" s="404"/>
    </row>
    <row r="953" spans="2:6" ht="12.75" customHeight="1" x14ac:dyDescent="0.25">
      <c r="B953" s="407"/>
      <c r="C953" s="408"/>
      <c r="D953" s="404"/>
      <c r="E953" s="404"/>
      <c r="F953" s="404"/>
    </row>
    <row r="954" spans="2:6" ht="12.75" customHeight="1" x14ac:dyDescent="0.25">
      <c r="B954" s="407"/>
      <c r="C954" s="408"/>
      <c r="D954" s="404"/>
      <c r="E954" s="404"/>
      <c r="F954" s="404"/>
    </row>
    <row r="955" spans="2:6" ht="12.75" customHeight="1" x14ac:dyDescent="0.25">
      <c r="B955" s="407"/>
      <c r="C955" s="408"/>
      <c r="D955" s="404"/>
      <c r="E955" s="404"/>
      <c r="F955" s="404"/>
    </row>
    <row r="956" spans="2:6" ht="12.75" customHeight="1" x14ac:dyDescent="0.25">
      <c r="B956" s="407"/>
      <c r="C956" s="408"/>
      <c r="D956" s="404"/>
      <c r="E956" s="404"/>
      <c r="F956" s="404"/>
    </row>
    <row r="957" spans="2:6" ht="12.75" customHeight="1" x14ac:dyDescent="0.25">
      <c r="B957" s="407"/>
      <c r="C957" s="408"/>
      <c r="D957" s="404"/>
      <c r="E957" s="404"/>
      <c r="F957" s="404"/>
    </row>
    <row r="958" spans="2:6" ht="12.75" customHeight="1" x14ac:dyDescent="0.25">
      <c r="B958" s="407"/>
      <c r="C958" s="408"/>
      <c r="D958" s="404"/>
      <c r="E958" s="404"/>
      <c r="F958" s="404"/>
    </row>
    <row r="959" spans="2:6" ht="12.75" customHeight="1" x14ac:dyDescent="0.25">
      <c r="B959" s="407"/>
      <c r="C959" s="408"/>
      <c r="D959" s="404"/>
      <c r="E959" s="404"/>
      <c r="F959" s="404"/>
    </row>
    <row r="960" spans="2:6" ht="12.75" customHeight="1" x14ac:dyDescent="0.25">
      <c r="B960" s="407"/>
      <c r="C960" s="408"/>
      <c r="D960" s="404"/>
      <c r="E960" s="404"/>
      <c r="F960" s="404"/>
    </row>
    <row r="961" spans="2:6" ht="12.75" customHeight="1" x14ac:dyDescent="0.25">
      <c r="B961" s="407"/>
      <c r="C961" s="408"/>
      <c r="D961" s="404"/>
      <c r="E961" s="404"/>
      <c r="F961" s="404"/>
    </row>
    <row r="962" spans="2:6" ht="12.75" customHeight="1" x14ac:dyDescent="0.25">
      <c r="B962" s="407"/>
      <c r="C962" s="408"/>
      <c r="D962" s="404"/>
      <c r="E962" s="404"/>
      <c r="F962" s="404"/>
    </row>
    <row r="963" spans="2:6" ht="12.75" customHeight="1" x14ac:dyDescent="0.25">
      <c r="B963" s="407"/>
      <c r="C963" s="408"/>
      <c r="D963" s="404"/>
      <c r="E963" s="404"/>
      <c r="F963" s="404"/>
    </row>
    <row r="964" spans="2:6" ht="12.75" customHeight="1" x14ac:dyDescent="0.25">
      <c r="B964" s="407"/>
      <c r="C964" s="408"/>
      <c r="D964" s="404"/>
      <c r="E964" s="404"/>
      <c r="F964" s="404"/>
    </row>
    <row r="965" spans="2:6" ht="12.75" customHeight="1" x14ac:dyDescent="0.25">
      <c r="B965" s="407"/>
      <c r="C965" s="408"/>
      <c r="D965" s="404"/>
      <c r="E965" s="404"/>
      <c r="F965" s="404"/>
    </row>
    <row r="966" spans="2:6" ht="12.75" customHeight="1" x14ac:dyDescent="0.25">
      <c r="B966" s="407"/>
      <c r="C966" s="408"/>
      <c r="D966" s="404"/>
      <c r="E966" s="404"/>
      <c r="F966" s="404"/>
    </row>
    <row r="967" spans="2:6" ht="12.75" customHeight="1" x14ac:dyDescent="0.25">
      <c r="B967" s="407"/>
      <c r="C967" s="408"/>
      <c r="D967" s="404"/>
      <c r="E967" s="404"/>
      <c r="F967" s="404"/>
    </row>
    <row r="968" spans="2:6" ht="12.75" customHeight="1" x14ac:dyDescent="0.25">
      <c r="B968" s="407"/>
      <c r="C968" s="408"/>
      <c r="D968" s="404"/>
      <c r="E968" s="404"/>
      <c r="F968" s="404"/>
    </row>
    <row r="969" spans="2:6" ht="12.75" customHeight="1" x14ac:dyDescent="0.25">
      <c r="B969" s="407"/>
      <c r="C969" s="408"/>
      <c r="D969" s="404"/>
      <c r="E969" s="404"/>
      <c r="F969" s="404"/>
    </row>
    <row r="970" spans="2:6" ht="12.75" customHeight="1" x14ac:dyDescent="0.25">
      <c r="B970" s="407"/>
      <c r="C970" s="408"/>
      <c r="D970" s="404"/>
      <c r="E970" s="404"/>
      <c r="F970" s="404"/>
    </row>
    <row r="971" spans="2:6" ht="12.75" customHeight="1" x14ac:dyDescent="0.25">
      <c r="B971" s="407"/>
      <c r="C971" s="408"/>
      <c r="D971" s="404"/>
      <c r="E971" s="404"/>
      <c r="F971" s="404"/>
    </row>
    <row r="972" spans="2:6" ht="12.75" customHeight="1" x14ac:dyDescent="0.25">
      <c r="B972" s="407"/>
      <c r="C972" s="408"/>
      <c r="D972" s="404"/>
      <c r="E972" s="404"/>
      <c r="F972" s="404"/>
    </row>
    <row r="973" spans="2:6" ht="12.75" customHeight="1" x14ac:dyDescent="0.25">
      <c r="B973" s="407"/>
      <c r="C973" s="408"/>
      <c r="D973" s="404"/>
      <c r="E973" s="404"/>
      <c r="F973" s="404"/>
    </row>
    <row r="974" spans="2:6" ht="12.75" customHeight="1" x14ac:dyDescent="0.25">
      <c r="B974" s="407"/>
      <c r="C974" s="408"/>
      <c r="D974" s="404"/>
      <c r="E974" s="404"/>
      <c r="F974" s="404"/>
    </row>
    <row r="975" spans="2:6" ht="12.75" customHeight="1" x14ac:dyDescent="0.25">
      <c r="B975" s="407"/>
      <c r="C975" s="408"/>
      <c r="D975" s="404"/>
      <c r="E975" s="404"/>
      <c r="F975" s="404"/>
    </row>
    <row r="976" spans="2:6" ht="12.75" customHeight="1" x14ac:dyDescent="0.25">
      <c r="B976" s="407"/>
      <c r="C976" s="408"/>
      <c r="D976" s="404"/>
      <c r="E976" s="404"/>
      <c r="F976" s="404"/>
    </row>
    <row r="977" spans="2:6" ht="12.75" customHeight="1" x14ac:dyDescent="0.25">
      <c r="B977" s="407"/>
      <c r="C977" s="408"/>
      <c r="D977" s="404"/>
      <c r="E977" s="404"/>
      <c r="F977" s="404"/>
    </row>
    <row r="978" spans="2:6" ht="12.75" customHeight="1" x14ac:dyDescent="0.25">
      <c r="B978" s="407"/>
      <c r="C978" s="408"/>
      <c r="D978" s="404"/>
      <c r="E978" s="404"/>
      <c r="F978" s="404"/>
    </row>
    <row r="979" spans="2:6" ht="12.75" customHeight="1" x14ac:dyDescent="0.25">
      <c r="B979" s="407"/>
      <c r="C979" s="408"/>
      <c r="D979" s="404"/>
      <c r="E979" s="404"/>
      <c r="F979" s="404"/>
    </row>
    <row r="980" spans="2:6" ht="12.75" customHeight="1" x14ac:dyDescent="0.25">
      <c r="B980" s="407"/>
      <c r="C980" s="408"/>
      <c r="D980" s="404"/>
      <c r="E980" s="404"/>
      <c r="F980" s="404"/>
    </row>
    <row r="981" spans="2:6" ht="12.75" customHeight="1" x14ac:dyDescent="0.25">
      <c r="B981" s="407"/>
      <c r="C981" s="408"/>
      <c r="D981" s="404"/>
      <c r="E981" s="404"/>
      <c r="F981" s="404"/>
    </row>
    <row r="982" spans="2:6" ht="12.75" customHeight="1" x14ac:dyDescent="0.25">
      <c r="B982" s="407"/>
      <c r="C982" s="408"/>
      <c r="D982" s="404"/>
      <c r="E982" s="404"/>
      <c r="F982" s="404"/>
    </row>
    <row r="983" spans="2:6" ht="12.75" customHeight="1" x14ac:dyDescent="0.25">
      <c r="B983" s="407"/>
      <c r="C983" s="408"/>
      <c r="D983" s="404"/>
      <c r="E983" s="404"/>
      <c r="F983" s="404"/>
    </row>
    <row r="984" spans="2:6" ht="12.75" customHeight="1" x14ac:dyDescent="0.25">
      <c r="B984" s="407"/>
      <c r="C984" s="408"/>
      <c r="D984" s="404"/>
      <c r="E984" s="404"/>
      <c r="F984" s="404"/>
    </row>
    <row r="985" spans="2:6" ht="12.75" customHeight="1" x14ac:dyDescent="0.25">
      <c r="B985" s="407"/>
      <c r="C985" s="408"/>
      <c r="D985" s="404"/>
      <c r="E985" s="404"/>
      <c r="F985" s="404"/>
    </row>
    <row r="986" spans="2:6" ht="12.75" customHeight="1" x14ac:dyDescent="0.25">
      <c r="B986" s="407"/>
      <c r="C986" s="408"/>
      <c r="D986" s="404"/>
      <c r="E986" s="404"/>
      <c r="F986" s="404"/>
    </row>
    <row r="987" spans="2:6" ht="12.75" customHeight="1" x14ac:dyDescent="0.25">
      <c r="B987" s="407"/>
      <c r="C987" s="408"/>
      <c r="D987" s="404"/>
      <c r="E987" s="404"/>
      <c r="F987" s="404"/>
    </row>
    <row r="988" spans="2:6" ht="12.75" customHeight="1" x14ac:dyDescent="0.25">
      <c r="B988" s="407"/>
      <c r="C988" s="408"/>
      <c r="D988" s="404"/>
      <c r="E988" s="404"/>
      <c r="F988" s="404"/>
    </row>
    <row r="989" spans="2:6" ht="12.75" customHeight="1" x14ac:dyDescent="0.25">
      <c r="B989" s="407"/>
      <c r="C989" s="408"/>
      <c r="D989" s="404"/>
      <c r="E989" s="404"/>
      <c r="F989" s="404"/>
    </row>
    <row r="990" spans="2:6" ht="12.75" customHeight="1" x14ac:dyDescent="0.25">
      <c r="B990" s="407"/>
      <c r="C990" s="408"/>
      <c r="D990" s="404"/>
      <c r="E990" s="404"/>
      <c r="F990" s="404"/>
    </row>
    <row r="991" spans="2:6" ht="12.75" customHeight="1" x14ac:dyDescent="0.25">
      <c r="B991" s="407"/>
      <c r="C991" s="408"/>
      <c r="D991" s="404"/>
      <c r="E991" s="404"/>
      <c r="F991" s="404"/>
    </row>
    <row r="992" spans="2:6" ht="12.75" customHeight="1" x14ac:dyDescent="0.25">
      <c r="B992" s="407"/>
      <c r="C992" s="408"/>
      <c r="D992" s="404"/>
      <c r="E992" s="404"/>
      <c r="F992" s="404"/>
    </row>
    <row r="993" spans="2:6" ht="12.75" customHeight="1" x14ac:dyDescent="0.25">
      <c r="B993" s="407"/>
      <c r="C993" s="408"/>
      <c r="D993" s="404"/>
      <c r="E993" s="404"/>
      <c r="F993" s="404"/>
    </row>
    <row r="994" spans="2:6" ht="12.75" customHeight="1" x14ac:dyDescent="0.25">
      <c r="B994" s="407"/>
      <c r="C994" s="408"/>
      <c r="D994" s="404"/>
      <c r="E994" s="404"/>
      <c r="F994" s="404"/>
    </row>
    <row r="995" spans="2:6" ht="12.75" customHeight="1" x14ac:dyDescent="0.25">
      <c r="B995" s="407"/>
      <c r="C995" s="408"/>
      <c r="D995" s="404"/>
      <c r="E995" s="404"/>
      <c r="F995" s="404"/>
    </row>
    <row r="996" spans="2:6" ht="12.75" customHeight="1" x14ac:dyDescent="0.25">
      <c r="B996" s="407"/>
      <c r="C996" s="408"/>
      <c r="D996" s="404"/>
      <c r="E996" s="404"/>
      <c r="F996" s="404"/>
    </row>
    <row r="997" spans="2:6" ht="12.75" customHeight="1" x14ac:dyDescent="0.25">
      <c r="B997" s="407"/>
      <c r="C997" s="408"/>
      <c r="D997" s="404"/>
      <c r="E997" s="404"/>
      <c r="F997" s="404"/>
    </row>
    <row r="998" spans="2:6" ht="12.75" customHeight="1" x14ac:dyDescent="0.25">
      <c r="B998" s="407"/>
      <c r="C998" s="408"/>
      <c r="D998" s="404"/>
      <c r="E998" s="404"/>
      <c r="F998" s="404"/>
    </row>
    <row r="999" spans="2:6" ht="12.75" customHeight="1" x14ac:dyDescent="0.25">
      <c r="B999" s="407"/>
      <c r="C999" s="408"/>
      <c r="D999" s="404"/>
      <c r="E999" s="404"/>
      <c r="F999" s="404"/>
    </row>
    <row r="1000" spans="2:6" ht="12.75" customHeight="1" x14ac:dyDescent="0.25">
      <c r="B1000" s="407"/>
      <c r="C1000" s="408"/>
      <c r="D1000" s="404"/>
      <c r="E1000" s="404"/>
      <c r="F1000" s="404"/>
    </row>
    <row r="1001" spans="2:6" ht="12.75" customHeight="1" x14ac:dyDescent="0.25">
      <c r="B1001" s="407"/>
      <c r="C1001" s="408"/>
      <c r="D1001" s="404"/>
      <c r="E1001" s="404"/>
      <c r="F1001" s="404"/>
    </row>
    <row r="1002" spans="2:6" ht="12.75" customHeight="1" x14ac:dyDescent="0.25">
      <c r="B1002" s="407"/>
      <c r="C1002" s="408"/>
      <c r="D1002" s="404"/>
      <c r="E1002" s="404"/>
      <c r="F1002" s="404"/>
    </row>
    <row r="1003" spans="2:6" ht="12.75" customHeight="1" x14ac:dyDescent="0.25">
      <c r="B1003" s="407"/>
      <c r="C1003" s="408"/>
      <c r="D1003" s="404"/>
      <c r="E1003" s="404"/>
      <c r="F1003" s="404"/>
    </row>
    <row r="1004" spans="2:6" ht="12.75" customHeight="1" x14ac:dyDescent="0.25">
      <c r="B1004" s="407"/>
      <c r="C1004" s="408"/>
      <c r="D1004" s="404"/>
      <c r="E1004" s="404"/>
      <c r="F1004" s="404"/>
    </row>
    <row r="1005" spans="2:6" ht="12.75" customHeight="1" x14ac:dyDescent="0.25">
      <c r="B1005" s="407"/>
      <c r="C1005" s="408"/>
      <c r="D1005" s="404"/>
      <c r="E1005" s="404"/>
      <c r="F1005" s="404"/>
    </row>
    <row r="1006" spans="2:6" ht="12.75" customHeight="1" x14ac:dyDescent="0.25">
      <c r="B1006" s="407"/>
      <c r="C1006" s="408"/>
      <c r="D1006" s="404"/>
      <c r="E1006" s="404"/>
      <c r="F1006" s="404"/>
    </row>
    <row r="1007" spans="2:6" ht="12.75" customHeight="1" x14ac:dyDescent="0.25">
      <c r="B1007" s="407"/>
      <c r="C1007" s="408"/>
      <c r="D1007" s="404"/>
      <c r="E1007" s="404"/>
      <c r="F1007" s="404"/>
    </row>
    <row r="1008" spans="2:6" ht="12.75" customHeight="1" x14ac:dyDescent="0.25">
      <c r="B1008" s="407"/>
      <c r="C1008" s="408"/>
      <c r="D1008" s="404"/>
      <c r="E1008" s="404"/>
      <c r="F1008" s="404"/>
    </row>
    <row r="1009" spans="2:6" ht="12.75" customHeight="1" x14ac:dyDescent="0.25">
      <c r="B1009" s="407"/>
      <c r="C1009" s="408"/>
      <c r="D1009" s="404"/>
      <c r="E1009" s="404"/>
      <c r="F1009" s="404"/>
    </row>
    <row r="1010" spans="2:6" ht="12.75" customHeight="1" x14ac:dyDescent="0.25">
      <c r="B1010" s="407"/>
      <c r="C1010" s="408"/>
      <c r="D1010" s="404"/>
      <c r="E1010" s="404"/>
      <c r="F1010" s="404"/>
    </row>
    <row r="1011" spans="2:6" ht="12.75" customHeight="1" x14ac:dyDescent="0.25">
      <c r="B1011" s="407"/>
      <c r="C1011" s="408"/>
      <c r="D1011" s="404"/>
      <c r="E1011" s="404"/>
      <c r="F1011" s="404"/>
    </row>
    <row r="1012" spans="2:6" ht="12.75" customHeight="1" x14ac:dyDescent="0.25">
      <c r="B1012" s="407"/>
      <c r="C1012" s="408"/>
      <c r="D1012" s="404"/>
      <c r="E1012" s="404"/>
      <c r="F1012" s="404"/>
    </row>
    <row r="1013" spans="2:6" ht="12.75" customHeight="1" x14ac:dyDescent="0.25">
      <c r="B1013" s="407"/>
      <c r="C1013" s="408"/>
      <c r="D1013" s="404"/>
      <c r="E1013" s="404"/>
      <c r="F1013" s="404"/>
    </row>
    <row r="1014" spans="2:6" ht="12.75" customHeight="1" x14ac:dyDescent="0.25">
      <c r="B1014" s="407"/>
      <c r="C1014" s="408"/>
      <c r="D1014" s="404"/>
      <c r="E1014" s="404"/>
      <c r="F1014" s="404"/>
    </row>
    <row r="1015" spans="2:6" ht="12.75" customHeight="1" x14ac:dyDescent="0.25">
      <c r="B1015" s="407"/>
      <c r="C1015" s="408"/>
      <c r="D1015" s="404"/>
      <c r="E1015" s="404"/>
      <c r="F1015" s="404"/>
    </row>
    <row r="1016" spans="2:6" ht="12.75" customHeight="1" x14ac:dyDescent="0.25">
      <c r="B1016" s="407"/>
      <c r="C1016" s="408"/>
      <c r="D1016" s="404"/>
      <c r="E1016" s="404"/>
      <c r="F1016" s="404"/>
    </row>
    <row r="1017" spans="2:6" ht="12.75" customHeight="1" x14ac:dyDescent="0.25">
      <c r="B1017" s="407"/>
      <c r="C1017" s="408"/>
      <c r="D1017" s="404"/>
      <c r="E1017" s="404"/>
      <c r="F1017" s="404"/>
    </row>
    <row r="1018" spans="2:6" ht="12.75" customHeight="1" x14ac:dyDescent="0.25">
      <c r="B1018" s="407"/>
      <c r="C1018" s="408"/>
      <c r="D1018" s="404"/>
      <c r="E1018" s="404"/>
      <c r="F1018" s="404"/>
    </row>
    <row r="1019" spans="2:6" ht="12.75" customHeight="1" x14ac:dyDescent="0.25">
      <c r="B1019" s="407"/>
      <c r="C1019" s="408"/>
      <c r="D1019" s="404"/>
      <c r="E1019" s="404"/>
      <c r="F1019" s="404"/>
    </row>
    <row r="1020" spans="2:6" ht="12.75" customHeight="1" x14ac:dyDescent="0.25">
      <c r="B1020" s="407"/>
      <c r="C1020" s="408"/>
      <c r="D1020" s="404"/>
      <c r="E1020" s="404"/>
      <c r="F1020" s="404"/>
    </row>
    <row r="1021" spans="2:6" ht="12.75" customHeight="1" x14ac:dyDescent="0.25">
      <c r="B1021" s="407"/>
      <c r="C1021" s="408"/>
      <c r="D1021" s="404"/>
      <c r="E1021" s="404"/>
      <c r="F1021" s="404"/>
    </row>
    <row r="1022" spans="2:6" ht="12.75" customHeight="1" x14ac:dyDescent="0.25">
      <c r="B1022" s="407"/>
      <c r="C1022" s="408"/>
      <c r="D1022" s="404"/>
      <c r="E1022" s="404"/>
      <c r="F1022" s="404"/>
    </row>
    <row r="1023" spans="2:6" ht="12.75" customHeight="1" x14ac:dyDescent="0.25">
      <c r="B1023" s="407"/>
      <c r="C1023" s="408"/>
      <c r="D1023" s="404"/>
      <c r="E1023" s="404"/>
      <c r="F1023" s="404"/>
    </row>
    <row r="1024" spans="2:6" ht="12.75" customHeight="1" x14ac:dyDescent="0.25">
      <c r="B1024" s="407"/>
      <c r="C1024" s="408"/>
      <c r="D1024" s="404"/>
      <c r="E1024" s="404"/>
      <c r="F1024" s="404"/>
    </row>
    <row r="1025" spans="2:6" ht="12.75" customHeight="1" x14ac:dyDescent="0.25">
      <c r="B1025" s="407"/>
      <c r="C1025" s="408"/>
      <c r="D1025" s="404"/>
      <c r="E1025" s="404"/>
      <c r="F1025" s="404"/>
    </row>
    <row r="1026" spans="2:6" ht="12.75" customHeight="1" x14ac:dyDescent="0.25">
      <c r="B1026" s="407"/>
      <c r="C1026" s="408"/>
      <c r="D1026" s="404"/>
      <c r="E1026" s="404"/>
      <c r="F1026" s="404"/>
    </row>
    <row r="1027" spans="2:6" ht="12.75" customHeight="1" x14ac:dyDescent="0.25">
      <c r="B1027" s="407"/>
      <c r="C1027" s="408"/>
      <c r="D1027" s="404"/>
      <c r="E1027" s="404"/>
      <c r="F1027" s="404"/>
    </row>
    <row r="1028" spans="2:6" ht="12.75" customHeight="1" x14ac:dyDescent="0.25">
      <c r="B1028" s="407"/>
      <c r="C1028" s="408"/>
      <c r="D1028" s="404"/>
      <c r="E1028" s="404"/>
      <c r="F1028" s="404"/>
    </row>
    <row r="1029" spans="2:6" ht="12.75" customHeight="1" x14ac:dyDescent="0.25">
      <c r="B1029" s="407"/>
      <c r="C1029" s="408"/>
      <c r="D1029" s="404"/>
      <c r="E1029" s="404"/>
      <c r="F1029" s="404"/>
    </row>
    <row r="1030" spans="2:6" ht="12.75" customHeight="1" x14ac:dyDescent="0.25">
      <c r="B1030" s="407"/>
      <c r="C1030" s="408"/>
      <c r="D1030" s="404"/>
      <c r="E1030" s="404"/>
      <c r="F1030" s="404"/>
    </row>
    <row r="1031" spans="2:6" ht="12.75" customHeight="1" x14ac:dyDescent="0.25">
      <c r="B1031" s="407"/>
      <c r="C1031" s="408"/>
      <c r="D1031" s="404"/>
      <c r="E1031" s="404"/>
      <c r="F1031" s="404"/>
    </row>
    <row r="1032" spans="2:6" ht="12.75" customHeight="1" x14ac:dyDescent="0.25">
      <c r="B1032" s="407"/>
      <c r="C1032" s="408"/>
      <c r="D1032" s="404"/>
      <c r="E1032" s="404"/>
      <c r="F1032" s="404"/>
    </row>
    <row r="1033" spans="2:6" ht="12.75" customHeight="1" x14ac:dyDescent="0.25">
      <c r="B1033" s="407"/>
      <c r="C1033" s="408"/>
      <c r="D1033" s="404"/>
      <c r="E1033" s="404"/>
      <c r="F1033" s="404"/>
    </row>
    <row r="1034" spans="2:6" ht="12.75" customHeight="1" x14ac:dyDescent="0.25">
      <c r="B1034" s="407"/>
      <c r="C1034" s="408"/>
      <c r="D1034" s="404"/>
      <c r="E1034" s="404"/>
      <c r="F1034" s="404"/>
    </row>
    <row r="1035" spans="2:6" ht="12.75" customHeight="1" x14ac:dyDescent="0.25">
      <c r="B1035" s="407"/>
      <c r="C1035" s="408"/>
      <c r="D1035" s="404"/>
      <c r="E1035" s="404"/>
      <c r="F1035" s="404"/>
    </row>
    <row r="1036" spans="2:6" ht="12.75" customHeight="1" x14ac:dyDescent="0.25">
      <c r="B1036" s="407"/>
      <c r="C1036" s="408"/>
      <c r="D1036" s="404"/>
      <c r="E1036" s="404"/>
      <c r="F1036" s="404"/>
    </row>
    <row r="1037" spans="2:6" ht="12.75" customHeight="1" x14ac:dyDescent="0.25">
      <c r="B1037" s="407"/>
      <c r="C1037" s="408"/>
      <c r="D1037" s="404"/>
      <c r="E1037" s="404"/>
      <c r="F1037" s="404"/>
    </row>
    <row r="1038" spans="2:6" ht="12.75" customHeight="1" x14ac:dyDescent="0.25">
      <c r="B1038" s="407"/>
      <c r="C1038" s="408"/>
      <c r="D1038" s="404"/>
      <c r="E1038" s="404"/>
      <c r="F1038" s="404"/>
    </row>
    <row r="1039" spans="2:6" ht="12.75" customHeight="1" x14ac:dyDescent="0.25">
      <c r="B1039" s="407"/>
      <c r="C1039" s="408"/>
      <c r="D1039" s="404"/>
      <c r="E1039" s="404"/>
      <c r="F1039" s="404"/>
    </row>
    <row r="1040" spans="2:6" ht="12.75" customHeight="1" x14ac:dyDescent="0.25">
      <c r="B1040" s="407"/>
      <c r="C1040" s="408"/>
      <c r="D1040" s="404"/>
      <c r="E1040" s="404"/>
      <c r="F1040" s="404"/>
    </row>
    <row r="1041" spans="2:6" ht="12.75" customHeight="1" x14ac:dyDescent="0.25">
      <c r="B1041" s="407"/>
      <c r="C1041" s="408"/>
      <c r="D1041" s="404"/>
      <c r="E1041" s="404"/>
      <c r="F1041" s="404"/>
    </row>
    <row r="1042" spans="2:6" ht="12.75" customHeight="1" x14ac:dyDescent="0.25">
      <c r="B1042" s="407"/>
      <c r="C1042" s="408"/>
      <c r="D1042" s="404"/>
      <c r="E1042" s="404"/>
      <c r="F1042" s="404"/>
    </row>
    <row r="1043" spans="2:6" ht="12.75" customHeight="1" x14ac:dyDescent="0.25">
      <c r="B1043" s="407"/>
      <c r="C1043" s="408"/>
      <c r="D1043" s="404"/>
      <c r="E1043" s="404"/>
      <c r="F1043" s="404"/>
    </row>
    <row r="1044" spans="2:6" ht="12.75" customHeight="1" x14ac:dyDescent="0.25">
      <c r="B1044" s="407"/>
      <c r="C1044" s="408"/>
      <c r="D1044" s="404"/>
      <c r="E1044" s="404"/>
      <c r="F1044" s="404"/>
    </row>
    <row r="1045" spans="2:6" ht="12.75" customHeight="1" x14ac:dyDescent="0.25">
      <c r="B1045" s="407"/>
      <c r="C1045" s="408"/>
      <c r="D1045" s="404"/>
      <c r="E1045" s="404"/>
      <c r="F1045" s="404"/>
    </row>
    <row r="1046" spans="2:6" ht="12.75" customHeight="1" x14ac:dyDescent="0.25">
      <c r="B1046" s="407"/>
      <c r="C1046" s="408"/>
      <c r="D1046" s="404"/>
      <c r="E1046" s="404"/>
      <c r="F1046" s="404"/>
    </row>
    <row r="1047" spans="2:6" ht="12.75" customHeight="1" x14ac:dyDescent="0.25">
      <c r="B1047" s="407"/>
      <c r="C1047" s="408"/>
      <c r="D1047" s="404"/>
      <c r="E1047" s="404"/>
      <c r="F1047" s="404"/>
    </row>
    <row r="1048" spans="2:6" ht="12.75" customHeight="1" x14ac:dyDescent="0.25">
      <c r="B1048" s="407"/>
      <c r="C1048" s="408"/>
      <c r="D1048" s="404"/>
      <c r="E1048" s="404"/>
      <c r="F1048" s="404"/>
    </row>
    <row r="1049" spans="2:6" ht="12.75" customHeight="1" x14ac:dyDescent="0.25">
      <c r="B1049" s="407"/>
      <c r="C1049" s="408"/>
      <c r="D1049" s="404"/>
      <c r="E1049" s="404"/>
      <c r="F1049" s="404"/>
    </row>
    <row r="1050" spans="2:6" ht="12.75" customHeight="1" x14ac:dyDescent="0.25">
      <c r="B1050" s="407"/>
      <c r="C1050" s="408"/>
      <c r="D1050" s="404"/>
      <c r="E1050" s="404"/>
      <c r="F1050" s="404"/>
    </row>
    <row r="1051" spans="2:6" ht="12.75" customHeight="1" x14ac:dyDescent="0.25">
      <c r="B1051" s="407"/>
      <c r="C1051" s="408"/>
      <c r="D1051" s="404"/>
      <c r="E1051" s="404"/>
      <c r="F1051" s="404"/>
    </row>
    <row r="1052" spans="2:6" ht="12.75" customHeight="1" x14ac:dyDescent="0.25">
      <c r="B1052" s="407"/>
      <c r="C1052" s="408"/>
      <c r="D1052" s="404"/>
      <c r="E1052" s="404"/>
      <c r="F1052" s="404"/>
    </row>
    <row r="1053" spans="2:6" ht="12.75" customHeight="1" x14ac:dyDescent="0.25">
      <c r="B1053" s="407"/>
      <c r="C1053" s="408"/>
      <c r="D1053" s="404"/>
      <c r="E1053" s="404"/>
      <c r="F1053" s="404"/>
    </row>
    <row r="1054" spans="2:6" ht="12.75" customHeight="1" x14ac:dyDescent="0.25">
      <c r="B1054" s="407"/>
      <c r="C1054" s="408"/>
      <c r="D1054" s="404"/>
      <c r="E1054" s="404"/>
      <c r="F1054" s="404"/>
    </row>
    <row r="1055" spans="2:6" ht="12.75" customHeight="1" x14ac:dyDescent="0.25">
      <c r="B1055" s="407"/>
      <c r="C1055" s="408"/>
      <c r="D1055" s="404"/>
      <c r="E1055" s="404"/>
      <c r="F1055" s="404"/>
    </row>
    <row r="1056" spans="2:6" ht="12.75" customHeight="1" x14ac:dyDescent="0.25">
      <c r="B1056" s="407"/>
      <c r="C1056" s="408"/>
      <c r="D1056" s="404"/>
      <c r="E1056" s="404"/>
      <c r="F1056" s="404"/>
    </row>
    <row r="1057" spans="2:6" ht="12.75" customHeight="1" x14ac:dyDescent="0.25">
      <c r="B1057" s="407"/>
      <c r="C1057" s="408"/>
      <c r="D1057" s="404"/>
      <c r="E1057" s="404"/>
      <c r="F1057" s="404"/>
    </row>
    <row r="1058" spans="2:6" ht="12.75" customHeight="1" x14ac:dyDescent="0.25">
      <c r="B1058" s="407"/>
      <c r="C1058" s="408"/>
      <c r="D1058" s="404"/>
      <c r="E1058" s="404"/>
      <c r="F1058" s="404"/>
    </row>
    <row r="1059" spans="2:6" ht="12.75" customHeight="1" x14ac:dyDescent="0.25">
      <c r="B1059" s="407"/>
      <c r="C1059" s="408"/>
      <c r="D1059" s="404"/>
      <c r="E1059" s="404"/>
      <c r="F1059" s="404"/>
    </row>
    <row r="1060" spans="2:6" ht="12.75" customHeight="1" x14ac:dyDescent="0.25">
      <c r="B1060" s="407"/>
      <c r="C1060" s="408"/>
      <c r="D1060" s="404"/>
      <c r="E1060" s="404"/>
      <c r="F1060" s="404"/>
    </row>
    <row r="1061" spans="2:6" ht="12.75" customHeight="1" x14ac:dyDescent="0.25">
      <c r="B1061" s="407"/>
      <c r="C1061" s="408"/>
      <c r="D1061" s="404"/>
      <c r="E1061" s="404"/>
      <c r="F1061" s="404"/>
    </row>
    <row r="1062" spans="2:6" ht="12.75" customHeight="1" x14ac:dyDescent="0.25">
      <c r="B1062" s="407"/>
      <c r="C1062" s="408"/>
      <c r="D1062" s="404"/>
      <c r="E1062" s="404"/>
      <c r="F1062" s="404"/>
    </row>
    <row r="1063" spans="2:6" ht="12.75" customHeight="1" x14ac:dyDescent="0.25">
      <c r="B1063" s="407"/>
      <c r="C1063" s="408"/>
      <c r="D1063" s="404"/>
      <c r="E1063" s="404"/>
      <c r="F1063" s="404"/>
    </row>
    <row r="1064" spans="2:6" ht="12.75" customHeight="1" x14ac:dyDescent="0.25">
      <c r="B1064" s="407"/>
      <c r="C1064" s="408"/>
      <c r="D1064" s="404"/>
      <c r="E1064" s="404"/>
      <c r="F1064" s="404"/>
    </row>
    <row r="1065" spans="2:6" ht="12.75" customHeight="1" x14ac:dyDescent="0.25">
      <c r="B1065" s="407"/>
      <c r="C1065" s="408"/>
      <c r="D1065" s="404"/>
      <c r="E1065" s="404"/>
      <c r="F1065" s="404"/>
    </row>
    <row r="1066" spans="2:6" ht="12.75" customHeight="1" x14ac:dyDescent="0.25">
      <c r="B1066" s="407"/>
      <c r="C1066" s="408"/>
      <c r="D1066" s="404"/>
      <c r="E1066" s="404"/>
      <c r="F1066" s="404"/>
    </row>
    <row r="1067" spans="2:6" ht="12.75" customHeight="1" x14ac:dyDescent="0.25">
      <c r="B1067" s="407"/>
      <c r="C1067" s="408"/>
      <c r="D1067" s="404"/>
      <c r="E1067" s="404"/>
      <c r="F1067" s="404"/>
    </row>
    <row r="1068" spans="2:6" ht="12.75" customHeight="1" x14ac:dyDescent="0.25">
      <c r="B1068" s="407"/>
      <c r="C1068" s="408"/>
      <c r="D1068" s="404"/>
      <c r="E1068" s="404"/>
      <c r="F1068" s="404"/>
    </row>
    <row r="1069" spans="2:6" ht="12.75" customHeight="1" x14ac:dyDescent="0.25">
      <c r="B1069" s="407"/>
      <c r="C1069" s="408"/>
      <c r="D1069" s="404"/>
      <c r="E1069" s="404"/>
      <c r="F1069" s="404"/>
    </row>
    <row r="1070" spans="2:6" ht="12.75" customHeight="1" x14ac:dyDescent="0.25">
      <c r="B1070" s="407"/>
      <c r="C1070" s="408"/>
      <c r="D1070" s="404"/>
      <c r="E1070" s="404"/>
      <c r="F1070" s="404"/>
    </row>
    <row r="1071" spans="2:6" ht="12.75" customHeight="1" x14ac:dyDescent="0.25">
      <c r="B1071" s="407"/>
      <c r="C1071" s="408"/>
      <c r="D1071" s="404"/>
      <c r="E1071" s="404"/>
      <c r="F1071" s="404"/>
    </row>
    <row r="1072" spans="2:6" ht="12.75" customHeight="1" x14ac:dyDescent="0.25">
      <c r="B1072" s="407"/>
      <c r="C1072" s="408"/>
      <c r="D1072" s="404"/>
      <c r="E1072" s="404"/>
      <c r="F1072" s="404"/>
    </row>
    <row r="1073" spans="2:6" ht="12.75" customHeight="1" x14ac:dyDescent="0.25">
      <c r="B1073" s="407"/>
      <c r="C1073" s="408"/>
      <c r="D1073" s="404"/>
      <c r="E1073" s="404"/>
      <c r="F1073" s="404"/>
    </row>
    <row r="1074" spans="2:6" ht="12.75" customHeight="1" x14ac:dyDescent="0.25">
      <c r="B1074" s="407"/>
      <c r="C1074" s="408"/>
      <c r="D1074" s="404"/>
      <c r="E1074" s="404"/>
      <c r="F1074" s="404"/>
    </row>
    <row r="1075" spans="2:6" ht="12.75" customHeight="1" x14ac:dyDescent="0.25">
      <c r="B1075" s="407"/>
      <c r="C1075" s="408"/>
      <c r="D1075" s="404"/>
      <c r="E1075" s="404"/>
      <c r="F1075" s="404"/>
    </row>
    <row r="1076" spans="2:6" ht="12.75" customHeight="1" x14ac:dyDescent="0.25">
      <c r="B1076" s="407"/>
      <c r="C1076" s="408"/>
      <c r="D1076" s="404"/>
      <c r="E1076" s="404"/>
      <c r="F1076" s="404"/>
    </row>
    <row r="1077" spans="2:6" ht="12.75" customHeight="1" x14ac:dyDescent="0.25">
      <c r="B1077" s="407"/>
      <c r="C1077" s="408"/>
      <c r="D1077" s="404"/>
      <c r="E1077" s="404"/>
      <c r="F1077" s="404"/>
    </row>
    <row r="1078" spans="2:6" ht="12.75" customHeight="1" x14ac:dyDescent="0.25">
      <c r="B1078" s="407"/>
      <c r="C1078" s="408"/>
      <c r="D1078" s="404"/>
      <c r="E1078" s="404"/>
      <c r="F1078" s="404"/>
    </row>
    <row r="1079" spans="2:6" ht="12.75" customHeight="1" x14ac:dyDescent="0.25">
      <c r="B1079" s="407"/>
      <c r="C1079" s="408"/>
      <c r="D1079" s="404"/>
      <c r="E1079" s="404"/>
      <c r="F1079" s="404"/>
    </row>
    <row r="1080" spans="2:6" ht="12.75" customHeight="1" x14ac:dyDescent="0.25">
      <c r="B1080" s="407"/>
      <c r="C1080" s="408"/>
      <c r="D1080" s="404"/>
      <c r="E1080" s="404"/>
      <c r="F1080" s="404"/>
    </row>
    <row r="1081" spans="2:6" ht="12.75" customHeight="1" x14ac:dyDescent="0.25">
      <c r="B1081" s="407"/>
      <c r="C1081" s="408"/>
      <c r="D1081" s="404"/>
      <c r="E1081" s="404"/>
      <c r="F1081" s="404"/>
    </row>
    <row r="1082" spans="2:6" ht="12.75" customHeight="1" x14ac:dyDescent="0.25">
      <c r="B1082" s="407"/>
      <c r="C1082" s="408"/>
      <c r="D1082" s="404"/>
      <c r="E1082" s="404"/>
      <c r="F1082" s="404"/>
    </row>
    <row r="1083" spans="2:6" ht="12.75" customHeight="1" x14ac:dyDescent="0.25">
      <c r="B1083" s="407"/>
      <c r="C1083" s="408"/>
      <c r="D1083" s="404"/>
      <c r="E1083" s="404"/>
      <c r="F1083" s="404"/>
    </row>
    <row r="1084" spans="2:6" ht="12.75" customHeight="1" x14ac:dyDescent="0.25">
      <c r="B1084" s="407"/>
      <c r="C1084" s="408"/>
      <c r="D1084" s="404"/>
      <c r="E1084" s="404"/>
      <c r="F1084" s="404"/>
    </row>
    <row r="1085" spans="2:6" ht="12.75" customHeight="1" x14ac:dyDescent="0.25">
      <c r="B1085" s="407"/>
      <c r="C1085" s="408"/>
      <c r="D1085" s="404"/>
      <c r="E1085" s="404"/>
      <c r="F1085" s="404"/>
    </row>
    <row r="1086" spans="2:6" ht="12.75" customHeight="1" x14ac:dyDescent="0.25">
      <c r="B1086" s="407"/>
      <c r="C1086" s="408"/>
      <c r="D1086" s="404"/>
      <c r="E1086" s="404"/>
      <c r="F1086" s="404"/>
    </row>
    <row r="1087" spans="2:6" ht="12.75" customHeight="1" x14ac:dyDescent="0.25">
      <c r="B1087" s="407"/>
      <c r="C1087" s="408"/>
      <c r="D1087" s="404"/>
      <c r="E1087" s="404"/>
      <c r="F1087" s="404"/>
    </row>
    <row r="1088" spans="2:6" ht="12.75" customHeight="1" x14ac:dyDescent="0.25">
      <c r="B1088" s="407"/>
      <c r="C1088" s="408"/>
      <c r="D1088" s="404"/>
      <c r="E1088" s="404"/>
      <c r="F1088" s="404"/>
    </row>
    <row r="1089" spans="2:6" ht="12.75" customHeight="1" x14ac:dyDescent="0.25">
      <c r="B1089" s="407"/>
      <c r="C1089" s="408"/>
      <c r="D1089" s="404"/>
      <c r="E1089" s="404"/>
      <c r="F1089" s="404"/>
    </row>
    <row r="1090" spans="2:6" ht="12.75" customHeight="1" x14ac:dyDescent="0.25">
      <c r="B1090" s="407"/>
      <c r="C1090" s="408"/>
      <c r="D1090" s="404"/>
      <c r="E1090" s="404"/>
      <c r="F1090" s="404"/>
    </row>
    <row r="1091" spans="2:6" ht="12.75" customHeight="1" x14ac:dyDescent="0.25">
      <c r="B1091" s="407"/>
      <c r="C1091" s="408"/>
      <c r="D1091" s="404"/>
      <c r="E1091" s="404"/>
      <c r="F1091" s="404"/>
    </row>
    <row r="1092" spans="2:6" ht="12.75" customHeight="1" x14ac:dyDescent="0.25">
      <c r="B1092" s="407"/>
      <c r="C1092" s="408"/>
      <c r="D1092" s="404"/>
      <c r="E1092" s="404"/>
      <c r="F1092" s="404"/>
    </row>
    <row r="1093" spans="2:6" ht="12.75" customHeight="1" x14ac:dyDescent="0.25">
      <c r="B1093" s="407"/>
      <c r="C1093" s="408"/>
      <c r="D1093" s="404"/>
      <c r="E1093" s="404"/>
      <c r="F1093" s="404"/>
    </row>
    <row r="1094" spans="2:6" ht="12.75" customHeight="1" x14ac:dyDescent="0.25">
      <c r="B1094" s="407"/>
      <c r="C1094" s="408"/>
      <c r="D1094" s="404"/>
      <c r="E1094" s="404"/>
      <c r="F1094" s="404"/>
    </row>
    <row r="1095" spans="2:6" ht="12.75" customHeight="1" x14ac:dyDescent="0.25">
      <c r="B1095" s="407"/>
      <c r="C1095" s="408"/>
      <c r="D1095" s="404"/>
      <c r="E1095" s="404"/>
      <c r="F1095" s="404"/>
    </row>
    <row r="1096" spans="2:6" ht="12.75" customHeight="1" x14ac:dyDescent="0.25">
      <c r="B1096" s="407"/>
      <c r="C1096" s="408"/>
      <c r="D1096" s="404"/>
      <c r="E1096" s="404"/>
      <c r="F1096" s="404"/>
    </row>
    <row r="1097" spans="2:6" ht="12.75" customHeight="1" x14ac:dyDescent="0.25">
      <c r="B1097" s="407"/>
      <c r="C1097" s="408"/>
      <c r="D1097" s="404"/>
      <c r="E1097" s="404"/>
      <c r="F1097" s="404"/>
    </row>
    <row r="1098" spans="2:6" ht="12.75" customHeight="1" x14ac:dyDescent="0.25">
      <c r="B1098" s="407"/>
      <c r="C1098" s="408"/>
      <c r="D1098" s="404"/>
      <c r="E1098" s="404"/>
      <c r="F1098" s="404"/>
    </row>
    <row r="1099" spans="2:6" ht="12.75" customHeight="1" x14ac:dyDescent="0.25">
      <c r="B1099" s="407"/>
      <c r="C1099" s="408"/>
      <c r="D1099" s="404"/>
      <c r="E1099" s="404"/>
      <c r="F1099" s="404"/>
    </row>
    <row r="1100" spans="2:6" ht="12.75" customHeight="1" x14ac:dyDescent="0.25">
      <c r="B1100" s="407"/>
      <c r="C1100" s="408"/>
      <c r="D1100" s="404"/>
      <c r="E1100" s="404"/>
      <c r="F1100" s="404"/>
    </row>
    <row r="1101" spans="2:6" ht="12.75" customHeight="1" x14ac:dyDescent="0.25">
      <c r="B1101" s="407"/>
      <c r="C1101" s="408"/>
      <c r="D1101" s="404"/>
      <c r="E1101" s="404"/>
      <c r="F1101" s="404"/>
    </row>
    <row r="1102" spans="2:6" ht="12.75" customHeight="1" x14ac:dyDescent="0.25">
      <c r="B1102" s="407"/>
      <c r="C1102" s="408"/>
      <c r="D1102" s="404"/>
      <c r="E1102" s="404"/>
      <c r="F1102" s="404"/>
    </row>
    <row r="1103" spans="2:6" ht="12.75" customHeight="1" x14ac:dyDescent="0.25">
      <c r="B1103" s="407"/>
      <c r="C1103" s="408"/>
      <c r="D1103" s="404"/>
      <c r="E1103" s="404"/>
      <c r="F1103" s="404"/>
    </row>
    <row r="1104" spans="2:6" ht="12.75" customHeight="1" x14ac:dyDescent="0.25">
      <c r="B1104" s="407"/>
      <c r="C1104" s="408"/>
      <c r="D1104" s="404"/>
      <c r="E1104" s="404"/>
      <c r="F1104" s="404"/>
    </row>
    <row r="1105" spans="2:6" ht="12.75" customHeight="1" x14ac:dyDescent="0.25">
      <c r="B1105" s="407"/>
      <c r="C1105" s="408"/>
      <c r="D1105" s="404"/>
      <c r="E1105" s="404"/>
      <c r="F1105" s="404"/>
    </row>
    <row r="1106" spans="2:6" ht="12.75" customHeight="1" x14ac:dyDescent="0.25">
      <c r="B1106" s="407"/>
      <c r="C1106" s="408"/>
      <c r="D1106" s="404"/>
      <c r="E1106" s="404"/>
      <c r="F1106" s="404"/>
    </row>
    <row r="1107" spans="2:6" ht="12.75" customHeight="1" x14ac:dyDescent="0.25">
      <c r="B1107" s="407"/>
      <c r="C1107" s="408"/>
      <c r="D1107" s="404"/>
      <c r="E1107" s="404"/>
      <c r="F1107" s="404"/>
    </row>
    <row r="1108" spans="2:6" ht="12.75" customHeight="1" x14ac:dyDescent="0.25">
      <c r="B1108" s="407"/>
      <c r="C1108" s="408"/>
      <c r="D1108" s="404"/>
      <c r="E1108" s="404"/>
      <c r="F1108" s="404"/>
    </row>
    <row r="1109" spans="2:6" ht="12.75" customHeight="1" x14ac:dyDescent="0.25">
      <c r="B1109" s="407"/>
      <c r="C1109" s="408"/>
      <c r="D1109" s="404"/>
      <c r="E1109" s="404"/>
      <c r="F1109" s="404"/>
    </row>
    <row r="1110" spans="2:6" ht="12.75" customHeight="1" x14ac:dyDescent="0.25">
      <c r="B1110" s="407"/>
      <c r="C1110" s="408"/>
      <c r="D1110" s="404"/>
      <c r="E1110" s="404"/>
      <c r="F1110" s="404"/>
    </row>
    <row r="1111" spans="2:6" ht="12.75" customHeight="1" x14ac:dyDescent="0.25">
      <c r="B1111" s="407"/>
      <c r="C1111" s="408"/>
      <c r="D1111" s="404"/>
      <c r="E1111" s="404"/>
      <c r="F1111" s="404"/>
    </row>
    <row r="1112" spans="2:6" ht="12.75" customHeight="1" x14ac:dyDescent="0.25">
      <c r="B1112" s="407"/>
      <c r="C1112" s="408"/>
      <c r="D1112" s="404"/>
      <c r="E1112" s="404"/>
      <c r="F1112" s="404"/>
    </row>
    <row r="1113" spans="2:6" ht="12.75" customHeight="1" x14ac:dyDescent="0.25">
      <c r="B1113" s="407"/>
      <c r="C1113" s="408"/>
      <c r="D1113" s="404"/>
      <c r="E1113" s="404"/>
      <c r="F1113" s="404"/>
    </row>
    <row r="1114" spans="2:6" ht="12.75" customHeight="1" x14ac:dyDescent="0.25">
      <c r="B1114" s="407"/>
      <c r="C1114" s="408"/>
      <c r="D1114" s="404"/>
      <c r="E1114" s="404"/>
      <c r="F1114" s="404"/>
    </row>
    <row r="1115" spans="2:6" ht="12.75" customHeight="1" x14ac:dyDescent="0.25">
      <c r="B1115" s="407"/>
      <c r="C1115" s="408"/>
      <c r="D1115" s="404"/>
      <c r="E1115" s="404"/>
      <c r="F1115" s="404"/>
    </row>
    <row r="1116" spans="2:6" ht="12.75" customHeight="1" x14ac:dyDescent="0.25">
      <c r="B1116" s="407"/>
      <c r="C1116" s="408"/>
      <c r="D1116" s="404"/>
      <c r="E1116" s="404"/>
      <c r="F1116" s="404"/>
    </row>
    <row r="1117" spans="2:6" ht="12.75" customHeight="1" x14ac:dyDescent="0.25">
      <c r="B1117" s="407"/>
      <c r="C1117" s="408"/>
      <c r="D1117" s="404"/>
      <c r="E1117" s="404"/>
      <c r="F1117" s="404"/>
    </row>
    <row r="1118" spans="2:6" ht="12.75" customHeight="1" x14ac:dyDescent="0.25">
      <c r="B1118" s="407"/>
      <c r="C1118" s="408"/>
      <c r="D1118" s="404"/>
      <c r="E1118" s="404"/>
      <c r="F1118" s="404"/>
    </row>
    <row r="1119" spans="2:6" ht="12.75" customHeight="1" x14ac:dyDescent="0.25">
      <c r="B1119" s="407"/>
      <c r="C1119" s="408"/>
      <c r="D1119" s="404"/>
      <c r="E1119" s="404"/>
      <c r="F1119" s="404"/>
    </row>
    <row r="1120" spans="2:6" ht="12.75" customHeight="1" x14ac:dyDescent="0.25">
      <c r="B1120" s="407"/>
      <c r="C1120" s="408"/>
      <c r="D1120" s="404"/>
      <c r="E1120" s="404"/>
      <c r="F1120" s="404"/>
    </row>
    <row r="1121" spans="2:6" ht="12.75" customHeight="1" x14ac:dyDescent="0.25">
      <c r="B1121" s="407"/>
      <c r="C1121" s="408"/>
      <c r="D1121" s="404"/>
      <c r="E1121" s="404"/>
      <c r="F1121" s="404"/>
    </row>
    <row r="1122" spans="2:6" ht="12.75" customHeight="1" x14ac:dyDescent="0.25">
      <c r="B1122" s="407"/>
      <c r="C1122" s="408"/>
      <c r="D1122" s="404"/>
      <c r="E1122" s="404"/>
      <c r="F1122" s="404"/>
    </row>
    <row r="1123" spans="2:6" ht="12.75" customHeight="1" x14ac:dyDescent="0.25">
      <c r="B1123" s="407"/>
      <c r="C1123" s="408"/>
      <c r="D1123" s="404"/>
      <c r="E1123" s="404"/>
      <c r="F1123" s="404"/>
    </row>
    <row r="1124" spans="2:6" ht="12.75" customHeight="1" x14ac:dyDescent="0.25">
      <c r="B1124" s="407"/>
      <c r="C1124" s="408"/>
      <c r="D1124" s="404"/>
      <c r="E1124" s="404"/>
      <c r="F1124" s="404"/>
    </row>
    <row r="1125" spans="2:6" ht="12.75" customHeight="1" x14ac:dyDescent="0.25">
      <c r="B1125" s="407"/>
      <c r="C1125" s="408"/>
      <c r="D1125" s="404"/>
      <c r="E1125" s="404"/>
      <c r="F1125" s="404"/>
    </row>
    <row r="1126" spans="2:6" ht="12.75" customHeight="1" x14ac:dyDescent="0.25">
      <c r="B1126" s="407"/>
      <c r="C1126" s="408"/>
      <c r="D1126" s="404"/>
      <c r="E1126" s="404"/>
      <c r="F1126" s="404"/>
    </row>
    <row r="1127" spans="2:6" ht="12.75" customHeight="1" x14ac:dyDescent="0.25">
      <c r="B1127" s="407"/>
      <c r="C1127" s="408"/>
      <c r="D1127" s="404"/>
      <c r="E1127" s="404"/>
      <c r="F1127" s="404"/>
    </row>
    <row r="1128" spans="2:6" ht="12.75" customHeight="1" x14ac:dyDescent="0.25">
      <c r="B1128" s="407"/>
      <c r="C1128" s="408"/>
      <c r="D1128" s="404"/>
      <c r="E1128" s="404"/>
      <c r="F1128" s="404"/>
    </row>
    <row r="1129" spans="2:6" ht="12.75" customHeight="1" x14ac:dyDescent="0.25">
      <c r="B1129" s="407"/>
      <c r="C1129" s="408"/>
      <c r="D1129" s="404"/>
      <c r="E1129" s="404"/>
      <c r="F1129" s="404"/>
    </row>
    <row r="1130" spans="2:6" ht="12.75" customHeight="1" x14ac:dyDescent="0.25">
      <c r="B1130" s="407"/>
      <c r="C1130" s="408"/>
      <c r="D1130" s="404"/>
      <c r="E1130" s="404"/>
      <c r="F1130" s="404"/>
    </row>
    <row r="1131" spans="2:6" ht="12.75" customHeight="1" x14ac:dyDescent="0.25">
      <c r="B1131" s="407"/>
      <c r="C1131" s="408"/>
      <c r="D1131" s="404"/>
      <c r="E1131" s="404"/>
      <c r="F1131" s="404"/>
    </row>
    <row r="1132" spans="2:6" ht="12.75" customHeight="1" x14ac:dyDescent="0.25">
      <c r="B1132" s="407"/>
      <c r="C1132" s="408"/>
      <c r="D1132" s="404"/>
      <c r="E1132" s="404"/>
      <c r="F1132" s="404"/>
    </row>
    <row r="1133" spans="2:6" ht="12.75" customHeight="1" x14ac:dyDescent="0.25">
      <c r="B1133" s="407"/>
      <c r="C1133" s="408"/>
      <c r="D1133" s="404"/>
      <c r="E1133" s="404"/>
      <c r="F1133" s="404"/>
    </row>
    <row r="1134" spans="2:6" ht="12.75" customHeight="1" x14ac:dyDescent="0.25">
      <c r="B1134" s="407"/>
      <c r="C1134" s="408"/>
      <c r="D1134" s="404"/>
      <c r="E1134" s="404"/>
      <c r="F1134" s="404"/>
    </row>
    <row r="1135" spans="2:6" ht="12.75" customHeight="1" x14ac:dyDescent="0.25">
      <c r="B1135" s="407"/>
      <c r="C1135" s="408"/>
      <c r="D1135" s="404"/>
      <c r="E1135" s="404"/>
      <c r="F1135" s="404"/>
    </row>
    <row r="1136" spans="2:6" ht="12.75" customHeight="1" x14ac:dyDescent="0.25">
      <c r="B1136" s="407"/>
      <c r="C1136" s="408"/>
      <c r="D1136" s="404"/>
      <c r="E1136" s="404"/>
      <c r="F1136" s="404"/>
    </row>
    <row r="1137" spans="2:6" ht="12.75" customHeight="1" x14ac:dyDescent="0.25">
      <c r="B1137" s="407"/>
      <c r="C1137" s="408"/>
      <c r="D1137" s="404"/>
      <c r="E1137" s="404"/>
      <c r="F1137" s="404"/>
    </row>
    <row r="1138" spans="2:6" ht="12.75" customHeight="1" x14ac:dyDescent="0.25">
      <c r="B1138" s="407"/>
      <c r="C1138" s="408"/>
      <c r="D1138" s="404"/>
      <c r="E1138" s="404"/>
      <c r="F1138" s="404"/>
    </row>
    <row r="1139" spans="2:6" ht="12.75" customHeight="1" x14ac:dyDescent="0.25">
      <c r="B1139" s="407"/>
      <c r="C1139" s="408"/>
      <c r="D1139" s="404"/>
      <c r="E1139" s="404"/>
      <c r="F1139" s="404"/>
    </row>
    <row r="1140" spans="2:6" ht="12.75" customHeight="1" x14ac:dyDescent="0.25">
      <c r="B1140" s="407"/>
      <c r="C1140" s="408"/>
      <c r="D1140" s="404"/>
      <c r="E1140" s="404"/>
      <c r="F1140" s="404"/>
    </row>
    <row r="1141" spans="2:6" ht="12.75" customHeight="1" x14ac:dyDescent="0.25">
      <c r="B1141" s="407"/>
      <c r="C1141" s="408"/>
      <c r="D1141" s="404"/>
      <c r="E1141" s="404"/>
      <c r="F1141" s="404"/>
    </row>
    <row r="1142" spans="2:6" ht="12.75" customHeight="1" x14ac:dyDescent="0.25">
      <c r="B1142" s="407"/>
      <c r="C1142" s="408"/>
      <c r="D1142" s="404"/>
      <c r="E1142" s="404"/>
      <c r="F1142" s="404"/>
    </row>
    <row r="1143" spans="2:6" ht="12.75" customHeight="1" x14ac:dyDescent="0.25">
      <c r="B1143" s="407"/>
      <c r="C1143" s="408"/>
      <c r="D1143" s="404"/>
      <c r="E1143" s="404"/>
      <c r="F1143" s="404"/>
    </row>
    <row r="1144" spans="2:6" ht="12.75" customHeight="1" x14ac:dyDescent="0.25">
      <c r="B1144" s="407"/>
      <c r="C1144" s="408"/>
      <c r="D1144" s="404"/>
      <c r="E1144" s="404"/>
      <c r="F1144" s="404"/>
    </row>
    <row r="1145" spans="2:6" ht="12.75" customHeight="1" x14ac:dyDescent="0.25">
      <c r="B1145" s="407"/>
      <c r="C1145" s="408"/>
      <c r="D1145" s="404"/>
      <c r="E1145" s="404"/>
      <c r="F1145" s="404"/>
    </row>
    <row r="1146" spans="2:6" ht="12.75" customHeight="1" x14ac:dyDescent="0.25">
      <c r="B1146" s="407"/>
      <c r="C1146" s="408"/>
      <c r="D1146" s="404"/>
      <c r="E1146" s="404"/>
      <c r="F1146" s="404"/>
    </row>
    <row r="1147" spans="2:6" ht="12.75" customHeight="1" x14ac:dyDescent="0.25">
      <c r="B1147" s="407"/>
      <c r="C1147" s="408"/>
      <c r="D1147" s="404"/>
      <c r="E1147" s="404"/>
      <c r="F1147" s="404"/>
    </row>
    <row r="1148" spans="2:6" ht="12.75" customHeight="1" x14ac:dyDescent="0.25">
      <c r="B1148" s="407"/>
      <c r="C1148" s="408"/>
      <c r="D1148" s="404"/>
      <c r="E1148" s="404"/>
      <c r="F1148" s="404"/>
    </row>
    <row r="1149" spans="2:6" ht="12.75" customHeight="1" x14ac:dyDescent="0.25">
      <c r="B1149" s="407"/>
      <c r="C1149" s="408"/>
      <c r="D1149" s="404"/>
      <c r="E1149" s="404"/>
      <c r="F1149" s="404"/>
    </row>
    <row r="1150" spans="2:6" ht="12.75" customHeight="1" x14ac:dyDescent="0.25">
      <c r="B1150" s="407"/>
      <c r="C1150" s="408"/>
      <c r="D1150" s="404"/>
      <c r="E1150" s="404"/>
      <c r="F1150" s="404"/>
    </row>
    <row r="1151" spans="2:6" ht="12.75" customHeight="1" x14ac:dyDescent="0.25">
      <c r="B1151" s="407"/>
      <c r="C1151" s="408"/>
      <c r="D1151" s="404"/>
      <c r="E1151" s="404"/>
      <c r="F1151" s="404"/>
    </row>
    <row r="1152" spans="2:6" ht="12.75" customHeight="1" x14ac:dyDescent="0.25">
      <c r="B1152" s="407"/>
      <c r="C1152" s="408"/>
      <c r="D1152" s="404"/>
      <c r="E1152" s="404"/>
      <c r="F1152" s="404"/>
    </row>
    <row r="1153" spans="2:6" ht="12.75" customHeight="1" x14ac:dyDescent="0.25">
      <c r="B1153" s="407"/>
      <c r="C1153" s="408"/>
      <c r="D1153" s="404"/>
      <c r="E1153" s="404"/>
      <c r="F1153" s="404"/>
    </row>
    <row r="1154" spans="2:6" ht="12.75" customHeight="1" x14ac:dyDescent="0.25">
      <c r="B1154" s="407"/>
      <c r="C1154" s="408"/>
      <c r="D1154" s="404"/>
      <c r="E1154" s="404"/>
      <c r="F1154" s="404"/>
    </row>
    <row r="1155" spans="2:6" ht="12.75" customHeight="1" x14ac:dyDescent="0.25">
      <c r="B1155" s="407"/>
      <c r="C1155" s="408"/>
      <c r="D1155" s="404"/>
      <c r="E1155" s="404"/>
      <c r="F1155" s="404"/>
    </row>
    <row r="1156" spans="2:6" ht="12.75" customHeight="1" x14ac:dyDescent="0.25">
      <c r="B1156" s="407"/>
      <c r="C1156" s="408"/>
      <c r="D1156" s="404"/>
      <c r="E1156" s="404"/>
      <c r="F1156" s="404"/>
    </row>
    <row r="1157" spans="2:6" ht="12.75" customHeight="1" x14ac:dyDescent="0.25">
      <c r="B1157" s="407"/>
      <c r="C1157" s="408"/>
      <c r="D1157" s="404"/>
      <c r="E1157" s="404"/>
      <c r="F1157" s="404"/>
    </row>
    <row r="1158" spans="2:6" ht="12.75" customHeight="1" x14ac:dyDescent="0.25">
      <c r="B1158" s="407"/>
      <c r="C1158" s="408"/>
      <c r="D1158" s="404"/>
      <c r="E1158" s="404"/>
      <c r="F1158" s="404"/>
    </row>
    <row r="1159" spans="2:6" ht="12.75" customHeight="1" x14ac:dyDescent="0.25">
      <c r="B1159" s="407"/>
      <c r="C1159" s="408"/>
      <c r="D1159" s="404"/>
      <c r="E1159" s="404"/>
      <c r="F1159" s="404"/>
    </row>
    <row r="1160" spans="2:6" ht="12.75" customHeight="1" x14ac:dyDescent="0.25">
      <c r="B1160" s="407"/>
      <c r="C1160" s="408"/>
      <c r="D1160" s="404"/>
      <c r="E1160" s="404"/>
      <c r="F1160" s="404"/>
    </row>
    <row r="1161" spans="2:6" ht="12.75" customHeight="1" x14ac:dyDescent="0.25">
      <c r="B1161" s="407"/>
      <c r="C1161" s="408"/>
      <c r="D1161" s="404"/>
      <c r="E1161" s="404"/>
      <c r="F1161" s="404"/>
    </row>
    <row r="1162" spans="2:6" ht="12.75" customHeight="1" x14ac:dyDescent="0.25">
      <c r="B1162" s="407"/>
      <c r="C1162" s="408"/>
      <c r="D1162" s="404"/>
      <c r="E1162" s="404"/>
      <c r="F1162" s="404"/>
    </row>
    <row r="1163" spans="2:6" ht="12.75" customHeight="1" x14ac:dyDescent="0.25">
      <c r="B1163" s="407"/>
      <c r="C1163" s="408"/>
      <c r="D1163" s="404"/>
      <c r="E1163" s="404"/>
      <c r="F1163" s="404"/>
    </row>
    <row r="1164" spans="2:6" ht="12.75" customHeight="1" x14ac:dyDescent="0.25">
      <c r="B1164" s="407"/>
      <c r="C1164" s="408"/>
      <c r="D1164" s="404"/>
      <c r="E1164" s="404"/>
      <c r="F1164" s="404"/>
    </row>
    <row r="1165" spans="2:6" ht="12.75" customHeight="1" x14ac:dyDescent="0.25">
      <c r="B1165" s="407"/>
      <c r="C1165" s="408"/>
      <c r="D1165" s="404"/>
      <c r="E1165" s="404"/>
      <c r="F1165" s="404"/>
    </row>
    <row r="1166" spans="2:6" ht="12.75" customHeight="1" x14ac:dyDescent="0.25">
      <c r="B1166" s="407"/>
      <c r="C1166" s="408"/>
      <c r="D1166" s="404"/>
      <c r="E1166" s="404"/>
      <c r="F1166" s="404"/>
    </row>
    <row r="1167" spans="2:6" ht="12.75" customHeight="1" x14ac:dyDescent="0.25">
      <c r="B1167" s="407"/>
      <c r="C1167" s="408"/>
      <c r="D1167" s="404"/>
      <c r="E1167" s="404"/>
      <c r="F1167" s="404"/>
    </row>
    <row r="1168" spans="2:6" ht="12.75" customHeight="1" x14ac:dyDescent="0.25">
      <c r="B1168" s="407"/>
      <c r="C1168" s="408"/>
      <c r="D1168" s="404"/>
      <c r="E1168" s="404"/>
      <c r="F1168" s="404"/>
    </row>
    <row r="1169" spans="2:6" ht="12.75" customHeight="1" x14ac:dyDescent="0.25">
      <c r="B1169" s="407"/>
      <c r="C1169" s="408"/>
      <c r="D1169" s="404"/>
      <c r="E1169" s="404"/>
      <c r="F1169" s="404"/>
    </row>
    <row r="1170" spans="2:6" ht="12.75" customHeight="1" x14ac:dyDescent="0.25">
      <c r="B1170" s="407"/>
      <c r="C1170" s="408"/>
      <c r="D1170" s="404"/>
      <c r="E1170" s="404"/>
      <c r="F1170" s="404"/>
    </row>
    <row r="1171" spans="2:6" ht="12.75" customHeight="1" x14ac:dyDescent="0.25">
      <c r="B1171" s="407"/>
      <c r="C1171" s="408"/>
      <c r="D1171" s="404"/>
      <c r="E1171" s="404"/>
      <c r="F1171" s="404"/>
    </row>
    <row r="1172" spans="2:6" ht="12.75" customHeight="1" x14ac:dyDescent="0.25">
      <c r="B1172" s="407"/>
      <c r="C1172" s="408"/>
      <c r="D1172" s="404"/>
      <c r="E1172" s="404"/>
      <c r="F1172" s="404"/>
    </row>
    <row r="1173" spans="2:6" ht="12.75" customHeight="1" x14ac:dyDescent="0.25">
      <c r="B1173" s="407"/>
      <c r="C1173" s="408"/>
      <c r="D1173" s="404"/>
      <c r="E1173" s="404"/>
      <c r="F1173" s="404"/>
    </row>
    <row r="1174" spans="2:6" ht="12.75" customHeight="1" x14ac:dyDescent="0.25">
      <c r="B1174" s="407"/>
      <c r="C1174" s="408"/>
      <c r="D1174" s="404"/>
      <c r="E1174" s="404"/>
      <c r="F1174" s="404"/>
    </row>
    <row r="1175" spans="2:6" ht="12.75" customHeight="1" x14ac:dyDescent="0.25">
      <c r="B1175" s="407"/>
      <c r="C1175" s="408"/>
      <c r="D1175" s="404"/>
      <c r="E1175" s="404"/>
      <c r="F1175" s="404"/>
    </row>
    <row r="1176" spans="2:6" ht="12.75" customHeight="1" x14ac:dyDescent="0.25">
      <c r="B1176" s="407"/>
      <c r="C1176" s="408"/>
      <c r="D1176" s="404"/>
      <c r="E1176" s="404"/>
      <c r="F1176" s="404"/>
    </row>
    <row r="1177" spans="2:6" ht="12.75" customHeight="1" x14ac:dyDescent="0.25">
      <c r="B1177" s="407"/>
      <c r="C1177" s="408"/>
      <c r="D1177" s="404"/>
      <c r="E1177" s="404"/>
      <c r="F1177" s="404"/>
    </row>
    <row r="1178" spans="2:6" ht="12.75" customHeight="1" x14ac:dyDescent="0.25">
      <c r="B1178" s="407"/>
      <c r="C1178" s="408"/>
      <c r="D1178" s="404"/>
      <c r="E1178" s="404"/>
      <c r="F1178" s="404"/>
    </row>
    <row r="1179" spans="2:6" ht="12.75" customHeight="1" x14ac:dyDescent="0.25">
      <c r="B1179" s="407"/>
      <c r="C1179" s="408"/>
      <c r="D1179" s="404"/>
      <c r="E1179" s="404"/>
      <c r="F1179" s="404"/>
    </row>
    <row r="1180" spans="2:6" ht="12.75" customHeight="1" x14ac:dyDescent="0.25">
      <c r="B1180" s="407"/>
      <c r="C1180" s="408"/>
      <c r="D1180" s="404"/>
      <c r="E1180" s="404"/>
      <c r="F1180" s="404"/>
    </row>
    <row r="1181" spans="2:6" ht="12.75" customHeight="1" x14ac:dyDescent="0.25">
      <c r="B1181" s="407"/>
      <c r="C1181" s="408"/>
      <c r="D1181" s="404"/>
      <c r="E1181" s="404"/>
      <c r="F1181" s="404"/>
    </row>
    <row r="1182" spans="2:6" ht="12.75" customHeight="1" x14ac:dyDescent="0.25">
      <c r="B1182" s="407"/>
      <c r="C1182" s="408"/>
      <c r="D1182" s="404"/>
      <c r="E1182" s="404"/>
      <c r="F1182" s="404"/>
    </row>
    <row r="1183" spans="2:6" ht="12.75" customHeight="1" x14ac:dyDescent="0.25">
      <c r="B1183" s="407"/>
      <c r="C1183" s="408"/>
      <c r="D1183" s="404"/>
      <c r="E1183" s="404"/>
      <c r="F1183" s="404"/>
    </row>
    <row r="1184" spans="2:6" ht="12.75" customHeight="1" x14ac:dyDescent="0.25">
      <c r="B1184" s="407"/>
      <c r="C1184" s="408"/>
      <c r="D1184" s="404"/>
      <c r="E1184" s="404"/>
      <c r="F1184" s="404"/>
    </row>
    <row r="1185" spans="2:6" ht="12.75" customHeight="1" x14ac:dyDescent="0.25">
      <c r="B1185" s="407"/>
      <c r="C1185" s="408"/>
      <c r="D1185" s="404"/>
      <c r="E1185" s="404"/>
      <c r="F1185" s="404"/>
    </row>
    <row r="1186" spans="2:6" ht="12.75" customHeight="1" x14ac:dyDescent="0.25">
      <c r="B1186" s="407"/>
      <c r="C1186" s="408"/>
      <c r="D1186" s="404"/>
      <c r="E1186" s="404"/>
      <c r="F1186" s="404"/>
    </row>
    <row r="1187" spans="2:6" ht="12.75" customHeight="1" x14ac:dyDescent="0.25">
      <c r="B1187" s="407"/>
      <c r="C1187" s="408"/>
      <c r="D1187" s="404"/>
      <c r="E1187" s="404"/>
      <c r="F1187" s="404"/>
    </row>
    <row r="1188" spans="2:6" ht="12.75" customHeight="1" x14ac:dyDescent="0.25">
      <c r="B1188" s="407"/>
      <c r="C1188" s="408"/>
      <c r="D1188" s="404"/>
      <c r="E1188" s="404"/>
      <c r="F1188" s="404"/>
    </row>
    <row r="1189" spans="2:6" ht="12.75" customHeight="1" x14ac:dyDescent="0.25">
      <c r="B1189" s="407"/>
      <c r="C1189" s="408"/>
      <c r="D1189" s="404"/>
      <c r="E1189" s="404"/>
      <c r="F1189" s="404"/>
    </row>
    <row r="1190" spans="2:6" ht="12.75" customHeight="1" x14ac:dyDescent="0.25">
      <c r="B1190" s="407"/>
      <c r="C1190" s="408"/>
      <c r="D1190" s="404"/>
      <c r="E1190" s="404"/>
      <c r="F1190" s="404"/>
    </row>
    <row r="1191" spans="2:6" ht="12.75" customHeight="1" x14ac:dyDescent="0.25">
      <c r="B1191" s="407"/>
      <c r="C1191" s="408"/>
      <c r="D1191" s="404"/>
      <c r="E1191" s="404"/>
      <c r="F1191" s="404"/>
    </row>
    <row r="1192" spans="2:6" ht="12.75" customHeight="1" x14ac:dyDescent="0.25">
      <c r="B1192" s="407"/>
      <c r="C1192" s="408"/>
      <c r="D1192" s="404"/>
      <c r="E1192" s="404"/>
      <c r="F1192" s="404"/>
    </row>
    <row r="1193" spans="2:6" ht="12.75" customHeight="1" x14ac:dyDescent="0.25">
      <c r="B1193" s="407"/>
      <c r="C1193" s="408"/>
      <c r="D1193" s="404"/>
      <c r="E1193" s="404"/>
      <c r="F1193" s="404"/>
    </row>
    <row r="1194" spans="2:6" ht="12.75" customHeight="1" x14ac:dyDescent="0.25">
      <c r="B1194" s="407"/>
      <c r="C1194" s="408"/>
      <c r="D1194" s="404"/>
      <c r="E1194" s="404"/>
      <c r="F1194" s="404"/>
    </row>
    <row r="1195" spans="2:6" ht="12.75" customHeight="1" x14ac:dyDescent="0.25">
      <c r="B1195" s="407"/>
      <c r="C1195" s="408"/>
      <c r="D1195" s="404"/>
      <c r="E1195" s="404"/>
      <c r="F1195" s="404"/>
    </row>
    <row r="1196" spans="2:6" ht="12.75" customHeight="1" x14ac:dyDescent="0.25">
      <c r="B1196" s="407"/>
      <c r="C1196" s="408"/>
      <c r="D1196" s="404"/>
      <c r="E1196" s="404"/>
      <c r="F1196" s="404"/>
    </row>
    <row r="1197" spans="2:6" ht="12.75" customHeight="1" x14ac:dyDescent="0.25">
      <c r="B1197" s="407"/>
      <c r="C1197" s="408"/>
      <c r="D1197" s="404"/>
      <c r="E1197" s="404"/>
      <c r="F1197" s="404"/>
    </row>
    <row r="1198" spans="2:6" ht="12.75" customHeight="1" x14ac:dyDescent="0.25">
      <c r="B1198" s="407"/>
      <c r="C1198" s="408"/>
      <c r="D1198" s="404"/>
      <c r="E1198" s="404"/>
      <c r="F1198" s="404"/>
    </row>
    <row r="1199" spans="2:6" ht="12.75" customHeight="1" x14ac:dyDescent="0.25">
      <c r="B1199" s="407"/>
      <c r="C1199" s="408"/>
      <c r="D1199" s="404"/>
      <c r="E1199" s="404"/>
      <c r="F1199" s="404"/>
    </row>
    <row r="1200" spans="2:6" ht="12.75" customHeight="1" x14ac:dyDescent="0.25">
      <c r="B1200" s="407"/>
      <c r="C1200" s="408"/>
      <c r="D1200" s="404"/>
      <c r="E1200" s="404"/>
      <c r="F1200" s="404"/>
    </row>
    <row r="1201" spans="2:6" ht="12.75" customHeight="1" x14ac:dyDescent="0.25">
      <c r="B1201" s="407"/>
      <c r="C1201" s="408"/>
      <c r="D1201" s="404"/>
      <c r="E1201" s="404"/>
      <c r="F1201" s="404"/>
    </row>
    <row r="1202" spans="2:6" ht="12.75" customHeight="1" x14ac:dyDescent="0.25">
      <c r="B1202" s="407"/>
      <c r="C1202" s="408"/>
      <c r="D1202" s="404"/>
      <c r="E1202" s="404"/>
      <c r="F1202" s="404"/>
    </row>
    <row r="1203" spans="2:6" ht="12.75" customHeight="1" x14ac:dyDescent="0.25">
      <c r="B1203" s="407"/>
      <c r="C1203" s="408"/>
      <c r="D1203" s="404"/>
      <c r="E1203" s="404"/>
      <c r="F1203" s="404"/>
    </row>
    <row r="1204" spans="2:6" ht="12.75" customHeight="1" x14ac:dyDescent="0.25">
      <c r="B1204" s="407"/>
      <c r="C1204" s="408"/>
      <c r="D1204" s="404"/>
      <c r="E1204" s="404"/>
      <c r="F1204" s="404"/>
    </row>
    <row r="1205" spans="2:6" ht="12.75" customHeight="1" x14ac:dyDescent="0.25">
      <c r="B1205" s="407"/>
      <c r="C1205" s="408"/>
      <c r="D1205" s="404"/>
      <c r="E1205" s="404"/>
      <c r="F1205" s="404"/>
    </row>
    <row r="1206" spans="2:6" ht="12.75" customHeight="1" x14ac:dyDescent="0.25">
      <c r="B1206" s="407"/>
      <c r="C1206" s="408"/>
      <c r="D1206" s="404"/>
      <c r="E1206" s="404"/>
      <c r="F1206" s="404"/>
    </row>
    <row r="1207" spans="2:6" ht="12.75" customHeight="1" x14ac:dyDescent="0.25">
      <c r="B1207" s="407"/>
      <c r="C1207" s="408"/>
      <c r="D1207" s="404"/>
      <c r="E1207" s="404"/>
      <c r="F1207" s="404"/>
    </row>
    <row r="1208" spans="2:6" ht="12.75" customHeight="1" x14ac:dyDescent="0.25">
      <c r="B1208" s="407"/>
      <c r="C1208" s="408"/>
      <c r="D1208" s="404"/>
      <c r="E1208" s="404"/>
      <c r="F1208" s="404"/>
    </row>
    <row r="1209" spans="2:6" ht="12.75" customHeight="1" x14ac:dyDescent="0.25">
      <c r="B1209" s="407"/>
      <c r="C1209" s="408"/>
      <c r="D1209" s="404"/>
      <c r="E1209" s="404"/>
      <c r="F1209" s="404"/>
    </row>
    <row r="1210" spans="2:6" ht="12.75" customHeight="1" x14ac:dyDescent="0.25">
      <c r="B1210" s="407"/>
      <c r="C1210" s="408"/>
      <c r="D1210" s="404"/>
      <c r="E1210" s="404"/>
      <c r="F1210" s="404"/>
    </row>
    <row r="1211" spans="2:6" ht="12.75" customHeight="1" x14ac:dyDescent="0.25">
      <c r="B1211" s="407"/>
      <c r="C1211" s="408"/>
      <c r="D1211" s="404"/>
      <c r="E1211" s="404"/>
      <c r="F1211" s="404"/>
    </row>
    <row r="1212" spans="2:6" ht="12.75" customHeight="1" x14ac:dyDescent="0.25">
      <c r="B1212" s="407"/>
      <c r="C1212" s="408"/>
      <c r="D1212" s="404"/>
      <c r="E1212" s="404"/>
      <c r="F1212" s="404"/>
    </row>
    <row r="1213" spans="2:6" ht="12.75" customHeight="1" x14ac:dyDescent="0.25">
      <c r="B1213" s="407"/>
      <c r="C1213" s="408"/>
      <c r="D1213" s="404"/>
      <c r="E1213" s="404"/>
      <c r="F1213" s="404"/>
    </row>
    <row r="1214" spans="2:6" ht="12.75" customHeight="1" x14ac:dyDescent="0.25">
      <c r="B1214" s="407"/>
      <c r="C1214" s="408"/>
      <c r="D1214" s="404"/>
      <c r="E1214" s="404"/>
      <c r="F1214" s="404"/>
    </row>
    <row r="1215" spans="2:6" ht="12.75" customHeight="1" x14ac:dyDescent="0.25">
      <c r="B1215" s="407"/>
      <c r="C1215" s="408"/>
      <c r="D1215" s="404"/>
      <c r="E1215" s="404"/>
      <c r="F1215" s="404"/>
    </row>
    <row r="1216" spans="2:6" ht="12.75" customHeight="1" x14ac:dyDescent="0.25">
      <c r="B1216" s="407"/>
      <c r="C1216" s="408"/>
      <c r="D1216" s="404"/>
      <c r="E1216" s="404"/>
      <c r="F1216" s="404"/>
    </row>
    <row r="1217" spans="2:6" ht="12.75" customHeight="1" x14ac:dyDescent="0.25">
      <c r="B1217" s="407"/>
      <c r="C1217" s="408"/>
      <c r="D1217" s="404"/>
      <c r="E1217" s="404"/>
      <c r="F1217" s="404"/>
    </row>
    <row r="1218" spans="2:6" ht="12.75" customHeight="1" x14ac:dyDescent="0.25">
      <c r="B1218" s="407"/>
      <c r="C1218" s="408"/>
      <c r="D1218" s="404"/>
      <c r="E1218" s="404"/>
      <c r="F1218" s="404"/>
    </row>
    <row r="1219" spans="2:6" ht="12.75" customHeight="1" x14ac:dyDescent="0.25">
      <c r="B1219" s="407"/>
      <c r="C1219" s="408"/>
      <c r="D1219" s="404"/>
      <c r="E1219" s="404"/>
      <c r="F1219" s="404"/>
    </row>
    <row r="1220" spans="2:6" ht="12.75" customHeight="1" x14ac:dyDescent="0.25">
      <c r="B1220" s="407"/>
      <c r="C1220" s="408"/>
      <c r="D1220" s="404"/>
      <c r="E1220" s="404"/>
      <c r="F1220" s="404"/>
    </row>
    <row r="1221" spans="2:6" ht="12.75" customHeight="1" x14ac:dyDescent="0.25">
      <c r="B1221" s="407"/>
      <c r="C1221" s="408"/>
      <c r="D1221" s="404"/>
      <c r="E1221" s="404"/>
      <c r="F1221" s="404"/>
    </row>
    <row r="1222" spans="2:6" ht="12.75" customHeight="1" x14ac:dyDescent="0.25">
      <c r="B1222" s="407"/>
      <c r="C1222" s="408"/>
      <c r="D1222" s="404"/>
      <c r="E1222" s="404"/>
      <c r="F1222" s="404"/>
    </row>
    <row r="1223" spans="2:6" ht="12.75" customHeight="1" x14ac:dyDescent="0.25">
      <c r="B1223" s="407"/>
      <c r="C1223" s="408"/>
      <c r="D1223" s="404"/>
      <c r="E1223" s="404"/>
      <c r="F1223" s="404"/>
    </row>
    <row r="1224" spans="2:6" ht="12.75" customHeight="1" x14ac:dyDescent="0.25">
      <c r="B1224" s="407"/>
      <c r="C1224" s="408"/>
      <c r="D1224" s="404"/>
      <c r="E1224" s="404"/>
      <c r="F1224" s="404"/>
    </row>
    <row r="1225" spans="2:6" ht="12.75" customHeight="1" x14ac:dyDescent="0.25">
      <c r="B1225" s="407"/>
      <c r="C1225" s="408"/>
      <c r="D1225" s="404"/>
      <c r="E1225" s="404"/>
      <c r="F1225" s="404"/>
    </row>
    <row r="1226" spans="2:6" ht="12.75" customHeight="1" x14ac:dyDescent="0.25">
      <c r="B1226" s="407"/>
      <c r="C1226" s="408"/>
      <c r="D1226" s="404"/>
      <c r="E1226" s="404"/>
      <c r="F1226" s="404"/>
    </row>
    <row r="1227" spans="2:6" ht="12.75" customHeight="1" x14ac:dyDescent="0.25">
      <c r="B1227" s="407"/>
      <c r="C1227" s="408"/>
      <c r="D1227" s="404"/>
      <c r="E1227" s="404"/>
      <c r="F1227" s="404"/>
    </row>
    <row r="1228" spans="2:6" ht="12.75" customHeight="1" x14ac:dyDescent="0.25">
      <c r="B1228" s="407"/>
      <c r="C1228" s="408"/>
      <c r="D1228" s="404"/>
      <c r="E1228" s="404"/>
      <c r="F1228" s="404"/>
    </row>
    <row r="1229" spans="2:6" ht="12.75" customHeight="1" x14ac:dyDescent="0.25">
      <c r="B1229" s="407"/>
      <c r="C1229" s="408"/>
      <c r="D1229" s="404"/>
      <c r="E1229" s="404"/>
      <c r="F1229" s="404"/>
    </row>
    <row r="1230" spans="2:6" ht="12.75" customHeight="1" x14ac:dyDescent="0.25">
      <c r="B1230" s="407"/>
      <c r="C1230" s="408"/>
      <c r="D1230" s="404"/>
      <c r="E1230" s="404"/>
      <c r="F1230" s="404"/>
    </row>
    <row r="1231" spans="2:6" ht="12.75" customHeight="1" x14ac:dyDescent="0.25">
      <c r="B1231" s="407"/>
      <c r="C1231" s="408"/>
      <c r="D1231" s="404"/>
      <c r="E1231" s="404"/>
      <c r="F1231" s="404"/>
    </row>
    <row r="1232" spans="2:6" ht="12.75" customHeight="1" x14ac:dyDescent="0.25">
      <c r="B1232" s="407"/>
      <c r="C1232" s="408"/>
      <c r="D1232" s="404"/>
      <c r="E1232" s="404"/>
      <c r="F1232" s="404"/>
    </row>
    <row r="1233" spans="2:6" ht="12.75" customHeight="1" x14ac:dyDescent="0.25">
      <c r="B1233" s="407"/>
      <c r="C1233" s="408"/>
      <c r="D1233" s="404"/>
      <c r="E1233" s="404"/>
      <c r="F1233" s="404"/>
    </row>
    <row r="1234" spans="2:6" ht="12.75" customHeight="1" x14ac:dyDescent="0.25">
      <c r="B1234" s="407"/>
      <c r="C1234" s="408"/>
      <c r="D1234" s="404"/>
      <c r="E1234" s="404"/>
      <c r="F1234" s="404"/>
    </row>
    <row r="1235" spans="2:6" ht="12.75" customHeight="1" x14ac:dyDescent="0.25">
      <c r="B1235" s="407"/>
      <c r="C1235" s="408"/>
      <c r="D1235" s="404"/>
      <c r="E1235" s="404"/>
      <c r="F1235" s="404"/>
    </row>
    <row r="1236" spans="2:6" ht="12.75" customHeight="1" x14ac:dyDescent="0.25">
      <c r="B1236" s="407"/>
      <c r="C1236" s="408"/>
      <c r="D1236" s="404"/>
      <c r="E1236" s="404"/>
      <c r="F1236" s="404"/>
    </row>
    <row r="1237" spans="2:6" ht="12.75" customHeight="1" x14ac:dyDescent="0.25">
      <c r="B1237" s="407"/>
      <c r="C1237" s="408"/>
      <c r="D1237" s="404"/>
      <c r="E1237" s="404"/>
      <c r="F1237" s="404"/>
    </row>
    <row r="1238" spans="2:6" ht="12.75" customHeight="1" x14ac:dyDescent="0.25">
      <c r="B1238" s="407"/>
      <c r="C1238" s="408"/>
      <c r="D1238" s="404"/>
      <c r="E1238" s="404"/>
      <c r="F1238" s="404"/>
    </row>
    <row r="1239" spans="2:6" ht="12.75" customHeight="1" x14ac:dyDescent="0.25">
      <c r="B1239" s="407"/>
      <c r="C1239" s="408"/>
      <c r="D1239" s="404"/>
      <c r="E1239" s="404"/>
      <c r="F1239" s="404"/>
    </row>
    <row r="1240" spans="2:6" ht="12.75" customHeight="1" x14ac:dyDescent="0.25">
      <c r="B1240" s="407"/>
      <c r="C1240" s="408"/>
      <c r="D1240" s="404"/>
      <c r="E1240" s="404"/>
      <c r="F1240" s="404"/>
    </row>
    <row r="1241" spans="2:6" ht="12.75" customHeight="1" x14ac:dyDescent="0.25">
      <c r="B1241" s="407"/>
      <c r="C1241" s="408"/>
      <c r="D1241" s="404"/>
      <c r="E1241" s="404"/>
      <c r="F1241" s="404"/>
    </row>
    <row r="1242" spans="2:6" ht="12.75" customHeight="1" x14ac:dyDescent="0.25">
      <c r="B1242" s="407"/>
      <c r="C1242" s="408"/>
      <c r="D1242" s="404"/>
      <c r="E1242" s="404"/>
      <c r="F1242" s="404"/>
    </row>
    <row r="1243" spans="2:6" ht="12.75" customHeight="1" x14ac:dyDescent="0.25">
      <c r="B1243" s="407"/>
      <c r="C1243" s="408"/>
      <c r="D1243" s="404"/>
      <c r="E1243" s="404"/>
      <c r="F1243" s="404"/>
    </row>
    <row r="1244" spans="2:6" ht="12.75" customHeight="1" x14ac:dyDescent="0.25">
      <c r="B1244" s="407"/>
      <c r="C1244" s="408"/>
      <c r="D1244" s="404"/>
      <c r="E1244" s="404"/>
      <c r="F1244" s="404"/>
    </row>
    <row r="1245" spans="2:6" ht="12.75" customHeight="1" x14ac:dyDescent="0.25">
      <c r="B1245" s="407"/>
      <c r="C1245" s="408"/>
      <c r="D1245" s="404"/>
      <c r="E1245" s="404"/>
      <c r="F1245" s="404"/>
    </row>
    <row r="1246" spans="2:6" ht="12.75" customHeight="1" x14ac:dyDescent="0.25">
      <c r="B1246" s="407"/>
      <c r="C1246" s="408"/>
      <c r="D1246" s="404"/>
      <c r="E1246" s="404"/>
      <c r="F1246" s="404"/>
    </row>
    <row r="1247" spans="2:6" ht="12.75" customHeight="1" x14ac:dyDescent="0.25">
      <c r="B1247" s="407"/>
      <c r="C1247" s="408"/>
      <c r="D1247" s="404"/>
      <c r="E1247" s="404"/>
      <c r="F1247" s="404"/>
    </row>
    <row r="1248" spans="2:6" ht="12.75" customHeight="1" x14ac:dyDescent="0.25">
      <c r="B1248" s="407"/>
      <c r="C1248" s="408"/>
      <c r="D1248" s="404"/>
      <c r="E1248" s="404"/>
      <c r="F1248" s="404"/>
    </row>
    <row r="1249" spans="2:6" ht="12.75" customHeight="1" x14ac:dyDescent="0.25">
      <c r="B1249" s="407"/>
      <c r="C1249" s="408"/>
      <c r="D1249" s="404"/>
      <c r="E1249" s="404"/>
      <c r="F1249" s="404"/>
    </row>
    <row r="1250" spans="2:6" ht="12.75" customHeight="1" x14ac:dyDescent="0.25">
      <c r="B1250" s="407"/>
      <c r="C1250" s="408"/>
      <c r="D1250" s="404"/>
      <c r="E1250" s="404"/>
      <c r="F1250" s="404"/>
    </row>
    <row r="1251" spans="2:6" ht="12.75" customHeight="1" x14ac:dyDescent="0.25">
      <c r="B1251" s="407"/>
      <c r="C1251" s="408"/>
      <c r="D1251" s="404"/>
      <c r="E1251" s="404"/>
      <c r="F1251" s="404"/>
    </row>
    <row r="1252" spans="2:6" ht="12.75" customHeight="1" x14ac:dyDescent="0.25">
      <c r="B1252" s="407"/>
      <c r="C1252" s="408"/>
      <c r="D1252" s="404"/>
      <c r="E1252" s="404"/>
      <c r="F1252" s="404"/>
    </row>
    <row r="1253" spans="2:6" ht="12.75" customHeight="1" x14ac:dyDescent="0.25">
      <c r="B1253" s="407"/>
      <c r="C1253" s="408"/>
      <c r="D1253" s="404"/>
      <c r="E1253" s="404"/>
      <c r="F1253" s="404"/>
    </row>
    <row r="1254" spans="2:6" ht="12.75" customHeight="1" x14ac:dyDescent="0.25">
      <c r="B1254" s="407"/>
      <c r="C1254" s="408"/>
      <c r="D1254" s="404"/>
      <c r="E1254" s="404"/>
      <c r="F1254" s="404"/>
    </row>
    <row r="1255" spans="2:6" ht="12.75" customHeight="1" x14ac:dyDescent="0.25">
      <c r="B1255" s="407"/>
      <c r="C1255" s="408"/>
      <c r="D1255" s="404"/>
      <c r="E1255" s="404"/>
      <c r="F1255" s="404"/>
    </row>
    <row r="1256" spans="2:6" ht="12.75" customHeight="1" x14ac:dyDescent="0.25">
      <c r="B1256" s="407"/>
      <c r="C1256" s="408"/>
      <c r="D1256" s="404"/>
      <c r="E1256" s="404"/>
      <c r="F1256" s="404"/>
    </row>
    <row r="1257" spans="2:6" ht="12.75" customHeight="1" x14ac:dyDescent="0.25">
      <c r="B1257" s="407"/>
      <c r="C1257" s="408"/>
      <c r="D1257" s="404"/>
      <c r="E1257" s="404"/>
      <c r="F1257" s="404"/>
    </row>
    <row r="1258" spans="2:6" ht="12.75" customHeight="1" x14ac:dyDescent="0.25">
      <c r="B1258" s="407"/>
      <c r="C1258" s="408"/>
      <c r="D1258" s="404"/>
      <c r="E1258" s="404"/>
      <c r="F1258" s="404"/>
    </row>
    <row r="1259" spans="2:6" ht="12.75" customHeight="1" x14ac:dyDescent="0.25">
      <c r="B1259" s="407"/>
      <c r="C1259" s="408"/>
      <c r="D1259" s="404"/>
      <c r="E1259" s="404"/>
      <c r="F1259" s="404"/>
    </row>
    <row r="1260" spans="2:6" ht="12.75" customHeight="1" x14ac:dyDescent="0.25">
      <c r="B1260" s="407"/>
      <c r="C1260" s="408"/>
      <c r="D1260" s="404"/>
      <c r="E1260" s="404"/>
      <c r="F1260" s="404"/>
    </row>
    <row r="1261" spans="2:6" ht="12.75" customHeight="1" x14ac:dyDescent="0.25">
      <c r="B1261" s="407"/>
      <c r="C1261" s="408"/>
      <c r="D1261" s="404"/>
      <c r="E1261" s="404"/>
      <c r="F1261" s="404"/>
    </row>
    <row r="1262" spans="2:6" ht="12.75" customHeight="1" x14ac:dyDescent="0.25">
      <c r="B1262" s="407"/>
      <c r="C1262" s="408"/>
      <c r="D1262" s="405"/>
      <c r="E1262" s="405"/>
      <c r="F1262" s="405"/>
    </row>
    <row r="1263" spans="2:6" ht="12.75" customHeight="1" x14ac:dyDescent="0.25">
      <c r="B1263" s="407"/>
      <c r="C1263" s="408"/>
      <c r="D1263" s="405"/>
      <c r="E1263" s="405"/>
      <c r="F1263" s="405"/>
    </row>
    <row r="1264" spans="2:6" ht="12.75" customHeight="1" x14ac:dyDescent="0.25">
      <c r="B1264" s="407"/>
      <c r="C1264" s="408"/>
      <c r="D1264" s="405"/>
      <c r="E1264" s="405"/>
      <c r="F1264" s="405"/>
    </row>
    <row r="1265" spans="2:6" ht="12.75" customHeight="1" x14ac:dyDescent="0.25">
      <c r="B1265" s="407"/>
      <c r="C1265" s="408"/>
      <c r="D1265" s="405"/>
      <c r="E1265" s="405"/>
      <c r="F1265" s="405"/>
    </row>
    <row r="1266" spans="2:6" ht="12.75" customHeight="1" x14ac:dyDescent="0.25">
      <c r="B1266" s="407"/>
      <c r="C1266" s="408"/>
      <c r="D1266" s="405"/>
      <c r="E1266" s="405"/>
      <c r="F1266" s="405"/>
    </row>
    <row r="1267" spans="2:6" ht="12.75" customHeight="1" x14ac:dyDescent="0.25">
      <c r="B1267" s="407"/>
      <c r="C1267" s="408"/>
      <c r="D1267" s="405"/>
      <c r="E1267" s="405"/>
      <c r="F1267" s="405"/>
    </row>
    <row r="1268" spans="2:6" ht="12.75" customHeight="1" x14ac:dyDescent="0.25">
      <c r="B1268" s="407"/>
      <c r="C1268" s="408"/>
      <c r="D1268" s="405"/>
      <c r="E1268" s="405"/>
      <c r="F1268" s="405"/>
    </row>
    <row r="1269" spans="2:6" ht="12.75" customHeight="1" x14ac:dyDescent="0.25">
      <c r="B1269" s="407"/>
      <c r="C1269" s="408"/>
      <c r="D1269" s="405"/>
      <c r="E1269" s="405"/>
      <c r="F1269" s="405"/>
    </row>
    <row r="1270" spans="2:6" ht="12.75" customHeight="1" x14ac:dyDescent="0.25">
      <c r="B1270" s="407"/>
      <c r="C1270" s="408"/>
      <c r="D1270" s="405"/>
      <c r="E1270" s="405"/>
      <c r="F1270" s="405"/>
    </row>
    <row r="1271" spans="2:6" ht="12.75" customHeight="1" x14ac:dyDescent="0.25">
      <c r="B1271" s="407"/>
      <c r="C1271" s="408"/>
      <c r="D1271" s="405"/>
      <c r="E1271" s="405"/>
      <c r="F1271" s="405"/>
    </row>
    <row r="1272" spans="2:6" ht="12.75" customHeight="1" x14ac:dyDescent="0.25">
      <c r="B1272" s="407"/>
      <c r="C1272" s="408"/>
      <c r="D1272" s="405"/>
      <c r="E1272" s="405"/>
      <c r="F1272" s="405"/>
    </row>
    <row r="1273" spans="2:6" ht="12.75" customHeight="1" x14ac:dyDescent="0.25">
      <c r="B1273" s="407"/>
      <c r="C1273" s="408"/>
      <c r="D1273" s="405"/>
      <c r="E1273" s="405"/>
      <c r="F1273" s="405"/>
    </row>
    <row r="1274" spans="2:6" ht="12.75" customHeight="1" x14ac:dyDescent="0.25">
      <c r="B1274" s="407"/>
      <c r="C1274" s="408"/>
      <c r="D1274" s="405"/>
      <c r="E1274" s="405"/>
      <c r="F1274" s="405"/>
    </row>
    <row r="1275" spans="2:6" ht="12.75" customHeight="1" x14ac:dyDescent="0.25">
      <c r="B1275" s="407"/>
      <c r="C1275" s="408"/>
      <c r="D1275" s="405"/>
      <c r="E1275" s="405"/>
      <c r="F1275" s="405"/>
    </row>
    <row r="1276" spans="2:6" ht="12.75" customHeight="1" x14ac:dyDescent="0.25">
      <c r="B1276" s="407"/>
      <c r="C1276" s="408"/>
      <c r="D1276" s="405"/>
      <c r="E1276" s="405"/>
      <c r="F1276" s="405"/>
    </row>
    <row r="1277" spans="2:6" ht="12.75" customHeight="1" x14ac:dyDescent="0.25">
      <c r="B1277" s="407"/>
      <c r="C1277" s="408"/>
      <c r="D1277" s="405"/>
      <c r="E1277" s="405"/>
      <c r="F1277" s="405"/>
    </row>
    <row r="1278" spans="2:6" ht="12.75" customHeight="1" x14ac:dyDescent="0.25">
      <c r="B1278" s="407"/>
      <c r="C1278" s="408"/>
      <c r="D1278" s="405"/>
      <c r="E1278" s="405"/>
      <c r="F1278" s="405"/>
    </row>
    <row r="1279" spans="2:6" ht="12.75" customHeight="1" x14ac:dyDescent="0.25">
      <c r="B1279" s="407"/>
      <c r="C1279" s="408"/>
      <c r="D1279" s="405"/>
      <c r="E1279" s="405"/>
      <c r="F1279" s="405"/>
    </row>
    <row r="1280" spans="2:6" ht="12.75" customHeight="1" x14ac:dyDescent="0.25">
      <c r="B1280" s="407"/>
      <c r="C1280" s="408"/>
      <c r="D1280" s="405"/>
      <c r="E1280" s="405"/>
      <c r="F1280" s="405"/>
    </row>
    <row r="1281" spans="2:6" ht="12.75" customHeight="1" x14ac:dyDescent="0.25">
      <c r="B1281" s="407"/>
      <c r="C1281" s="408"/>
      <c r="D1281" s="405"/>
      <c r="E1281" s="405"/>
      <c r="F1281" s="405"/>
    </row>
    <row r="1282" spans="2:6" ht="12.75" customHeight="1" x14ac:dyDescent="0.25">
      <c r="B1282" s="407"/>
      <c r="C1282" s="408"/>
      <c r="D1282" s="405"/>
      <c r="E1282" s="405"/>
      <c r="F1282" s="405"/>
    </row>
    <row r="1283" spans="2:6" ht="12.75" customHeight="1" x14ac:dyDescent="0.25">
      <c r="B1283" s="407"/>
      <c r="C1283" s="408"/>
      <c r="D1283" s="406"/>
      <c r="E1283" s="406"/>
      <c r="F1283" s="406"/>
    </row>
    <row r="1284" spans="2:6" ht="12.75" customHeight="1" x14ac:dyDescent="0.25">
      <c r="B1284" s="409"/>
      <c r="C1284" s="408"/>
    </row>
    <row r="1285" spans="2:6" ht="12.75" customHeight="1" x14ac:dyDescent="0.25">
      <c r="B1285" s="409"/>
      <c r="C1285" s="408"/>
    </row>
    <row r="1286" spans="2:6" ht="12.75" customHeight="1" x14ac:dyDescent="0.25">
      <c r="B1286" s="409"/>
      <c r="C1286" s="408"/>
    </row>
    <row r="1287" spans="2:6" ht="12.75" customHeight="1" x14ac:dyDescent="0.25">
      <c r="B1287" s="409"/>
      <c r="C1287" s="408"/>
    </row>
    <row r="1288" spans="2:6" ht="12.75" customHeight="1" x14ac:dyDescent="0.25">
      <c r="B1288" s="409"/>
      <c r="C1288" s="408"/>
    </row>
    <row r="1289" spans="2:6" ht="12.75" customHeight="1" x14ac:dyDescent="0.25">
      <c r="B1289" s="409"/>
      <c r="C1289" s="408"/>
    </row>
    <row r="1290" spans="2:6" ht="12.75" customHeight="1" x14ac:dyDescent="0.25">
      <c r="B1290" s="409"/>
      <c r="C1290" s="408"/>
    </row>
    <row r="1291" spans="2:6" ht="12.75" customHeight="1" x14ac:dyDescent="0.25">
      <c r="B1291" s="409"/>
      <c r="C1291" s="408"/>
    </row>
    <row r="1292" spans="2:6" ht="12.75" customHeight="1" x14ac:dyDescent="0.25">
      <c r="B1292" s="409"/>
      <c r="C1292" s="408"/>
    </row>
    <row r="1293" spans="2:6" ht="12.75" customHeight="1" x14ac:dyDescent="0.25">
      <c r="B1293" s="409"/>
      <c r="C1293" s="408"/>
    </row>
    <row r="1294" spans="2:6" ht="12.75" customHeight="1" x14ac:dyDescent="0.25">
      <c r="B1294" s="409"/>
      <c r="C1294" s="408"/>
    </row>
    <row r="1295" spans="2:6" ht="12.75" customHeight="1" x14ac:dyDescent="0.25">
      <c r="B1295" s="409"/>
      <c r="C1295" s="408"/>
    </row>
    <row r="1296" spans="2:6" ht="12.75" customHeight="1" x14ac:dyDescent="0.25">
      <c r="B1296" s="409"/>
      <c r="C1296" s="408"/>
    </row>
    <row r="1297" spans="2:3" ht="12.75" customHeight="1" x14ac:dyDescent="0.25">
      <c r="B1297" s="409"/>
      <c r="C1297" s="408"/>
    </row>
    <row r="1298" spans="2:3" ht="12.75" customHeight="1" x14ac:dyDescent="0.25">
      <c r="B1298" s="409"/>
      <c r="C1298" s="408"/>
    </row>
    <row r="1299" spans="2:3" ht="12.75" customHeight="1" x14ac:dyDescent="0.25">
      <c r="B1299" s="409"/>
      <c r="C1299" s="408"/>
    </row>
    <row r="1300" spans="2:3" ht="12.75" customHeight="1" x14ac:dyDescent="0.25">
      <c r="B1300" s="409"/>
      <c r="C1300" s="408"/>
    </row>
    <row r="1301" spans="2:3" ht="12.75" customHeight="1" x14ac:dyDescent="0.25">
      <c r="B1301" s="409"/>
      <c r="C1301" s="408"/>
    </row>
    <row r="1302" spans="2:3" ht="12.75" customHeight="1" x14ac:dyDescent="0.25">
      <c r="B1302" s="409"/>
      <c r="C1302" s="408"/>
    </row>
    <row r="1303" spans="2:3" ht="12.75" customHeight="1" x14ac:dyDescent="0.25">
      <c r="B1303" s="409"/>
      <c r="C1303" s="408"/>
    </row>
    <row r="1304" spans="2:3" ht="12.75" customHeight="1" x14ac:dyDescent="0.25">
      <c r="B1304" s="409"/>
      <c r="C1304" s="408"/>
    </row>
    <row r="1305" spans="2:3" ht="12.75" customHeight="1" x14ac:dyDescent="0.25">
      <c r="B1305" s="409"/>
      <c r="C1305" s="408"/>
    </row>
    <row r="1306" spans="2:3" ht="12.75" customHeight="1" x14ac:dyDescent="0.25">
      <c r="B1306" s="409"/>
      <c r="C1306" s="408"/>
    </row>
    <row r="1307" spans="2:3" ht="12.75" customHeight="1" x14ac:dyDescent="0.25">
      <c r="B1307" s="409"/>
      <c r="C1307" s="408"/>
    </row>
    <row r="1308" spans="2:3" ht="12.75" customHeight="1" x14ac:dyDescent="0.25">
      <c r="B1308" s="409"/>
      <c r="C1308" s="408"/>
    </row>
    <row r="1309" spans="2:3" ht="12.75" customHeight="1" x14ac:dyDescent="0.25">
      <c r="B1309" s="409"/>
      <c r="C1309" s="408"/>
    </row>
    <row r="1310" spans="2:3" ht="12.75" customHeight="1" x14ac:dyDescent="0.25">
      <c r="B1310" s="409"/>
      <c r="C1310" s="408"/>
    </row>
    <row r="1311" spans="2:3" ht="12.75" customHeight="1" x14ac:dyDescent="0.25">
      <c r="B1311" s="409"/>
      <c r="C1311" s="408"/>
    </row>
    <row r="1312" spans="2:3" ht="12.75" customHeight="1" x14ac:dyDescent="0.25">
      <c r="B1312" s="409"/>
      <c r="C1312" s="408"/>
    </row>
    <row r="1313" spans="2:3" ht="12.75" customHeight="1" x14ac:dyDescent="0.25">
      <c r="B1313" s="409"/>
      <c r="C1313" s="408"/>
    </row>
    <row r="1314" spans="2:3" ht="12.75" customHeight="1" x14ac:dyDescent="0.25">
      <c r="B1314" s="409"/>
      <c r="C1314" s="408"/>
    </row>
    <row r="1315" spans="2:3" ht="12.75" customHeight="1" x14ac:dyDescent="0.25">
      <c r="B1315" s="409"/>
      <c r="C1315" s="408"/>
    </row>
    <row r="1316" spans="2:3" ht="12.75" customHeight="1" x14ac:dyDescent="0.25">
      <c r="B1316" s="409"/>
      <c r="C1316" s="408"/>
    </row>
    <row r="1317" spans="2:3" ht="12.75" customHeight="1" x14ac:dyDescent="0.25">
      <c r="B1317" s="409"/>
      <c r="C1317" s="408"/>
    </row>
    <row r="1318" spans="2:3" ht="12.75" customHeight="1" x14ac:dyDescent="0.25">
      <c r="B1318" s="409"/>
      <c r="C1318" s="408"/>
    </row>
    <row r="1319" spans="2:3" ht="12.75" customHeight="1" x14ac:dyDescent="0.25">
      <c r="B1319" s="409"/>
      <c r="C1319" s="408"/>
    </row>
    <row r="1320" spans="2:3" ht="12.75" customHeight="1" x14ac:dyDescent="0.25">
      <c r="B1320" s="409"/>
      <c r="C1320" s="408"/>
    </row>
    <row r="1321" spans="2:3" ht="12.75" customHeight="1" x14ac:dyDescent="0.25">
      <c r="B1321" s="409"/>
      <c r="C1321" s="408"/>
    </row>
    <row r="1322" spans="2:3" ht="12.75" customHeight="1" x14ac:dyDescent="0.25">
      <c r="B1322" s="409"/>
      <c r="C1322" s="408"/>
    </row>
    <row r="1323" spans="2:3" ht="12.75" customHeight="1" x14ac:dyDescent="0.25">
      <c r="B1323" s="409"/>
      <c r="C1323" s="408"/>
    </row>
    <row r="1324" spans="2:3" ht="12.75" customHeight="1" x14ac:dyDescent="0.25">
      <c r="B1324" s="409"/>
      <c r="C1324" s="408"/>
    </row>
    <row r="1325" spans="2:3" ht="12.75" customHeight="1" x14ac:dyDescent="0.25">
      <c r="B1325" s="409"/>
      <c r="C1325" s="408"/>
    </row>
    <row r="1326" spans="2:3" ht="12.75" customHeight="1" x14ac:dyDescent="0.25">
      <c r="B1326" s="409"/>
      <c r="C1326" s="408"/>
    </row>
    <row r="1327" spans="2:3" ht="12.75" customHeight="1" x14ac:dyDescent="0.25">
      <c r="B1327" s="409"/>
      <c r="C1327" s="408"/>
    </row>
    <row r="1328" spans="2:3" ht="12.75" customHeight="1" x14ac:dyDescent="0.25">
      <c r="B1328" s="409"/>
      <c r="C1328" s="408"/>
    </row>
    <row r="1329" spans="2:3" ht="12.75" customHeight="1" x14ac:dyDescent="0.25">
      <c r="B1329" s="409"/>
      <c r="C1329" s="408"/>
    </row>
    <row r="1330" spans="2:3" ht="12.75" customHeight="1" x14ac:dyDescent="0.25">
      <c r="B1330" s="409"/>
      <c r="C1330" s="408"/>
    </row>
    <row r="1331" spans="2:3" ht="12.75" customHeight="1" x14ac:dyDescent="0.25">
      <c r="B1331" s="409"/>
      <c r="C1331" s="408"/>
    </row>
    <row r="1332" spans="2:3" ht="12.75" customHeight="1" x14ac:dyDescent="0.25">
      <c r="B1332" s="409"/>
      <c r="C1332" s="408"/>
    </row>
    <row r="1333" spans="2:3" ht="12.75" customHeight="1" x14ac:dyDescent="0.25">
      <c r="B1333" s="409"/>
      <c r="C1333" s="408"/>
    </row>
    <row r="1334" spans="2:3" ht="12.75" customHeight="1" x14ac:dyDescent="0.25">
      <c r="B1334" s="409"/>
      <c r="C1334" s="408"/>
    </row>
    <row r="1335" spans="2:3" ht="12.75" customHeight="1" x14ac:dyDescent="0.25">
      <c r="B1335" s="409"/>
      <c r="C1335" s="408"/>
    </row>
    <row r="1336" spans="2:3" ht="12.75" customHeight="1" x14ac:dyDescent="0.25">
      <c r="B1336" s="409"/>
      <c r="C1336" s="408"/>
    </row>
    <row r="1337" spans="2:3" ht="12.75" customHeight="1" x14ac:dyDescent="0.25">
      <c r="B1337" s="409"/>
      <c r="C1337" s="408"/>
    </row>
    <row r="1338" spans="2:3" ht="12.75" customHeight="1" x14ac:dyDescent="0.25">
      <c r="B1338" s="409"/>
      <c r="C1338" s="408"/>
    </row>
    <row r="1339" spans="2:3" ht="12.75" customHeight="1" x14ac:dyDescent="0.25">
      <c r="B1339" s="409"/>
      <c r="C1339" s="408"/>
    </row>
    <row r="1340" spans="2:3" ht="12.75" customHeight="1" x14ac:dyDescent="0.25">
      <c r="B1340" s="409"/>
      <c r="C1340" s="408"/>
    </row>
    <row r="1341" spans="2:3" ht="12.75" customHeight="1" x14ac:dyDescent="0.25">
      <c r="B1341" s="409"/>
      <c r="C1341" s="408"/>
    </row>
    <row r="1342" spans="2:3" ht="12.75" customHeight="1" x14ac:dyDescent="0.25">
      <c r="B1342" s="409"/>
      <c r="C1342" s="408"/>
    </row>
    <row r="1343" spans="2:3" ht="12.75" customHeight="1" x14ac:dyDescent="0.25">
      <c r="B1343" s="409"/>
      <c r="C1343" s="408"/>
    </row>
    <row r="1344" spans="2:3" ht="12.75" customHeight="1" x14ac:dyDescent="0.25">
      <c r="B1344" s="409"/>
      <c r="C1344" s="408"/>
    </row>
    <row r="1345" spans="2:3" ht="12.75" customHeight="1" x14ac:dyDescent="0.25">
      <c r="B1345" s="409"/>
      <c r="C1345" s="408"/>
    </row>
    <row r="1346" spans="2:3" ht="12.75" customHeight="1" x14ac:dyDescent="0.25">
      <c r="B1346" s="409"/>
      <c r="C1346" s="408"/>
    </row>
    <row r="1347" spans="2:3" ht="12.75" customHeight="1" x14ac:dyDescent="0.25">
      <c r="B1347" s="409"/>
      <c r="C1347" s="408"/>
    </row>
    <row r="1348" spans="2:3" ht="12.75" customHeight="1" x14ac:dyDescent="0.25">
      <c r="B1348" s="409"/>
      <c r="C1348" s="408"/>
    </row>
    <row r="1349" spans="2:3" ht="12.75" customHeight="1" x14ac:dyDescent="0.25">
      <c r="B1349" s="409"/>
      <c r="C1349" s="408"/>
    </row>
    <row r="1350" spans="2:3" ht="12.75" customHeight="1" x14ac:dyDescent="0.25">
      <c r="B1350" s="409"/>
      <c r="C1350" s="408"/>
    </row>
    <row r="1351" spans="2:3" ht="12.75" customHeight="1" x14ac:dyDescent="0.25">
      <c r="B1351" s="409"/>
      <c r="C1351" s="408"/>
    </row>
    <row r="1352" spans="2:3" ht="12.75" customHeight="1" x14ac:dyDescent="0.25">
      <c r="B1352" s="409"/>
      <c r="C1352" s="408"/>
    </row>
    <row r="1353" spans="2:3" ht="12.75" customHeight="1" x14ac:dyDescent="0.25">
      <c r="B1353" s="409"/>
      <c r="C1353" s="408"/>
    </row>
    <row r="1354" spans="2:3" ht="12.75" customHeight="1" x14ac:dyDescent="0.25">
      <c r="B1354" s="409"/>
      <c r="C1354" s="408"/>
    </row>
    <row r="1355" spans="2:3" ht="12.75" customHeight="1" x14ac:dyDescent="0.25">
      <c r="B1355" s="409"/>
      <c r="C1355" s="408"/>
    </row>
    <row r="1356" spans="2:3" ht="12.75" customHeight="1" x14ac:dyDescent="0.25">
      <c r="B1356" s="409"/>
      <c r="C1356" s="408"/>
    </row>
    <row r="1357" spans="2:3" ht="12.75" customHeight="1" x14ac:dyDescent="0.25">
      <c r="B1357" s="409"/>
      <c r="C1357" s="408"/>
    </row>
    <row r="1358" spans="2:3" ht="12.75" customHeight="1" x14ac:dyDescent="0.25">
      <c r="B1358" s="409"/>
      <c r="C1358" s="408"/>
    </row>
    <row r="1359" spans="2:3" ht="12.75" customHeight="1" x14ac:dyDescent="0.25">
      <c r="B1359" s="409"/>
      <c r="C1359" s="408"/>
    </row>
    <row r="1360" spans="2:3" ht="12.75" customHeight="1" x14ac:dyDescent="0.25">
      <c r="B1360" s="409"/>
      <c r="C1360" s="408"/>
    </row>
    <row r="1361" spans="2:3" ht="12.75" customHeight="1" x14ac:dyDescent="0.25">
      <c r="B1361" s="409"/>
      <c r="C1361" s="408"/>
    </row>
    <row r="1362" spans="2:3" ht="12.75" customHeight="1" x14ac:dyDescent="0.25">
      <c r="B1362" s="409"/>
      <c r="C1362" s="408"/>
    </row>
    <row r="1363" spans="2:3" ht="12.75" customHeight="1" x14ac:dyDescent="0.25">
      <c r="B1363" s="409"/>
      <c r="C1363" s="408"/>
    </row>
    <row r="1364" spans="2:3" ht="12.75" customHeight="1" x14ac:dyDescent="0.25">
      <c r="B1364" s="409"/>
      <c r="C1364" s="408"/>
    </row>
    <row r="1365" spans="2:3" ht="12.75" customHeight="1" x14ac:dyDescent="0.25">
      <c r="B1365" s="409"/>
      <c r="C1365" s="408"/>
    </row>
    <row r="1366" spans="2:3" ht="12.75" customHeight="1" x14ac:dyDescent="0.25">
      <c r="B1366" s="409"/>
      <c r="C1366" s="408"/>
    </row>
    <row r="1367" spans="2:3" ht="12.75" customHeight="1" x14ac:dyDescent="0.25">
      <c r="B1367" s="409"/>
      <c r="C1367" s="408"/>
    </row>
    <row r="1368" spans="2:3" ht="12.75" customHeight="1" x14ac:dyDescent="0.25">
      <c r="B1368" s="409"/>
      <c r="C1368" s="408"/>
    </row>
    <row r="1369" spans="2:3" ht="12.75" customHeight="1" x14ac:dyDescent="0.25">
      <c r="B1369" s="409"/>
      <c r="C1369" s="408"/>
    </row>
    <row r="1370" spans="2:3" ht="12.75" customHeight="1" x14ac:dyDescent="0.25">
      <c r="B1370" s="409"/>
      <c r="C1370" s="408"/>
    </row>
    <row r="1371" spans="2:3" ht="12.75" customHeight="1" x14ac:dyDescent="0.25">
      <c r="B1371" s="409"/>
      <c r="C1371" s="408"/>
    </row>
    <row r="1372" spans="2:3" ht="12.75" customHeight="1" x14ac:dyDescent="0.25">
      <c r="B1372" s="409"/>
      <c r="C1372" s="408"/>
    </row>
    <row r="1373" spans="2:3" ht="12.75" customHeight="1" x14ac:dyDescent="0.25">
      <c r="B1373" s="409"/>
      <c r="C1373" s="408"/>
    </row>
    <row r="1374" spans="2:3" ht="12.75" customHeight="1" x14ac:dyDescent="0.25">
      <c r="B1374" s="409"/>
      <c r="C1374" s="408"/>
    </row>
    <row r="1381" spans="3:3" ht="12.75" customHeight="1" x14ac:dyDescent="0.25">
      <c r="C1381" s="561"/>
    </row>
    <row r="1382" spans="3:3" ht="12.75" customHeight="1" x14ac:dyDescent="0.25">
      <c r="C1382" s="561"/>
    </row>
  </sheetData>
  <pageMargins left="0.75" right="0.75" top="1" bottom="1" header="0.5" footer="0.5"/>
  <pageSetup paperSize="9" scale="55" orientation="portrait" horizontalDpi="300" verticalDpi="300" r:id="rId1"/>
  <headerFooter alignWithMargins="0"/>
  <rowBreaks count="2" manualBreakCount="2">
    <brk id="101" max="5" man="1"/>
    <brk id="221" max="5" man="1"/>
  </rowBreaks>
  <customProperties>
    <customPr name="Guid" r:id="rId2"/>
  </customProperties>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63EA5B-F1F1-4B13-B166-EE7971B74B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Worksheets</vt:lpstr>
      </vt:variant>
      <vt:variant>
        <vt:i4>18</vt:i4>
      </vt:variant>
      <vt:variant>
        <vt:lpstr>Named Ranges</vt:lpstr>
      </vt:variant>
      <vt:variant>
        <vt:i4>23</vt:i4>
      </vt:variant>
    </vt:vector>
  </HeadingPairs>
  <TitlesOfParts>
    <vt:vector size="41" baseType="lpstr">
      <vt:lpstr>Cover Page</vt:lpstr>
      <vt:lpstr>Dashboard</vt:lpstr>
      <vt:lpstr>Implied Value Summary</vt:lpstr>
      <vt:lpstr>Outputs</vt:lpstr>
      <vt:lpstr>Control Panel</vt:lpstr>
      <vt:lpstr>Financial Statements</vt:lpstr>
      <vt:lpstr>Raw Data</vt:lpstr>
      <vt:lpstr>Scenarios</vt:lpstr>
      <vt:lpstr>DCF</vt:lpstr>
      <vt:lpstr>WACC</vt:lpstr>
      <vt:lpstr>SOTP</vt:lpstr>
      <vt:lpstr>Comps</vt:lpstr>
      <vt:lpstr>PrecedentsVal</vt:lpstr>
      <vt:lpstr>Precedents</vt:lpstr>
      <vt:lpstr>Market Size</vt:lpstr>
      <vt:lpstr>Macro</vt:lpstr>
      <vt:lpstr>Consensus</vt:lpstr>
      <vt:lpstr>Share Price</vt:lpstr>
      <vt:lpstr>_CompanyName</vt:lpstr>
      <vt:lpstr>_LTGrowth</vt:lpstr>
      <vt:lpstr>_RoundBillions</vt:lpstr>
      <vt:lpstr>_TaxRate</vt:lpstr>
      <vt:lpstr>_Vdate</vt:lpstr>
      <vt:lpstr>_WACC</vt:lpstr>
      <vt:lpstr>_YEdate_After</vt:lpstr>
      <vt:lpstr>_YEdate_Before</vt:lpstr>
      <vt:lpstr>Consensus!Print_Area</vt:lpstr>
      <vt:lpstr>'Control Panel'!Print_Area</vt:lpstr>
      <vt:lpstr>Dashboard!Print_Area</vt:lpstr>
      <vt:lpstr>DCF!Print_Area</vt:lpstr>
      <vt:lpstr>'Financial Statements'!Print_Area</vt:lpstr>
      <vt:lpstr>'Implied Value Summary'!Print_Area</vt:lpstr>
      <vt:lpstr>Macro!Print_Area</vt:lpstr>
      <vt:lpstr>Outputs!Print_Area</vt:lpstr>
      <vt:lpstr>Precedents!Print_Area</vt:lpstr>
      <vt:lpstr>PrecedentsVal!Print_Area</vt:lpstr>
      <vt:lpstr>'Raw Data'!Print_Area</vt:lpstr>
      <vt:lpstr>Scenarios!Print_Area</vt:lpstr>
      <vt:lpstr>'Share Price'!Print_Area</vt:lpstr>
      <vt:lpstr>SOTP!Print_Area</vt:lpstr>
      <vt:lpstr>WACC!Print_Area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Patel, Sheersh</cp:lastModifiedBy>
  <cp:revision/>
  <cp:lastPrinted>1899-12-30T07:00:00Z</cp:lastPrinted>
  <dcterms:created xsi:type="dcterms:W3CDTF">1899-12-30T07:00:00Z</dcterms:created>
  <dcterms:modified xsi:type="dcterms:W3CDTF">2025-02-19T06:45:54Z</dcterms:modified>
  <cp:category/>
  <cp:contentStatus/>
  <dc:language/>
  <cp:version/>
</cp:coreProperties>
</file>