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33. Advanced Business Valuation - Amazon\Current Edition (2021)\Attachments\04-2022 (Updated)\"/>
    </mc:Choice>
  </mc:AlternateContent>
  <xr:revisionPtr revIDLastSave="0" documentId="8_{7B440811-3FFA-4CA1-A779-419DD9AA10CB}" xr6:coauthVersionLast="47" xr6:coauthVersionMax="47" xr10:uidLastSave="{00000000-0000-0000-0000-000000000000}"/>
  <bookViews>
    <workbookView xWindow="-96" yWindow="-96" windowWidth="23232" windowHeight="12696" firstSheet="1" activeTab="1" xr2:uid="{688CF568-6810-4E7F-B6B7-67D7330BA07A}"/>
  </bookViews>
  <sheets>
    <sheet name="_CIQHiddenCacheSheet" sheetId="110" state="veryHidden" r:id="rId1"/>
    <sheet name="Cover Page" sheetId="5" r:id="rId2"/>
    <sheet name="Comps Data (Hard-Coded)" sheetId="61" r:id="rId3"/>
    <sheet name="&lt;&lt;Captial IQ" sheetId="66" r:id="rId4"/>
    <sheet name="Comps Data (Capital IQ))" sheetId="2" r:id="rId5"/>
    <sheet name="AMZN" sheetId="7" r:id="rId6"/>
    <sheet name="WMT" sheetId="10" r:id="rId7"/>
    <sheet name="HD" sheetId="20" r:id="rId8"/>
    <sheet name="LOW" sheetId="13" r:id="rId9"/>
    <sheet name="TGT" sheetId="14" r:id="rId10"/>
    <sheet name="BABA" sheetId="22" r:id="rId11"/>
    <sheet name="EBAY" sheetId="12" r:id="rId12"/>
    <sheet name="ETSY" sheetId="21" r:id="rId13"/>
    <sheet name="GOOG.L" sheetId="8" r:id="rId14"/>
    <sheet name="FB" sheetId="9" r:id="rId15"/>
    <sheet name="TWTR" sheetId="11" r:id="rId16"/>
    <sheet name="CRM" sheetId="24" r:id="rId17"/>
    <sheet name="ORCL" sheetId="23" r:id="rId18"/>
    <sheet name="SAP" sheetId="27" r:id="rId19"/>
    <sheet name="VMW" sheetId="25" r:id="rId20"/>
    <sheet name="NFLX" sheetId="34" r:id="rId21"/>
    <sheet name="SPOT" sheetId="30" r:id="rId22"/>
    <sheet name="ROKU" sheetId="28" r:id="rId23"/>
    <sheet name="SIRI" sheetId="32" r:id="rId24"/>
    <sheet name="Company Template" sheetId="4" r:id="rId25"/>
  </sheets>
  <definedNames>
    <definedName name="CIQWBGuid" hidden="1">"4b3f7466-4343-4874-8190-df9e259d05fe"</definedName>
    <definedName name="CIQWBInfo" hidden="1">"{ ""CIQVersion"":""9.48.1616.5174""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44750.5731597222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6" i="2" l="1"/>
  <c r="R26" i="2"/>
  <c r="Q26" i="2"/>
  <c r="P26" i="2"/>
  <c r="O26" i="2"/>
  <c r="N26" i="2"/>
  <c r="M26" i="2"/>
  <c r="L26" i="2"/>
  <c r="I26" i="2"/>
  <c r="H26" i="2"/>
  <c r="G26" i="2"/>
  <c r="E26" i="2"/>
  <c r="D26" i="2"/>
  <c r="F26" i="2" s="1"/>
  <c r="J26" i="2" s="1"/>
  <c r="B26" i="2"/>
  <c r="H12" i="9"/>
  <c r="H14" i="9"/>
  <c r="E25" i="9"/>
  <c r="H13" i="9"/>
  <c r="A2" i="9"/>
  <c r="I12" i="9"/>
  <c r="I13" i="9"/>
  <c r="E34" i="9"/>
  <c r="E11" i="9"/>
  <c r="B6" i="9"/>
  <c r="E15" i="9"/>
  <c r="I11" i="9"/>
  <c r="H11" i="9"/>
  <c r="E23" i="9"/>
  <c r="E26" i="9"/>
  <c r="I14" i="9"/>
  <c r="E10" i="9"/>
  <c r="H14" i="8"/>
  <c r="E25" i="8"/>
  <c r="H13" i="8"/>
  <c r="A2" i="8"/>
  <c r="E15" i="8"/>
  <c r="I13" i="8"/>
  <c r="I12" i="8"/>
  <c r="I11" i="8"/>
  <c r="I14" i="8"/>
  <c r="E34" i="8"/>
  <c r="B6" i="8"/>
  <c r="E26" i="8"/>
  <c r="H12" i="8"/>
  <c r="H11" i="8"/>
  <c r="E11" i="8"/>
  <c r="E23" i="8"/>
  <c r="E10" i="8"/>
  <c r="H13" i="20"/>
  <c r="H12" i="20"/>
  <c r="H11" i="20"/>
  <c r="A2" i="20"/>
  <c r="E34" i="20"/>
  <c r="E15" i="20"/>
  <c r="I14" i="20"/>
  <c r="I12" i="20"/>
  <c r="I11" i="20"/>
  <c r="E15" i="12"/>
  <c r="E25" i="12"/>
  <c r="H13" i="12"/>
  <c r="E11" i="12"/>
  <c r="B6" i="12"/>
  <c r="E34" i="12"/>
  <c r="E25" i="21"/>
  <c r="H13" i="21"/>
  <c r="A2" i="21"/>
  <c r="H12" i="21"/>
  <c r="H11" i="21"/>
  <c r="I11" i="24"/>
  <c r="E15" i="24"/>
  <c r="E26" i="24"/>
  <c r="I14" i="24"/>
  <c r="E25" i="24"/>
  <c r="E34" i="14"/>
  <c r="E26" i="14"/>
  <c r="I14" i="14"/>
  <c r="I13" i="14"/>
  <c r="H13" i="14"/>
  <c r="E23" i="23"/>
  <c r="E11" i="23"/>
  <c r="B6" i="23"/>
  <c r="E34" i="23"/>
  <c r="B6" i="22"/>
  <c r="E34" i="22"/>
  <c r="E26" i="22"/>
  <c r="I14" i="22"/>
  <c r="B6" i="27"/>
  <c r="H12" i="27"/>
  <c r="E34" i="27"/>
  <c r="H11" i="27"/>
  <c r="E26" i="27"/>
  <c r="E25" i="27"/>
  <c r="H12" i="25"/>
  <c r="H11" i="25"/>
  <c r="E11" i="25"/>
  <c r="H12" i="34"/>
  <c r="I11" i="34"/>
  <c r="B6" i="21"/>
  <c r="E34" i="21"/>
  <c r="H14" i="24"/>
  <c r="I13" i="24"/>
  <c r="H13" i="24"/>
  <c r="A2" i="24"/>
  <c r="E26" i="23"/>
  <c r="E15" i="23"/>
  <c r="E25" i="23"/>
  <c r="I14" i="23"/>
  <c r="E25" i="22"/>
  <c r="H14" i="22"/>
  <c r="E23" i="25"/>
  <c r="B6" i="25"/>
  <c r="H11" i="34"/>
  <c r="E11" i="34"/>
  <c r="E23" i="34"/>
  <c r="H12" i="30"/>
  <c r="I11" i="30"/>
  <c r="H11" i="30"/>
  <c r="I12" i="28"/>
  <c r="H12" i="28"/>
  <c r="H14" i="10"/>
  <c r="I13" i="20"/>
  <c r="H13" i="10"/>
  <c r="I13" i="10"/>
  <c r="H13" i="22"/>
  <c r="E25" i="20"/>
  <c r="I12" i="10"/>
  <c r="I12" i="22"/>
  <c r="I11" i="10"/>
  <c r="E11" i="22"/>
  <c r="E23" i="22"/>
  <c r="E34" i="7"/>
  <c r="E11" i="10"/>
  <c r="I11" i="12"/>
  <c r="E23" i="12"/>
  <c r="E11" i="24"/>
  <c r="E15" i="14"/>
  <c r="E23" i="14"/>
  <c r="E26" i="12"/>
  <c r="H12" i="14"/>
  <c r="E15" i="7"/>
  <c r="E26" i="10"/>
  <c r="I11" i="14"/>
  <c r="H14" i="7"/>
  <c r="E25" i="10"/>
  <c r="E23" i="20"/>
  <c r="I11" i="7"/>
  <c r="H14" i="20"/>
  <c r="H13" i="7"/>
  <c r="E11" i="20"/>
  <c r="B6" i="14"/>
  <c r="E25" i="14"/>
  <c r="E15" i="21"/>
  <c r="I12" i="23"/>
  <c r="I12" i="25"/>
  <c r="B6" i="28"/>
  <c r="I11" i="32"/>
  <c r="I12" i="7"/>
  <c r="I14" i="21"/>
  <c r="H12" i="23"/>
  <c r="I11" i="25"/>
  <c r="E26" i="34"/>
  <c r="H11" i="32"/>
  <c r="H12" i="7"/>
  <c r="E25" i="7"/>
  <c r="B6" i="20"/>
  <c r="E26" i="20"/>
  <c r="H14" i="21"/>
  <c r="E23" i="11"/>
  <c r="I11" i="23"/>
  <c r="E15" i="27"/>
  <c r="E23" i="27"/>
  <c r="E11" i="32"/>
  <c r="I13" i="21"/>
  <c r="H11" i="23"/>
  <c r="H14" i="27"/>
  <c r="E23" i="30"/>
  <c r="E34" i="28"/>
  <c r="I13" i="27"/>
  <c r="E15" i="34"/>
  <c r="B6" i="32"/>
  <c r="E11" i="7"/>
  <c r="E23" i="10"/>
  <c r="I14" i="12"/>
  <c r="I12" i="21"/>
  <c r="E23" i="24"/>
  <c r="H14" i="12"/>
  <c r="I11" i="21"/>
  <c r="H13" i="27"/>
  <c r="I14" i="34"/>
  <c r="B6" i="7"/>
  <c r="E15" i="10"/>
  <c r="E15" i="22"/>
  <c r="I13" i="12"/>
  <c r="E11" i="21"/>
  <c r="E23" i="21"/>
  <c r="I12" i="27"/>
  <c r="I13" i="34"/>
  <c r="I14" i="10"/>
  <c r="I13" i="22"/>
  <c r="I12" i="12"/>
  <c r="I14" i="11"/>
  <c r="E26" i="11"/>
  <c r="I11" i="27"/>
  <c r="I12" i="34"/>
  <c r="E34" i="34"/>
  <c r="E23" i="28"/>
  <c r="H12" i="12"/>
  <c r="I11" i="11"/>
  <c r="E11" i="27"/>
  <c r="E26" i="25"/>
  <c r="E26" i="30"/>
  <c r="E23" i="32"/>
  <c r="H11" i="11"/>
  <c r="I12" i="24"/>
  <c r="E25" i="25"/>
  <c r="B6" i="34"/>
  <c r="H14" i="14"/>
  <c r="I11" i="22"/>
  <c r="H11" i="12"/>
  <c r="E26" i="21"/>
  <c r="H12" i="24"/>
  <c r="A2" i="14"/>
  <c r="I12" i="14"/>
  <c r="H11" i="22"/>
  <c r="B6" i="11"/>
  <c r="H11" i="24"/>
  <c r="I14" i="30"/>
  <c r="A2" i="22"/>
  <c r="E15" i="25"/>
  <c r="I13" i="30"/>
  <c r="E26" i="28"/>
  <c r="A2" i="12"/>
  <c r="I14" i="25"/>
  <c r="E11" i="30"/>
  <c r="I11" i="28"/>
  <c r="I13" i="32"/>
  <c r="E11" i="14"/>
  <c r="E34" i="11"/>
  <c r="B6" i="24"/>
  <c r="H14" i="23"/>
  <c r="H14" i="25"/>
  <c r="H11" i="28"/>
  <c r="H13" i="32"/>
  <c r="I13" i="7"/>
  <c r="B6" i="10"/>
  <c r="E34" i="24"/>
  <c r="I13" i="23"/>
  <c r="I13" i="25"/>
  <c r="E34" i="30"/>
  <c r="H12" i="32"/>
  <c r="A2" i="25"/>
  <c r="A2" i="23"/>
  <c r="I14" i="7"/>
  <c r="E26" i="7"/>
  <c r="E34" i="10"/>
  <c r="H11" i="14"/>
  <c r="H12" i="22"/>
  <c r="E11" i="11"/>
  <c r="H13" i="23"/>
  <c r="I14" i="27"/>
  <c r="E34" i="25"/>
  <c r="B6" i="30"/>
  <c r="E11" i="28"/>
  <c r="I12" i="32"/>
  <c r="A2" i="27"/>
  <c r="H13" i="25"/>
  <c r="H14" i="34"/>
  <c r="E25" i="34"/>
  <c r="E15" i="30"/>
  <c r="A2" i="34"/>
  <c r="H11" i="7"/>
  <c r="H12" i="10"/>
  <c r="E15" i="11"/>
  <c r="H13" i="34"/>
  <c r="H14" i="30"/>
  <c r="E25" i="30"/>
  <c r="E15" i="28"/>
  <c r="I14" i="28"/>
  <c r="E34" i="32"/>
  <c r="A2" i="30"/>
  <c r="E23" i="7"/>
  <c r="H11" i="10"/>
  <c r="H14" i="11"/>
  <c r="E25" i="11"/>
  <c r="H13" i="30"/>
  <c r="H14" i="28"/>
  <c r="E25" i="28"/>
  <c r="A2" i="7"/>
  <c r="I12" i="30"/>
  <c r="I13" i="11"/>
  <c r="I13" i="28"/>
  <c r="E26" i="32"/>
  <c r="A2" i="28"/>
  <c r="H13" i="11"/>
  <c r="H13" i="28"/>
  <c r="E15" i="32"/>
  <c r="E25" i="32"/>
  <c r="A2" i="10"/>
  <c r="A2" i="11"/>
  <c r="I12" i="11"/>
  <c r="I14" i="32"/>
  <c r="H12" i="11"/>
  <c r="A2" i="32"/>
  <c r="H14" i="32"/>
  <c r="E64" i="4"/>
  <c r="E16" i="4" s="1"/>
  <c r="E41" i="4"/>
  <c r="E47" i="4" s="1"/>
  <c r="E42" i="4"/>
  <c r="E43" i="4"/>
  <c r="F43" i="4" s="1"/>
  <c r="E44" i="4"/>
  <c r="F44" i="4" s="1"/>
  <c r="E45" i="4"/>
  <c r="F45" i="4" s="1"/>
  <c r="E46" i="4"/>
  <c r="F46" i="4" s="1"/>
  <c r="F49" i="4"/>
  <c r="F42" i="4"/>
  <c r="E71" i="4"/>
  <c r="E72" i="4"/>
  <c r="E73" i="4"/>
  <c r="E74" i="4"/>
  <c r="E75" i="4"/>
  <c r="E76" i="4"/>
  <c r="E18" i="4" s="1"/>
  <c r="E27" i="4"/>
  <c r="C76" i="4"/>
  <c r="E78" i="4"/>
  <c r="E79" i="4"/>
  <c r="E28" i="4" s="1"/>
  <c r="E29" i="4" s="1"/>
  <c r="B4" i="32"/>
  <c r="C4" i="32"/>
  <c r="E12" i="32"/>
  <c r="E64" i="32"/>
  <c r="E16" i="32"/>
  <c r="D71" i="32"/>
  <c r="D72" i="32"/>
  <c r="E73" i="32"/>
  <c r="E74" i="32"/>
  <c r="E75" i="32"/>
  <c r="C76" i="32"/>
  <c r="B4" i="28"/>
  <c r="C4" i="28"/>
  <c r="E12" i="28"/>
  <c r="E64" i="28"/>
  <c r="E16" i="28" s="1"/>
  <c r="E71" i="28"/>
  <c r="E72" i="28"/>
  <c r="E73" i="28"/>
  <c r="E74" i="28"/>
  <c r="E75" i="28"/>
  <c r="C76" i="28"/>
  <c r="B4" i="30"/>
  <c r="C4" i="30"/>
  <c r="E12" i="30"/>
  <c r="E64" i="30"/>
  <c r="E16" i="30"/>
  <c r="E71" i="30"/>
  <c r="E72" i="30"/>
  <c r="E73" i="30"/>
  <c r="E74" i="30"/>
  <c r="E75" i="30"/>
  <c r="C76" i="30"/>
  <c r="B4" i="34"/>
  <c r="C4" i="34"/>
  <c r="E12" i="34"/>
  <c r="E64" i="34"/>
  <c r="E16" i="34"/>
  <c r="E71" i="34"/>
  <c r="E72" i="34"/>
  <c r="E73" i="34"/>
  <c r="E74" i="34"/>
  <c r="E75" i="34"/>
  <c r="C76" i="34"/>
  <c r="B4" i="25"/>
  <c r="C4" i="25"/>
  <c r="E12" i="25"/>
  <c r="E64" i="25"/>
  <c r="E16" i="25"/>
  <c r="E71" i="25"/>
  <c r="E72" i="25"/>
  <c r="E73" i="25"/>
  <c r="E74" i="25"/>
  <c r="E75" i="25"/>
  <c r="C76" i="25"/>
  <c r="B4" i="27"/>
  <c r="C4" i="27"/>
  <c r="E12" i="27"/>
  <c r="E64" i="27"/>
  <c r="E16" i="27" s="1"/>
  <c r="E71" i="27"/>
  <c r="E76" i="27" s="1"/>
  <c r="E18" i="27" s="1"/>
  <c r="E72" i="27"/>
  <c r="E73" i="27"/>
  <c r="E74" i="27"/>
  <c r="E75" i="27"/>
  <c r="C76" i="27"/>
  <c r="B4" i="23"/>
  <c r="C4" i="23"/>
  <c r="E12" i="23"/>
  <c r="E59" i="23"/>
  <c r="E64" i="23"/>
  <c r="E16" i="23" s="1"/>
  <c r="E71" i="23"/>
  <c r="E72" i="23"/>
  <c r="E73" i="23"/>
  <c r="E74" i="23"/>
  <c r="E75" i="23"/>
  <c r="E76" i="23"/>
  <c r="E18" i="23" s="1"/>
  <c r="C76" i="23"/>
  <c r="B4" i="24"/>
  <c r="C4" i="24"/>
  <c r="E12" i="24"/>
  <c r="E64" i="24"/>
  <c r="E16" i="24" s="1"/>
  <c r="E71" i="24"/>
  <c r="E72" i="24"/>
  <c r="E73" i="24"/>
  <c r="E74" i="24"/>
  <c r="E75" i="24"/>
  <c r="C76" i="24"/>
  <c r="B4" i="11"/>
  <c r="C4" i="11"/>
  <c r="E12" i="11"/>
  <c r="E64" i="11"/>
  <c r="E16" i="11" s="1"/>
  <c r="E74" i="11"/>
  <c r="E75" i="11"/>
  <c r="C76" i="11"/>
  <c r="B4" i="9"/>
  <c r="C4" i="9"/>
  <c r="E12" i="9"/>
  <c r="E64" i="9"/>
  <c r="E16" i="9"/>
  <c r="E71" i="9"/>
  <c r="E72" i="9"/>
  <c r="E73" i="9"/>
  <c r="E74" i="9"/>
  <c r="E75" i="9"/>
  <c r="C76" i="9"/>
  <c r="B4" i="8"/>
  <c r="C4" i="8"/>
  <c r="E12" i="8"/>
  <c r="E64" i="8"/>
  <c r="E16" i="8"/>
  <c r="E71" i="8"/>
  <c r="E72" i="8"/>
  <c r="E73" i="8"/>
  <c r="E74" i="8"/>
  <c r="E75" i="8"/>
  <c r="C76" i="8"/>
  <c r="B4" i="21"/>
  <c r="C4" i="21"/>
  <c r="E12" i="21"/>
  <c r="E64" i="21"/>
  <c r="E16" i="21"/>
  <c r="D71" i="21"/>
  <c r="D72" i="21"/>
  <c r="D73" i="21"/>
  <c r="E74" i="21"/>
  <c r="E75" i="21"/>
  <c r="C76" i="21"/>
  <c r="B4" i="12"/>
  <c r="C4" i="12"/>
  <c r="E12" i="12"/>
  <c r="E64" i="12"/>
  <c r="E16" i="12"/>
  <c r="E71" i="12"/>
  <c r="E72" i="12"/>
  <c r="E73" i="12"/>
  <c r="E74" i="12"/>
  <c r="E75" i="12"/>
  <c r="C76" i="12"/>
  <c r="B4" i="22"/>
  <c r="C4" i="22"/>
  <c r="E12" i="22"/>
  <c r="E64" i="22"/>
  <c r="E16" i="22"/>
  <c r="E71" i="22"/>
  <c r="E76" i="22" s="1"/>
  <c r="E72" i="22"/>
  <c r="E73" i="22"/>
  <c r="E74" i="22"/>
  <c r="E75" i="22"/>
  <c r="E18" i="22"/>
  <c r="C76" i="22"/>
  <c r="B4" i="14"/>
  <c r="C4" i="14"/>
  <c r="E12" i="14"/>
  <c r="E64" i="14"/>
  <c r="E16" i="14"/>
  <c r="E71" i="14"/>
  <c r="E72" i="14"/>
  <c r="E73" i="14"/>
  <c r="E74" i="14"/>
  <c r="E75" i="14"/>
  <c r="C76" i="14"/>
  <c r="B4" i="13"/>
  <c r="C4" i="13"/>
  <c r="E12" i="13"/>
  <c r="E64" i="13"/>
  <c r="E16" i="13"/>
  <c r="E71" i="13"/>
  <c r="E72" i="13"/>
  <c r="E73" i="13"/>
  <c r="E74" i="13"/>
  <c r="E75" i="13"/>
  <c r="C76" i="13"/>
  <c r="B4" i="20"/>
  <c r="C4" i="20"/>
  <c r="E12" i="20"/>
  <c r="E64" i="20"/>
  <c r="E16" i="20"/>
  <c r="E71" i="20"/>
  <c r="E72" i="20"/>
  <c r="E73" i="20"/>
  <c r="E74" i="20"/>
  <c r="E75" i="20"/>
  <c r="C76" i="20"/>
  <c r="B4" i="10"/>
  <c r="C4" i="10"/>
  <c r="E12" i="10"/>
  <c r="E64" i="10"/>
  <c r="E16" i="10"/>
  <c r="E71" i="10"/>
  <c r="E72" i="10"/>
  <c r="E73" i="10"/>
  <c r="E74" i="10"/>
  <c r="E75" i="10"/>
  <c r="C76" i="10"/>
  <c r="B4" i="7"/>
  <c r="C4" i="7"/>
  <c r="E12" i="7"/>
  <c r="E64" i="7"/>
  <c r="E16" i="7" s="1"/>
  <c r="E71" i="7"/>
  <c r="E72" i="7"/>
  <c r="E73" i="7"/>
  <c r="E74" i="7"/>
  <c r="E75" i="7"/>
  <c r="C76" i="7"/>
  <c r="J10" i="61"/>
  <c r="F13" i="61"/>
  <c r="J13" i="61"/>
  <c r="F14" i="61"/>
  <c r="J14" i="61"/>
  <c r="F15" i="61"/>
  <c r="J15" i="61" s="1"/>
  <c r="F16" i="61"/>
  <c r="J16" i="61" s="1"/>
  <c r="F19" i="61"/>
  <c r="J19" i="61"/>
  <c r="F20" i="61"/>
  <c r="J20" i="61" s="1"/>
  <c r="F21" i="61"/>
  <c r="J21" i="61" s="1"/>
  <c r="F24" i="61"/>
  <c r="J24" i="61" s="1"/>
  <c r="F25" i="61"/>
  <c r="J25" i="61"/>
  <c r="F26" i="61"/>
  <c r="J26" i="61" s="1"/>
  <c r="F29" i="61"/>
  <c r="J29" i="61" s="1"/>
  <c r="F30" i="61"/>
  <c r="J30" i="61"/>
  <c r="F31" i="61"/>
  <c r="J31" i="61"/>
  <c r="F32" i="61"/>
  <c r="J32" i="61"/>
  <c r="F35" i="61"/>
  <c r="J35" i="61" s="1"/>
  <c r="F36" i="61"/>
  <c r="J36" i="61" s="1"/>
  <c r="F37" i="61"/>
  <c r="J37" i="61" s="1"/>
  <c r="F38" i="61"/>
  <c r="J38" i="61"/>
  <c r="E10" i="32"/>
  <c r="E34" i="13"/>
  <c r="E10" i="11"/>
  <c r="H14" i="13"/>
  <c r="E10" i="10"/>
  <c r="E10" i="28"/>
  <c r="I14" i="13"/>
  <c r="E15" i="13"/>
  <c r="E10" i="7"/>
  <c r="E10" i="30"/>
  <c r="E25" i="13"/>
  <c r="E26" i="13"/>
  <c r="E10" i="34"/>
  <c r="I11" i="13"/>
  <c r="E10" i="25"/>
  <c r="I12" i="13"/>
  <c r="E10" i="27"/>
  <c r="E10" i="22"/>
  <c r="A2" i="13"/>
  <c r="G41" i="27"/>
  <c r="E10" i="23"/>
  <c r="E10" i="14"/>
  <c r="E11" i="13"/>
  <c r="E10" i="24"/>
  <c r="E10" i="21"/>
  <c r="E10" i="12"/>
  <c r="E23" i="13"/>
  <c r="H12" i="13"/>
  <c r="H13" i="13"/>
  <c r="I13" i="13"/>
  <c r="B6" i="13"/>
  <c r="H11" i="13"/>
  <c r="E10" i="20"/>
  <c r="E76" i="8" l="1"/>
  <c r="E18" i="8" s="1"/>
  <c r="E76" i="14"/>
  <c r="E18" i="14" s="1"/>
  <c r="E76" i="12"/>
  <c r="E18" i="12" s="1"/>
  <c r="E76" i="34"/>
  <c r="E18" i="34" s="1"/>
  <c r="E76" i="24"/>
  <c r="E18" i="24" s="1"/>
  <c r="E76" i="20"/>
  <c r="E18" i="20" s="1"/>
  <c r="E76" i="28"/>
  <c r="E18" i="28" s="1"/>
  <c r="L14" i="2"/>
  <c r="N14" i="2"/>
  <c r="P14" i="2"/>
  <c r="M14" i="2"/>
  <c r="O14" i="2"/>
  <c r="S14" i="2"/>
  <c r="B20" i="2"/>
  <c r="P20" i="2"/>
  <c r="E27" i="12"/>
  <c r="L21" i="2"/>
  <c r="N21" i="2"/>
  <c r="P21" i="2"/>
  <c r="E27" i="21"/>
  <c r="E27" i="24"/>
  <c r="S29" i="2"/>
  <c r="M29" i="2"/>
  <c r="P16" i="2"/>
  <c r="Q16" i="2"/>
  <c r="S16" i="2"/>
  <c r="B30" i="2"/>
  <c r="H30" i="2"/>
  <c r="S19" i="2"/>
  <c r="B19" i="2"/>
  <c r="B31" i="2"/>
  <c r="E27" i="27"/>
  <c r="L31" i="2"/>
  <c r="N31" i="2"/>
  <c r="L32" i="2"/>
  <c r="N32" i="2"/>
  <c r="M35" i="2"/>
  <c r="N35" i="2"/>
  <c r="L24" i="2"/>
  <c r="N24" i="2"/>
  <c r="B21" i="2"/>
  <c r="P29" i="2"/>
  <c r="Q29" i="2"/>
  <c r="R29" i="2"/>
  <c r="S30" i="2"/>
  <c r="E27" i="23"/>
  <c r="R19" i="2"/>
  <c r="E27" i="22"/>
  <c r="B32" i="2"/>
  <c r="H32" i="2"/>
  <c r="H35" i="2"/>
  <c r="L35" i="2"/>
  <c r="H24" i="2"/>
  <c r="L36" i="2"/>
  <c r="M36" i="2"/>
  <c r="N36" i="2"/>
  <c r="L25" i="2"/>
  <c r="M25" i="2"/>
  <c r="N37" i="2"/>
  <c r="O37" i="2"/>
  <c r="R13" i="2"/>
  <c r="Q14" i="2"/>
  <c r="Q13" i="2"/>
  <c r="P13" i="2"/>
  <c r="P19" i="2"/>
  <c r="E27" i="20"/>
  <c r="O13" i="2"/>
  <c r="O19" i="2"/>
  <c r="M13" i="2"/>
  <c r="H19" i="2"/>
  <c r="M20" i="2"/>
  <c r="S24" i="2"/>
  <c r="H20" i="2"/>
  <c r="H16" i="2"/>
  <c r="N16" i="2"/>
  <c r="H25" i="2"/>
  <c r="M16" i="2"/>
  <c r="R10" i="2"/>
  <c r="E27" i="10"/>
  <c r="H14" i="2"/>
  <c r="M10" i="2"/>
  <c r="R14" i="2"/>
  <c r="P10" i="2"/>
  <c r="E27" i="14"/>
  <c r="B16" i="2"/>
  <c r="O30" i="2"/>
  <c r="O32" i="2"/>
  <c r="B37" i="2"/>
  <c r="M38" i="2"/>
  <c r="O10" i="2"/>
  <c r="S21" i="2"/>
  <c r="B24" i="2"/>
  <c r="N30" i="2"/>
  <c r="M32" i="2"/>
  <c r="L38" i="2"/>
  <c r="E27" i="7"/>
  <c r="N10" i="2"/>
  <c r="B14" i="2"/>
  <c r="R21" i="2"/>
  <c r="M30" i="2"/>
  <c r="H31" i="2"/>
  <c r="Q21" i="2"/>
  <c r="L30" i="2"/>
  <c r="R31" i="2"/>
  <c r="H36" i="2"/>
  <c r="Q31" i="2"/>
  <c r="B38" i="2"/>
  <c r="L15" i="2"/>
  <c r="H13" i="2"/>
  <c r="S20" i="2"/>
  <c r="O21" i="2"/>
  <c r="H29" i="2"/>
  <c r="R20" i="2"/>
  <c r="M21" i="2"/>
  <c r="P31" i="2"/>
  <c r="S35" i="2"/>
  <c r="B15" i="2"/>
  <c r="B10" i="2"/>
  <c r="Q20" i="2"/>
  <c r="H21" i="2"/>
  <c r="S25" i="2"/>
  <c r="O31" i="2"/>
  <c r="Q35" i="2"/>
  <c r="Q15" i="2"/>
  <c r="S13" i="2"/>
  <c r="Q19" i="2"/>
  <c r="O20" i="2"/>
  <c r="Q25" i="2"/>
  <c r="M31" i="2"/>
  <c r="O35" i="2"/>
  <c r="H37" i="2"/>
  <c r="P15" i="2"/>
  <c r="N20" i="2"/>
  <c r="H38" i="2"/>
  <c r="N15" i="2"/>
  <c r="O29" i="2"/>
  <c r="E27" i="25"/>
  <c r="B35" i="2"/>
  <c r="H15" i="2"/>
  <c r="R16" i="2"/>
  <c r="M19" i="2"/>
  <c r="L20" i="2"/>
  <c r="N29" i="2"/>
  <c r="O16" i="2"/>
  <c r="L19" i="2"/>
  <c r="L29" i="2"/>
  <c r="S36" i="2"/>
  <c r="Q36" i="2"/>
  <c r="Q24" i="2"/>
  <c r="S32" i="2"/>
  <c r="M37" i="2"/>
  <c r="Q38" i="2"/>
  <c r="B29" i="2"/>
  <c r="R30" i="2"/>
  <c r="R32" i="2"/>
  <c r="L37" i="2"/>
  <c r="P38" i="2"/>
  <c r="O24" i="2"/>
  <c r="Q10" i="2"/>
  <c r="B13" i="2"/>
  <c r="M24" i="2"/>
  <c r="Q30" i="2"/>
  <c r="Q32" i="2"/>
  <c r="N38" i="2"/>
  <c r="S10" i="2"/>
  <c r="L16" i="2"/>
  <c r="N19" i="2"/>
  <c r="B25" i="2"/>
  <c r="P30" i="2"/>
  <c r="S31" i="2"/>
  <c r="B36" i="2"/>
  <c r="O38" i="2"/>
  <c r="D41" i="27"/>
  <c r="E27" i="8"/>
  <c r="R24" i="2"/>
  <c r="P32" i="2"/>
  <c r="E27" i="34"/>
  <c r="R35" i="2"/>
  <c r="O15" i="2"/>
  <c r="L10" i="2"/>
  <c r="N13" i="2"/>
  <c r="P24" i="2"/>
  <c r="E27" i="9"/>
  <c r="R25" i="2"/>
  <c r="P35" i="2"/>
  <c r="E27" i="30"/>
  <c r="R36" i="2"/>
  <c r="M15" i="2"/>
  <c r="S37" i="2"/>
  <c r="H10" i="2"/>
  <c r="L13" i="2"/>
  <c r="P25" i="2"/>
  <c r="E27" i="11"/>
  <c r="P36" i="2"/>
  <c r="E27" i="28"/>
  <c r="R37" i="2"/>
  <c r="E27" i="13"/>
  <c r="O36" i="2"/>
  <c r="O25" i="2"/>
  <c r="Q37" i="2"/>
  <c r="N25" i="2"/>
  <c r="E44" i="34"/>
  <c r="F44" i="34" s="1"/>
  <c r="E45" i="34"/>
  <c r="F45" i="34" s="1"/>
  <c r="E46" i="34"/>
  <c r="F46" i="34" s="1"/>
  <c r="E41" i="34"/>
  <c r="E78" i="34"/>
  <c r="E42" i="34"/>
  <c r="F42" i="34" s="1"/>
  <c r="E43" i="34"/>
  <c r="F43" i="34" s="1"/>
  <c r="D35" i="2"/>
  <c r="E44" i="8"/>
  <c r="F44" i="8" s="1"/>
  <c r="E45" i="8"/>
  <c r="F45" i="8" s="1"/>
  <c r="E46" i="8"/>
  <c r="F46" i="8" s="1"/>
  <c r="D24" i="2"/>
  <c r="E41" i="8"/>
  <c r="E42" i="8"/>
  <c r="F42" i="8" s="1"/>
  <c r="E43" i="8"/>
  <c r="F43" i="8" s="1"/>
  <c r="E78" i="8"/>
  <c r="E79" i="8" s="1"/>
  <c r="E28" i="8" s="1"/>
  <c r="E41" i="22"/>
  <c r="E43" i="22"/>
  <c r="F43" i="22" s="1"/>
  <c r="E78" i="22"/>
  <c r="E79" i="22" s="1"/>
  <c r="E28" i="22" s="1"/>
  <c r="E42" i="22"/>
  <c r="F42" i="22" s="1"/>
  <c r="E44" i="22"/>
  <c r="F44" i="22" s="1"/>
  <c r="E45" i="22"/>
  <c r="F45" i="22" s="1"/>
  <c r="E46" i="22"/>
  <c r="F46" i="22" s="1"/>
  <c r="D19" i="2"/>
  <c r="E46" i="10"/>
  <c r="F46" i="10" s="1"/>
  <c r="D13" i="2"/>
  <c r="E45" i="10"/>
  <c r="F45" i="10" s="1"/>
  <c r="E42" i="10"/>
  <c r="F42" i="10" s="1"/>
  <c r="E43" i="10"/>
  <c r="F43" i="10" s="1"/>
  <c r="E44" i="10"/>
  <c r="F44" i="10" s="1"/>
  <c r="E41" i="10"/>
  <c r="E78" i="10"/>
  <c r="E79" i="10" s="1"/>
  <c r="E28" i="10" s="1"/>
  <c r="E78" i="24"/>
  <c r="E79" i="24" s="1"/>
  <c r="E28" i="24" s="1"/>
  <c r="E42" i="24"/>
  <c r="F42" i="24" s="1"/>
  <c r="E41" i="24"/>
  <c r="E43" i="24"/>
  <c r="F43" i="24" s="1"/>
  <c r="E44" i="24"/>
  <c r="F44" i="24" s="1"/>
  <c r="E45" i="24"/>
  <c r="F45" i="24" s="1"/>
  <c r="E46" i="24"/>
  <c r="F46" i="24" s="1"/>
  <c r="D29" i="2"/>
  <c r="E46" i="20"/>
  <c r="F46" i="20" s="1"/>
  <c r="E41" i="20"/>
  <c r="E78" i="20"/>
  <c r="E42" i="20"/>
  <c r="F42" i="20" s="1"/>
  <c r="E43" i="20"/>
  <c r="F43" i="20" s="1"/>
  <c r="E44" i="20"/>
  <c r="F44" i="20" s="1"/>
  <c r="E45" i="20"/>
  <c r="F45" i="20" s="1"/>
  <c r="D14" i="2"/>
  <c r="E41" i="32"/>
  <c r="E42" i="32"/>
  <c r="F42" i="32" s="1"/>
  <c r="E78" i="32"/>
  <c r="E79" i="32" s="1"/>
  <c r="E28" i="32" s="1"/>
  <c r="E44" i="32"/>
  <c r="F44" i="32" s="1"/>
  <c r="E43" i="32"/>
  <c r="F43" i="32" s="1"/>
  <c r="E45" i="32"/>
  <c r="F45" i="32" s="1"/>
  <c r="E46" i="32"/>
  <c r="F46" i="32" s="1"/>
  <c r="D38" i="2"/>
  <c r="E44" i="7"/>
  <c r="F44" i="7" s="1"/>
  <c r="D10" i="2"/>
  <c r="E46" i="7"/>
  <c r="F46" i="7" s="1"/>
  <c r="E78" i="7"/>
  <c r="E79" i="7" s="1"/>
  <c r="E28" i="7" s="1"/>
  <c r="E45" i="7"/>
  <c r="F45" i="7" s="1"/>
  <c r="E41" i="7"/>
  <c r="E42" i="7"/>
  <c r="F42" i="7" s="1"/>
  <c r="E43" i="7"/>
  <c r="F43" i="7" s="1"/>
  <c r="E42" i="21"/>
  <c r="F42" i="21" s="1"/>
  <c r="E43" i="21"/>
  <c r="F43" i="21" s="1"/>
  <c r="E78" i="21"/>
  <c r="E44" i="21"/>
  <c r="F44" i="21" s="1"/>
  <c r="E71" i="21"/>
  <c r="E46" i="21"/>
  <c r="F46" i="21" s="1"/>
  <c r="D21" i="2"/>
  <c r="E41" i="21"/>
  <c r="E45" i="21"/>
  <c r="F45" i="21" s="1"/>
  <c r="E46" i="9"/>
  <c r="F46" i="9" s="1"/>
  <c r="E43" i="9"/>
  <c r="F43" i="9" s="1"/>
  <c r="E78" i="9"/>
  <c r="E79" i="9" s="1"/>
  <c r="E28" i="9" s="1"/>
  <c r="D25" i="2"/>
  <c r="E41" i="9"/>
  <c r="E42" i="9"/>
  <c r="F42" i="9" s="1"/>
  <c r="E44" i="9"/>
  <c r="F44" i="9" s="1"/>
  <c r="E45" i="9"/>
  <c r="F45" i="9" s="1"/>
  <c r="E45" i="27"/>
  <c r="F45" i="27" s="1"/>
  <c r="E46" i="27"/>
  <c r="F46" i="27" s="1"/>
  <c r="E42" i="27"/>
  <c r="F42" i="27" s="1"/>
  <c r="E43" i="27"/>
  <c r="F43" i="27" s="1"/>
  <c r="E44" i="27"/>
  <c r="F44" i="27" s="1"/>
  <c r="E78" i="27"/>
  <c r="E79" i="27" s="1"/>
  <c r="E28" i="27" s="1"/>
  <c r="D31" i="2"/>
  <c r="E46" i="30"/>
  <c r="F46" i="30" s="1"/>
  <c r="D36" i="2"/>
  <c r="E43" i="30"/>
  <c r="F43" i="30" s="1"/>
  <c r="E41" i="30"/>
  <c r="E42" i="30"/>
  <c r="F42" i="30" s="1"/>
  <c r="E44" i="30"/>
  <c r="F44" i="30" s="1"/>
  <c r="E78" i="30"/>
  <c r="E79" i="30" s="1"/>
  <c r="E28" i="30" s="1"/>
  <c r="E45" i="30"/>
  <c r="F45" i="30" s="1"/>
  <c r="E46" i="14"/>
  <c r="F46" i="14" s="1"/>
  <c r="E41" i="14"/>
  <c r="E42" i="14"/>
  <c r="F42" i="14" s="1"/>
  <c r="E43" i="14"/>
  <c r="F43" i="14" s="1"/>
  <c r="E45" i="14"/>
  <c r="F45" i="14" s="1"/>
  <c r="D16" i="2"/>
  <c r="E78" i="14"/>
  <c r="E79" i="14" s="1"/>
  <c r="E28" i="14" s="1"/>
  <c r="E44" i="14"/>
  <c r="F44" i="14" s="1"/>
  <c r="E78" i="11"/>
  <c r="E79" i="11" s="1"/>
  <c r="E28" i="11" s="1"/>
  <c r="E45" i="11"/>
  <c r="F45" i="11" s="1"/>
  <c r="E73" i="11"/>
  <c r="E71" i="11"/>
  <c r="E72" i="11"/>
  <c r="E41" i="11"/>
  <c r="E42" i="11"/>
  <c r="F42" i="11" s="1"/>
  <c r="E43" i="11"/>
  <c r="F43" i="11" s="1"/>
  <c r="E44" i="11"/>
  <c r="F44" i="11" s="1"/>
  <c r="E46" i="11"/>
  <c r="F46" i="11" s="1"/>
  <c r="E78" i="28"/>
  <c r="E45" i="28"/>
  <c r="F45" i="28" s="1"/>
  <c r="E41" i="28"/>
  <c r="E42" i="28"/>
  <c r="F42" i="28" s="1"/>
  <c r="E43" i="28"/>
  <c r="F43" i="28" s="1"/>
  <c r="E44" i="28"/>
  <c r="F44" i="28" s="1"/>
  <c r="E46" i="28"/>
  <c r="F46" i="28" s="1"/>
  <c r="D37" i="2"/>
  <c r="E44" i="13"/>
  <c r="F44" i="13" s="1"/>
  <c r="E46" i="13"/>
  <c r="F46" i="13" s="1"/>
  <c r="E43" i="13"/>
  <c r="F43" i="13" s="1"/>
  <c r="E45" i="13"/>
  <c r="F45" i="13" s="1"/>
  <c r="E78" i="13"/>
  <c r="E79" i="13" s="1"/>
  <c r="E28" i="13" s="1"/>
  <c r="D15" i="2"/>
  <c r="E41" i="13"/>
  <c r="E42" i="13"/>
  <c r="F42" i="13" s="1"/>
  <c r="E41" i="27"/>
  <c r="F41" i="27" s="1"/>
  <c r="E41" i="12"/>
  <c r="E43" i="12"/>
  <c r="F43" i="12" s="1"/>
  <c r="E45" i="12"/>
  <c r="F45" i="12" s="1"/>
  <c r="E46" i="12"/>
  <c r="F46" i="12" s="1"/>
  <c r="E78" i="12"/>
  <c r="E79" i="12" s="1"/>
  <c r="E28" i="12" s="1"/>
  <c r="E42" i="12"/>
  <c r="F42" i="12" s="1"/>
  <c r="E44" i="12"/>
  <c r="F44" i="12" s="1"/>
  <c r="D20" i="2"/>
  <c r="E78" i="23"/>
  <c r="E79" i="23" s="1"/>
  <c r="E28" i="23" s="1"/>
  <c r="E42" i="23"/>
  <c r="F42" i="23" s="1"/>
  <c r="E44" i="23"/>
  <c r="F44" i="23" s="1"/>
  <c r="E41" i="23"/>
  <c r="E43" i="23"/>
  <c r="F43" i="23" s="1"/>
  <c r="E45" i="23"/>
  <c r="F45" i="23" s="1"/>
  <c r="E46" i="23"/>
  <c r="F46" i="23" s="1"/>
  <c r="D30" i="2"/>
  <c r="E42" i="25"/>
  <c r="F42" i="25" s="1"/>
  <c r="E43" i="25"/>
  <c r="F43" i="25" s="1"/>
  <c r="E44" i="25"/>
  <c r="F44" i="25" s="1"/>
  <c r="E45" i="25"/>
  <c r="F45" i="25" s="1"/>
  <c r="E46" i="25"/>
  <c r="F46" i="25" s="1"/>
  <c r="E41" i="25"/>
  <c r="E78" i="25"/>
  <c r="E79" i="25" s="1"/>
  <c r="E28" i="25" s="1"/>
  <c r="D32" i="2"/>
  <c r="P37" i="2"/>
  <c r="E27" i="32"/>
  <c r="S15" i="2"/>
  <c r="S38" i="2"/>
  <c r="R15" i="2"/>
  <c r="R38" i="2"/>
  <c r="E76" i="7"/>
  <c r="E18" i="7" s="1"/>
  <c r="E72" i="32"/>
  <c r="E79" i="28"/>
  <c r="E28" i="28" s="1"/>
  <c r="I23" i="4"/>
  <c r="I24" i="4"/>
  <c r="E31" i="4"/>
  <c r="E79" i="20"/>
  <c r="E28" i="20" s="1"/>
  <c r="E73" i="21"/>
  <c r="E72" i="21"/>
  <c r="E71" i="32"/>
  <c r="E76" i="10"/>
  <c r="E18" i="10" s="1"/>
  <c r="E76" i="9"/>
  <c r="E18" i="9" s="1"/>
  <c r="E79" i="21"/>
  <c r="E28" i="21" s="1"/>
  <c r="F41" i="4"/>
  <c r="F47" i="4" s="1"/>
  <c r="F50" i="4" s="1"/>
  <c r="F51" i="4" s="1"/>
  <c r="E17" i="4" s="1"/>
  <c r="E19" i="4" s="1"/>
  <c r="E21" i="4" s="1"/>
  <c r="I25" i="4" s="1"/>
  <c r="E76" i="13"/>
  <c r="E18" i="13" s="1"/>
  <c r="E76" i="30"/>
  <c r="E18" i="30" s="1"/>
  <c r="E76" i="25"/>
  <c r="E18" i="25" s="1"/>
  <c r="E79" i="34"/>
  <c r="E28" i="34" s="1"/>
  <c r="E29" i="23" l="1"/>
  <c r="G30" i="2" s="1"/>
  <c r="I24" i="23"/>
  <c r="AE30" i="2" s="1"/>
  <c r="E29" i="11"/>
  <c r="E29" i="7"/>
  <c r="E29" i="24"/>
  <c r="E31" i="23"/>
  <c r="I30" i="2" s="1"/>
  <c r="E29" i="20"/>
  <c r="E29" i="21"/>
  <c r="F47" i="27"/>
  <c r="F50" i="27" s="1"/>
  <c r="E29" i="10"/>
  <c r="E76" i="32"/>
  <c r="E18" i="32" s="1"/>
  <c r="E47" i="27"/>
  <c r="F49" i="27" s="1"/>
  <c r="F51" i="27" s="1"/>
  <c r="E17" i="27" s="1"/>
  <c r="E19" i="27" s="1"/>
  <c r="I23" i="23"/>
  <c r="AD30" i="2" s="1"/>
  <c r="E29" i="34"/>
  <c r="E29" i="22"/>
  <c r="E29" i="27"/>
  <c r="E29" i="12"/>
  <c r="E29" i="8"/>
  <c r="E29" i="32"/>
  <c r="I23" i="32" s="1"/>
  <c r="AD38" i="2" s="1"/>
  <c r="E29" i="30"/>
  <c r="E76" i="21"/>
  <c r="E18" i="21" s="1"/>
  <c r="E29" i="13"/>
  <c r="E29" i="9"/>
  <c r="E76" i="11"/>
  <c r="E18" i="11" s="1"/>
  <c r="E29" i="28"/>
  <c r="E29" i="14"/>
  <c r="E29" i="25"/>
  <c r="H21" i="4"/>
  <c r="I21" i="4"/>
  <c r="E32" i="4"/>
  <c r="H20" i="4"/>
  <c r="I20" i="4"/>
  <c r="E31" i="32"/>
  <c r="I38" i="2" s="1"/>
  <c r="I24" i="32"/>
  <c r="AE38" i="2" s="1"/>
  <c r="E47" i="25"/>
  <c r="F49" i="25" s="1"/>
  <c r="F41" i="25"/>
  <c r="F47" i="25" s="1"/>
  <c r="F50" i="25" s="1"/>
  <c r="F41" i="23"/>
  <c r="F47" i="23" s="1"/>
  <c r="F50" i="23" s="1"/>
  <c r="E47" i="23"/>
  <c r="F49" i="23" s="1"/>
  <c r="E47" i="12"/>
  <c r="F49" i="12" s="1"/>
  <c r="F41" i="12"/>
  <c r="F47" i="12" s="1"/>
  <c r="F50" i="12" s="1"/>
  <c r="E47" i="13"/>
  <c r="F49" i="13" s="1"/>
  <c r="F41" i="13"/>
  <c r="F47" i="13" s="1"/>
  <c r="F50" i="13" s="1"/>
  <c r="F41" i="28"/>
  <c r="F47" i="28" s="1"/>
  <c r="F50" i="28" s="1"/>
  <c r="E47" i="28"/>
  <c r="F49" i="28" s="1"/>
  <c r="F41" i="11"/>
  <c r="F47" i="11" s="1"/>
  <c r="F50" i="11" s="1"/>
  <c r="E47" i="11"/>
  <c r="F49" i="11" s="1"/>
  <c r="F51" i="11" s="1"/>
  <c r="E17" i="11" s="1"/>
  <c r="E19" i="11" s="1"/>
  <c r="F41" i="14"/>
  <c r="F47" i="14" s="1"/>
  <c r="F50" i="14" s="1"/>
  <c r="E47" i="14"/>
  <c r="F49" i="14" s="1"/>
  <c r="F51" i="14" s="1"/>
  <c r="E17" i="14" s="1"/>
  <c r="E19" i="14" s="1"/>
  <c r="E47" i="30"/>
  <c r="F49" i="30" s="1"/>
  <c r="F51" i="30" s="1"/>
  <c r="E17" i="30" s="1"/>
  <c r="E19" i="30" s="1"/>
  <c r="F41" i="30"/>
  <c r="F47" i="30" s="1"/>
  <c r="F50" i="30" s="1"/>
  <c r="E47" i="9"/>
  <c r="F49" i="9" s="1"/>
  <c r="F41" i="9"/>
  <c r="F47" i="9" s="1"/>
  <c r="F50" i="9" s="1"/>
  <c r="E47" i="21"/>
  <c r="F49" i="21" s="1"/>
  <c r="F41" i="21"/>
  <c r="F47" i="21" s="1"/>
  <c r="F50" i="21" s="1"/>
  <c r="F41" i="7"/>
  <c r="F47" i="7" s="1"/>
  <c r="F50" i="7" s="1"/>
  <c r="E47" i="7"/>
  <c r="F49" i="7" s="1"/>
  <c r="F51" i="7" s="1"/>
  <c r="E17" i="7" s="1"/>
  <c r="E19" i="7" s="1"/>
  <c r="F41" i="32"/>
  <c r="F47" i="32" s="1"/>
  <c r="F50" i="32" s="1"/>
  <c r="E47" i="32"/>
  <c r="F49" i="32" s="1"/>
  <c r="F51" i="32" s="1"/>
  <c r="E17" i="32" s="1"/>
  <c r="F41" i="20"/>
  <c r="F47" i="20" s="1"/>
  <c r="F50" i="20" s="1"/>
  <c r="E47" i="20"/>
  <c r="F49" i="20" s="1"/>
  <c r="E47" i="24"/>
  <c r="F49" i="24" s="1"/>
  <c r="F41" i="24"/>
  <c r="F47" i="24" s="1"/>
  <c r="F50" i="24" s="1"/>
  <c r="E47" i="10"/>
  <c r="F49" i="10" s="1"/>
  <c r="F41" i="10"/>
  <c r="F47" i="10" s="1"/>
  <c r="F50" i="10" s="1"/>
  <c r="E47" i="22"/>
  <c r="F49" i="22" s="1"/>
  <c r="F41" i="22"/>
  <c r="F47" i="22" s="1"/>
  <c r="F50" i="22" s="1"/>
  <c r="E47" i="8"/>
  <c r="F49" i="8" s="1"/>
  <c r="F41" i="8"/>
  <c r="F47" i="8" s="1"/>
  <c r="F50" i="8" s="1"/>
  <c r="E47" i="34"/>
  <c r="F49" i="34" s="1"/>
  <c r="F41" i="34"/>
  <c r="F47" i="34" s="1"/>
  <c r="F50" i="34" s="1"/>
  <c r="F51" i="20" l="1"/>
  <c r="E17" i="20" s="1"/>
  <c r="E19" i="20" s="1"/>
  <c r="E14" i="2" s="1"/>
  <c r="F14" i="2" s="1"/>
  <c r="J14" i="2" s="1"/>
  <c r="F51" i="34"/>
  <c r="E17" i="34" s="1"/>
  <c r="E19" i="34" s="1"/>
  <c r="G38" i="2"/>
  <c r="F51" i="10"/>
  <c r="E17" i="10" s="1"/>
  <c r="E19" i="10" s="1"/>
  <c r="E13" i="2" s="1"/>
  <c r="F13" i="2" s="1"/>
  <c r="J13" i="2" s="1"/>
  <c r="E21" i="10"/>
  <c r="E31" i="2"/>
  <c r="F31" i="2" s="1"/>
  <c r="J31" i="2" s="1"/>
  <c r="E21" i="27"/>
  <c r="I25" i="27" s="1"/>
  <c r="E21" i="11"/>
  <c r="G36" i="2"/>
  <c r="E31" i="30"/>
  <c r="I36" i="2" s="1"/>
  <c r="I23" i="30"/>
  <c r="AD36" i="2" s="1"/>
  <c r="I24" i="30"/>
  <c r="AE36" i="2" s="1"/>
  <c r="F51" i="21"/>
  <c r="E17" i="21" s="1"/>
  <c r="E19" i="21" s="1"/>
  <c r="F51" i="13"/>
  <c r="E17" i="13" s="1"/>
  <c r="E19" i="13" s="1"/>
  <c r="I24" i="25"/>
  <c r="AE32" i="2" s="1"/>
  <c r="E31" i="25"/>
  <c r="I32" i="2" s="1"/>
  <c r="G32" i="2"/>
  <c r="I23" i="25"/>
  <c r="AD32" i="2" s="1"/>
  <c r="E19" i="32"/>
  <c r="F51" i="12"/>
  <c r="E17" i="12" s="1"/>
  <c r="E19" i="12" s="1"/>
  <c r="I23" i="28"/>
  <c r="AD37" i="2" s="1"/>
  <c r="E31" i="28"/>
  <c r="I37" i="2" s="1"/>
  <c r="G37" i="2"/>
  <c r="I24" i="28"/>
  <c r="AE37" i="2" s="1"/>
  <c r="G13" i="2"/>
  <c r="E31" i="10"/>
  <c r="I13" i="2" s="1"/>
  <c r="I23" i="10"/>
  <c r="AD13" i="2" s="1"/>
  <c r="I24" i="10"/>
  <c r="AE13" i="2" s="1"/>
  <c r="I25" i="10"/>
  <c r="F51" i="9"/>
  <c r="E17" i="9" s="1"/>
  <c r="E19" i="9" s="1"/>
  <c r="G16" i="2"/>
  <c r="I24" i="14"/>
  <c r="AE16" i="2" s="1"/>
  <c r="I23" i="14"/>
  <c r="AD16" i="2" s="1"/>
  <c r="E31" i="14"/>
  <c r="I16" i="2" s="1"/>
  <c r="F51" i="22"/>
  <c r="E17" i="22" s="1"/>
  <c r="E19" i="22" s="1"/>
  <c r="E35" i="2"/>
  <c r="F35" i="2" s="1"/>
  <c r="E21" i="34"/>
  <c r="E10" i="2"/>
  <c r="F10" i="2" s="1"/>
  <c r="E21" i="7"/>
  <c r="E36" i="2"/>
  <c r="F36" i="2" s="1"/>
  <c r="E21" i="30"/>
  <c r="I25" i="30" s="1"/>
  <c r="F51" i="24"/>
  <c r="E17" i="24" s="1"/>
  <c r="E19" i="24" s="1"/>
  <c r="F51" i="25"/>
  <c r="E17" i="25" s="1"/>
  <c r="E19" i="25" s="1"/>
  <c r="E31" i="8"/>
  <c r="I24" i="2" s="1"/>
  <c r="I24" i="8"/>
  <c r="AE24" i="2" s="1"/>
  <c r="I23" i="8"/>
  <c r="AD24" i="2" s="1"/>
  <c r="G24" i="2"/>
  <c r="I23" i="21"/>
  <c r="AD21" i="2" s="1"/>
  <c r="I24" i="21"/>
  <c r="AE21" i="2" s="1"/>
  <c r="E31" i="21"/>
  <c r="I21" i="2" s="1"/>
  <c r="G21" i="2"/>
  <c r="E31" i="9"/>
  <c r="I25" i="2" s="1"/>
  <c r="I23" i="9"/>
  <c r="AD25" i="2" s="1"/>
  <c r="G25" i="2"/>
  <c r="I24" i="9"/>
  <c r="AE25" i="2" s="1"/>
  <c r="I24" i="20"/>
  <c r="AE14" i="2" s="1"/>
  <c r="E31" i="20"/>
  <c r="I14" i="2" s="1"/>
  <c r="I23" i="20"/>
  <c r="AD14" i="2" s="1"/>
  <c r="G14" i="2"/>
  <c r="F51" i="28"/>
  <c r="E17" i="28" s="1"/>
  <c r="E19" i="28" s="1"/>
  <c r="F51" i="23"/>
  <c r="E17" i="23" s="1"/>
  <c r="E19" i="23" s="1"/>
  <c r="I23" i="13"/>
  <c r="AD15" i="2" s="1"/>
  <c r="I24" i="13"/>
  <c r="AE15" i="2" s="1"/>
  <c r="G15" i="2"/>
  <c r="E31" i="13"/>
  <c r="I15" i="2" s="1"/>
  <c r="I24" i="12"/>
  <c r="AE20" i="2" s="1"/>
  <c r="E31" i="12"/>
  <c r="I20" i="2" s="1"/>
  <c r="I23" i="12"/>
  <c r="AD20" i="2" s="1"/>
  <c r="G20" i="2"/>
  <c r="E31" i="24"/>
  <c r="I29" i="2" s="1"/>
  <c r="G29" i="2"/>
  <c r="I24" i="24"/>
  <c r="AE29" i="2" s="1"/>
  <c r="I23" i="24"/>
  <c r="AD29" i="2" s="1"/>
  <c r="E16" i="2"/>
  <c r="F16" i="2" s="1"/>
  <c r="J16" i="2" s="1"/>
  <c r="E21" i="14"/>
  <c r="I25" i="14" s="1"/>
  <c r="I23" i="27"/>
  <c r="AD31" i="2" s="1"/>
  <c r="E31" i="27"/>
  <c r="I31" i="2" s="1"/>
  <c r="G31" i="2"/>
  <c r="I24" i="27"/>
  <c r="AE31" i="2" s="1"/>
  <c r="I23" i="7"/>
  <c r="AD10" i="2" s="1"/>
  <c r="I24" i="7"/>
  <c r="AE10" i="2" s="1"/>
  <c r="I25" i="7"/>
  <c r="E31" i="7"/>
  <c r="I10" i="2" s="1"/>
  <c r="G10" i="2"/>
  <c r="F51" i="8"/>
  <c r="E17" i="8" s="1"/>
  <c r="E19" i="8" s="1"/>
  <c r="I23" i="11"/>
  <c r="AD26" i="2" s="1"/>
  <c r="E31" i="11"/>
  <c r="I24" i="11"/>
  <c r="AE26" i="2" s="1"/>
  <c r="I25" i="11"/>
  <c r="I24" i="22"/>
  <c r="AE19" i="2" s="1"/>
  <c r="G19" i="2"/>
  <c r="E31" i="22"/>
  <c r="I19" i="2" s="1"/>
  <c r="I23" i="22"/>
  <c r="AD19" i="2" s="1"/>
  <c r="E31" i="34"/>
  <c r="I35" i="2" s="1"/>
  <c r="I24" i="34"/>
  <c r="AE35" i="2" s="1"/>
  <c r="G35" i="2"/>
  <c r="I25" i="34"/>
  <c r="I23" i="34"/>
  <c r="AD35" i="2" s="1"/>
  <c r="I18" i="4"/>
  <c r="I19" i="4"/>
  <c r="H18" i="4"/>
  <c r="H19" i="4"/>
  <c r="E21" i="20" l="1"/>
  <c r="I25" i="20" s="1"/>
  <c r="E15" i="2"/>
  <c r="F15" i="2" s="1"/>
  <c r="J15" i="2" s="1"/>
  <c r="E21" i="13"/>
  <c r="E25" i="2"/>
  <c r="F25" i="2" s="1"/>
  <c r="J25" i="2" s="1"/>
  <c r="E21" i="9"/>
  <c r="E29" i="2"/>
  <c r="F29" i="2" s="1"/>
  <c r="J29" i="2" s="1"/>
  <c r="E21" i="24"/>
  <c r="E21" i="2"/>
  <c r="F21" i="2" s="1"/>
  <c r="J21" i="2" s="1"/>
  <c r="E21" i="21"/>
  <c r="I20" i="30"/>
  <c r="E32" i="30"/>
  <c r="H20" i="30"/>
  <c r="I21" i="30"/>
  <c r="H21" i="30"/>
  <c r="E32" i="2"/>
  <c r="F32" i="2" s="1"/>
  <c r="J32" i="2" s="1"/>
  <c r="E21" i="25"/>
  <c r="J36" i="2"/>
  <c r="E32" i="7"/>
  <c r="H21" i="7"/>
  <c r="I21" i="7"/>
  <c r="H20" i="7"/>
  <c r="I20" i="7"/>
  <c r="J10" i="2"/>
  <c r="H21" i="34"/>
  <c r="H20" i="34"/>
  <c r="E32" i="34"/>
  <c r="I20" i="34"/>
  <c r="I21" i="34"/>
  <c r="H20" i="14"/>
  <c r="H21" i="14"/>
  <c r="E32" i="14"/>
  <c r="I21" i="14"/>
  <c r="I20" i="14"/>
  <c r="J35" i="2"/>
  <c r="H21" i="11"/>
  <c r="E32" i="11"/>
  <c r="I21" i="11"/>
  <c r="H20" i="11"/>
  <c r="I20" i="11"/>
  <c r="E30" i="2"/>
  <c r="F30" i="2" s="1"/>
  <c r="J30" i="2" s="1"/>
  <c r="E21" i="23"/>
  <c r="E19" i="2"/>
  <c r="F19" i="2" s="1"/>
  <c r="J19" i="2" s="1"/>
  <c r="E21" i="22"/>
  <c r="E37" i="2"/>
  <c r="F37" i="2" s="1"/>
  <c r="J37" i="2" s="1"/>
  <c r="E21" i="28"/>
  <c r="E20" i="2"/>
  <c r="F20" i="2" s="1"/>
  <c r="J20" i="2" s="1"/>
  <c r="E21" i="12"/>
  <c r="H20" i="27"/>
  <c r="I20" i="27"/>
  <c r="H21" i="27"/>
  <c r="E32" i="27"/>
  <c r="I21" i="27"/>
  <c r="E38" i="2"/>
  <c r="F38" i="2" s="1"/>
  <c r="J38" i="2" s="1"/>
  <c r="E21" i="32"/>
  <c r="E32" i="10"/>
  <c r="H20" i="10"/>
  <c r="I21" i="10"/>
  <c r="H21" i="10"/>
  <c r="I20" i="10"/>
  <c r="E24" i="2"/>
  <c r="F24" i="2" s="1"/>
  <c r="J24" i="2" s="1"/>
  <c r="E21" i="8"/>
  <c r="H21" i="20" l="1"/>
  <c r="I20" i="20"/>
  <c r="I21" i="20"/>
  <c r="H20" i="20"/>
  <c r="E32" i="20"/>
  <c r="E32" i="9"/>
  <c r="I20" i="9"/>
  <c r="I21" i="9"/>
  <c r="H21" i="9"/>
  <c r="H20" i="9"/>
  <c r="I25" i="9"/>
  <c r="H18" i="34"/>
  <c r="I18" i="34"/>
  <c r="I19" i="34"/>
  <c r="H19" i="34"/>
  <c r="E32" i="32"/>
  <c r="I25" i="32"/>
  <c r="H20" i="32"/>
  <c r="H21" i="32"/>
  <c r="I20" i="32"/>
  <c r="I21" i="32"/>
  <c r="H18" i="14"/>
  <c r="I18" i="14"/>
  <c r="H19" i="14"/>
  <c r="I19" i="14"/>
  <c r="H21" i="8"/>
  <c r="I21" i="8"/>
  <c r="H20" i="8"/>
  <c r="E32" i="8"/>
  <c r="I20" i="8"/>
  <c r="I25" i="8"/>
  <c r="H21" i="22"/>
  <c r="I20" i="22"/>
  <c r="E32" i="22"/>
  <c r="H20" i="22"/>
  <c r="I21" i="22"/>
  <c r="I25" i="22"/>
  <c r="I21" i="25"/>
  <c r="E32" i="25"/>
  <c r="H21" i="25"/>
  <c r="I20" i="25"/>
  <c r="H20" i="25"/>
  <c r="I25" i="25"/>
  <c r="H21" i="23"/>
  <c r="I21" i="23"/>
  <c r="E32" i="23"/>
  <c r="H20" i="23"/>
  <c r="I25" i="23"/>
  <c r="I20" i="23"/>
  <c r="H18" i="10"/>
  <c r="H19" i="10"/>
  <c r="I19" i="10"/>
  <c r="I18" i="10"/>
  <c r="I19" i="30"/>
  <c r="H18" i="30"/>
  <c r="I18" i="30"/>
  <c r="H19" i="30"/>
  <c r="H19" i="27"/>
  <c r="I19" i="27"/>
  <c r="I18" i="27"/>
  <c r="H18" i="27"/>
  <c r="I18" i="11"/>
  <c r="H19" i="11"/>
  <c r="I19" i="11"/>
  <c r="H18" i="11"/>
  <c r="E32" i="21"/>
  <c r="H20" i="21"/>
  <c r="H21" i="21"/>
  <c r="I20" i="21"/>
  <c r="I21" i="21"/>
  <c r="I25" i="21"/>
  <c r="I18" i="7"/>
  <c r="H19" i="7"/>
  <c r="I19" i="7"/>
  <c r="H18" i="7"/>
  <c r="H20" i="24"/>
  <c r="I20" i="24"/>
  <c r="I21" i="24"/>
  <c r="E32" i="24"/>
  <c r="H21" i="24"/>
  <c r="I25" i="24"/>
  <c r="H20" i="28"/>
  <c r="I20" i="28"/>
  <c r="I21" i="28"/>
  <c r="E32" i="28"/>
  <c r="H21" i="28"/>
  <c r="I25" i="28"/>
  <c r="I20" i="13"/>
  <c r="E32" i="13"/>
  <c r="H21" i="13"/>
  <c r="I21" i="13"/>
  <c r="H20" i="13"/>
  <c r="I25" i="13"/>
  <c r="I21" i="12"/>
  <c r="H20" i="12"/>
  <c r="I20" i="12"/>
  <c r="H21" i="12"/>
  <c r="E32" i="12"/>
  <c r="I25" i="12"/>
  <c r="I18" i="20"/>
  <c r="I19" i="20"/>
  <c r="H18" i="20"/>
  <c r="H19" i="20"/>
  <c r="H18" i="9" l="1"/>
  <c r="I18" i="9"/>
  <c r="I19" i="9"/>
  <c r="H19" i="9"/>
  <c r="I18" i="28"/>
  <c r="H19" i="28"/>
  <c r="I19" i="28"/>
  <c r="H18" i="28"/>
  <c r="I19" i="12"/>
  <c r="I18" i="12"/>
  <c r="H19" i="12"/>
  <c r="H18" i="12"/>
  <c r="I19" i="32"/>
  <c r="H18" i="32"/>
  <c r="I18" i="32"/>
  <c r="H19" i="32"/>
  <c r="I18" i="25"/>
  <c r="I19" i="25"/>
  <c r="H18" i="25"/>
  <c r="H19" i="25"/>
  <c r="H18" i="21"/>
  <c r="I19" i="21"/>
  <c r="I18" i="21"/>
  <c r="H19" i="21"/>
  <c r="I18" i="22"/>
  <c r="I19" i="22"/>
  <c r="H18" i="22"/>
  <c r="H19" i="22"/>
  <c r="I19" i="24"/>
  <c r="H18" i="24"/>
  <c r="I18" i="24"/>
  <c r="H19" i="24"/>
  <c r="H19" i="23"/>
  <c r="H18" i="23"/>
  <c r="I18" i="23"/>
  <c r="I19" i="23"/>
  <c r="I18" i="8"/>
  <c r="I19" i="8"/>
  <c r="H18" i="8"/>
  <c r="H19" i="8"/>
  <c r="H19" i="13"/>
  <c r="I19" i="13"/>
  <c r="I18" i="13"/>
  <c r="H18" i="13"/>
</calcChain>
</file>

<file path=xl/sharedStrings.xml><?xml version="1.0" encoding="utf-8"?>
<sst xmlns="http://schemas.openxmlformats.org/spreadsheetml/2006/main" count="1947" uniqueCount="257">
  <si>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</si>
  <si>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</si>
  <si>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</si>
  <si>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</si>
  <si>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</si>
  <si>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</si>
  <si>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</si>
  <si>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</si>
  <si>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Price</t>
  </si>
  <si>
    <t>Shares</t>
  </si>
  <si>
    <t>Net Debt</t>
  </si>
  <si>
    <t>EBITDA</t>
  </si>
  <si>
    <t>Earnings</t>
  </si>
  <si>
    <t>EV/EBITDA</t>
  </si>
  <si>
    <t>P/E</t>
  </si>
  <si>
    <t>Company Name</t>
  </si>
  <si>
    <t>[$/sh.]</t>
  </si>
  <si>
    <t>Share</t>
  </si>
  <si>
    <t>Market</t>
  </si>
  <si>
    <t>Notes:</t>
  </si>
  <si>
    <t>[$MM]</t>
  </si>
  <si>
    <t>[MM]</t>
  </si>
  <si>
    <t>Enterprise</t>
  </si>
  <si>
    <t>Value</t>
  </si>
  <si>
    <t>Current Capitalization</t>
  </si>
  <si>
    <t>Revenue</t>
  </si>
  <si>
    <t>FY+1</t>
  </si>
  <si>
    <t>FY+2</t>
  </si>
  <si>
    <t>Cash Flow</t>
  </si>
  <si>
    <t>EV/Revenue</t>
  </si>
  <si>
    <t>P/CF</t>
  </si>
  <si>
    <t>[x]</t>
  </si>
  <si>
    <t>Comparable Trading Metrics</t>
  </si>
  <si>
    <t>© Corporate Finance Institute. All rights reserved.</t>
  </si>
  <si>
    <t>2.  Market capitalization plus long term debt net of working capital as at the most recently disclosed quarter, adjusted for subsequent acquisitions and financings</t>
  </si>
  <si>
    <t>Stock Ticker</t>
  </si>
  <si>
    <t>Date</t>
  </si>
  <si>
    <t>Shares Outstanding</t>
  </si>
  <si>
    <t>Market Capitalization (Diluted)</t>
  </si>
  <si>
    <t>Convertible Debt</t>
  </si>
  <si>
    <t>Enterprise Value (Diluted)</t>
  </si>
  <si>
    <t>Consensus Research Estimates</t>
  </si>
  <si>
    <t>Current Trading Multiples</t>
  </si>
  <si>
    <t>Financial Estimates and Current Trading Multiples</t>
  </si>
  <si>
    <t>Book Equity</t>
  </si>
  <si>
    <t>Total Debt / Equity</t>
  </si>
  <si>
    <t>Options and Dilutive Securities Schedule</t>
  </si>
  <si>
    <t>Type</t>
  </si>
  <si>
    <t>Exercise</t>
  </si>
  <si>
    <t>Number</t>
  </si>
  <si>
    <t>Proceeds</t>
  </si>
  <si>
    <t>Outstanding</t>
  </si>
  <si>
    <t>Total</t>
  </si>
  <si>
    <t>In-the-Money Options</t>
  </si>
  <si>
    <t>Shares Repurchased (TSM)</t>
  </si>
  <si>
    <t>Details</t>
  </si>
  <si>
    <t>Face</t>
  </si>
  <si>
    <t>Conversion</t>
  </si>
  <si>
    <t>Issued</t>
  </si>
  <si>
    <t>Total Converted</t>
  </si>
  <si>
    <t>Total Unconverted</t>
  </si>
  <si>
    <t>[Company Name]</t>
  </si>
  <si>
    <t>Leverage Multiples</t>
  </si>
  <si>
    <t>Debt /</t>
  </si>
  <si>
    <t>Equity</t>
  </si>
  <si>
    <t>[%]</t>
  </si>
  <si>
    <t>Company Template</t>
  </si>
  <si>
    <r>
      <t>Financial Estimates</t>
    </r>
    <r>
      <rPr>
        <b/>
        <u val="singleAccounting"/>
        <vertAlign val="superscript"/>
        <sz val="11"/>
        <rFont val="Arial Narrow"/>
        <family val="2"/>
      </rPr>
      <t>3</t>
    </r>
  </si>
  <si>
    <r>
      <t>Shares</t>
    </r>
    <r>
      <rPr>
        <b/>
        <vertAlign val="superscript"/>
        <sz val="11"/>
        <rFont val="Arial Narrow"/>
        <family val="2"/>
      </rPr>
      <t>1</t>
    </r>
  </si>
  <si>
    <r>
      <t>Cap.</t>
    </r>
    <r>
      <rPr>
        <b/>
        <vertAlign val="superscript"/>
        <sz val="11"/>
        <rFont val="Arial Narrow"/>
        <family val="2"/>
      </rPr>
      <t>1</t>
    </r>
  </si>
  <si>
    <r>
      <t>Value</t>
    </r>
    <r>
      <rPr>
        <b/>
        <vertAlign val="superscript"/>
        <sz val="11"/>
        <rFont val="Arial Narrow"/>
        <family val="2"/>
      </rPr>
      <t>2</t>
    </r>
  </si>
  <si>
    <r>
      <t xml:space="preserve">Share Price </t>
    </r>
    <r>
      <rPr>
        <i/>
        <sz val="11"/>
        <color theme="1"/>
        <rFont val="Arial Narrow"/>
        <family val="2"/>
      </rPr>
      <t>($/sh.)</t>
    </r>
  </si>
  <si>
    <r>
      <t>Basic Shares Outstanding</t>
    </r>
    <r>
      <rPr>
        <i/>
        <sz val="11"/>
        <color theme="1"/>
        <rFont val="Arial Narrow"/>
        <family val="2"/>
      </rPr>
      <t xml:space="preserve"> (MM)</t>
    </r>
  </si>
  <si>
    <r>
      <t xml:space="preserve">Dilution From Equity Instruments (TSM) </t>
    </r>
    <r>
      <rPr>
        <i/>
        <sz val="11"/>
        <color theme="1"/>
        <rFont val="Arial Narrow"/>
        <family val="2"/>
      </rPr>
      <t>(MM)</t>
    </r>
  </si>
  <si>
    <r>
      <t xml:space="preserve">Dilution From Convertible Debt </t>
    </r>
    <r>
      <rPr>
        <i/>
        <sz val="11"/>
        <color theme="1"/>
        <rFont val="Arial Narrow"/>
        <family val="2"/>
      </rPr>
      <t>(MM)</t>
    </r>
  </si>
  <si>
    <t>1.  Fully diluted (treasury stock method)</t>
  </si>
  <si>
    <t>Cash and Cash Equivalents</t>
  </si>
  <si>
    <t>Total Debt / Book Capitalization</t>
  </si>
  <si>
    <t>Total Debt / Market Capitalization</t>
  </si>
  <si>
    <t>Additional Shares Issued (TSM)</t>
  </si>
  <si>
    <t>Restricted Stock Units / Restricted Stock Awards</t>
  </si>
  <si>
    <r>
      <t>Diluted Shares Outstanding (TSM)</t>
    </r>
    <r>
      <rPr>
        <i/>
        <sz val="11"/>
        <color theme="1"/>
        <rFont val="Arial Narrow"/>
        <family val="2"/>
      </rPr>
      <t xml:space="preserve"> (MM)</t>
    </r>
  </si>
  <si>
    <r>
      <t xml:space="preserve">Dilution From Unvested RSUs/RSAs </t>
    </r>
    <r>
      <rPr>
        <i/>
        <sz val="11"/>
        <color theme="1"/>
        <rFont val="Arial Narrow"/>
        <family val="2"/>
      </rPr>
      <t>(MM)</t>
    </r>
  </si>
  <si>
    <t>Unvested</t>
  </si>
  <si>
    <t xml:space="preserve"> </t>
  </si>
  <si>
    <t>Source: Capital IQ; Company filings</t>
  </si>
  <si>
    <t>Total Debt (Balance Sheet)</t>
  </si>
  <si>
    <t>Total Debt (Adjusted)</t>
  </si>
  <si>
    <t>Total Non-Convertible Debt</t>
  </si>
  <si>
    <t>Total Convertible Debt (Balance Sheet)</t>
  </si>
  <si>
    <t>Convertible Debt Outstanding (If-Converted)</t>
  </si>
  <si>
    <t>Exercised</t>
  </si>
  <si>
    <t>2021 Notes</t>
  </si>
  <si>
    <t>2024 Notes</t>
  </si>
  <si>
    <t>2025 Notes</t>
  </si>
  <si>
    <t>Restricted Stock Units</t>
  </si>
  <si>
    <t>Restricted Stock and Performance Share Units</t>
  </si>
  <si>
    <t>Stock Options</t>
  </si>
  <si>
    <t>Performance Restricted Stock Units</t>
  </si>
  <si>
    <t>TSR Restricted Stock Units</t>
  </si>
  <si>
    <t>Restricted Common Stock</t>
  </si>
  <si>
    <t>Book Cap.</t>
  </si>
  <si>
    <t>All Amounts Denominated in US$MM Unless Otherwise Stated</t>
  </si>
  <si>
    <t>1P Comps</t>
  </si>
  <si>
    <t>3P Comps</t>
  </si>
  <si>
    <t>Advertising Comps</t>
  </si>
  <si>
    <t>Cloud Comps</t>
  </si>
  <si>
    <t>Subscription Comps</t>
  </si>
  <si>
    <t>Performance Share Units</t>
  </si>
  <si>
    <t>NYSE:LOW</t>
  </si>
  <si>
    <t>Restricted Stock Awards</t>
  </si>
  <si>
    <t>Deferred Stock Awards</t>
  </si>
  <si>
    <t>Restricted Stock and Performance Share Awards</t>
  </si>
  <si>
    <t>2020 Convertible Debt</t>
  </si>
  <si>
    <t>2019 Convertible Debt</t>
  </si>
  <si>
    <t>2018 Convertible Debt</t>
  </si>
  <si>
    <t>Partner Capital Investment Plan</t>
  </si>
  <si>
    <t>Restricted Stock-Based Units</t>
  </si>
  <si>
    <t>$USD per EUR</t>
  </si>
  <si>
    <t>Other</t>
  </si>
  <si>
    <t>2015 Convertible Notes</t>
  </si>
  <si>
    <t>2018 Convertible Notes</t>
  </si>
  <si>
    <t xml:space="preserve">Performance-Based Restricted Stock Units </t>
  </si>
  <si>
    <t>3.  Based on Consensus research estimates</t>
  </si>
  <si>
    <r>
      <t>Current Trading Multiples</t>
    </r>
    <r>
      <rPr>
        <b/>
        <u val="singleAccounting"/>
        <vertAlign val="superscript"/>
        <sz val="11"/>
        <rFont val="Arial Narrow"/>
        <family val="2"/>
      </rPr>
      <t>3</t>
    </r>
  </si>
  <si>
    <t>Total Debt</t>
  </si>
  <si>
    <t>Cash</t>
  </si>
  <si>
    <t>Currency</t>
  </si>
  <si>
    <t>USD</t>
  </si>
  <si>
    <t>Val Date</t>
  </si>
  <si>
    <t>Financial Estimates3</t>
  </si>
  <si>
    <t>Shares1</t>
  </si>
  <si>
    <t>Cap.1</t>
  </si>
  <si>
    <t>Amazon.com, Inc.</t>
  </si>
  <si>
    <t>Walmart Inc.</t>
  </si>
  <si>
    <t>The Home Depot, Inc.</t>
  </si>
  <si>
    <t>Lowe's Companies, Inc.</t>
  </si>
  <si>
    <t>Target Corporation</t>
  </si>
  <si>
    <t>Alibaba Group Holding Limited</t>
  </si>
  <si>
    <t>eBay Inc.</t>
  </si>
  <si>
    <t>Etsy, Inc.</t>
  </si>
  <si>
    <t>Alphabet Inc.</t>
  </si>
  <si>
    <t>Facebook, Inc.</t>
  </si>
  <si>
    <t>Twitter, Inc.</t>
  </si>
  <si>
    <t>salesforce.com, inc.</t>
  </si>
  <si>
    <t>Oracle Corporation</t>
  </si>
  <si>
    <t>SAP SE</t>
  </si>
  <si>
    <t>VMware, Inc.</t>
  </si>
  <si>
    <t>Netflix, Inc.</t>
  </si>
  <si>
    <t>Spotify Technology S.A.</t>
  </si>
  <si>
    <t>Roku, Inc.</t>
  </si>
  <si>
    <t>Sirius XM Holdings Inc.</t>
  </si>
  <si>
    <t>© 2021 CFI Education Inc.</t>
  </si>
  <si>
    <r>
      <t>Value</t>
    </r>
    <r>
      <rPr>
        <b/>
        <u val="singleAccounting"/>
        <vertAlign val="superscript"/>
        <sz val="11"/>
        <rFont val="Arial Narrow"/>
        <family val="2"/>
      </rPr>
      <t>2</t>
    </r>
  </si>
  <si>
    <t>Comps Data (Hard-Coded)</t>
  </si>
  <si>
    <t>Amazon</t>
  </si>
  <si>
    <t>Wal-Mart</t>
  </si>
  <si>
    <t>Home Depot</t>
  </si>
  <si>
    <t>Lowes</t>
  </si>
  <si>
    <t>Target</t>
  </si>
  <si>
    <t>Alibaba</t>
  </si>
  <si>
    <t>Ebay</t>
  </si>
  <si>
    <t>Etsy</t>
  </si>
  <si>
    <t>Google</t>
  </si>
  <si>
    <t>Facebook</t>
  </si>
  <si>
    <t>Twitter</t>
  </si>
  <si>
    <t>Salesforce.com</t>
  </si>
  <si>
    <t>SAP</t>
  </si>
  <si>
    <t>VMware</t>
  </si>
  <si>
    <t>Netflix</t>
  </si>
  <si>
    <t>Spotify</t>
  </si>
  <si>
    <t>Roku</t>
  </si>
  <si>
    <t>SiriusXM</t>
  </si>
  <si>
    <t>Hard-Coded Data</t>
  </si>
  <si>
    <t>Capital IQ (CFI Full Immersion Students)</t>
  </si>
  <si>
    <t>BAABTAVMT0NBTAFI/////wFQRAEAABxDSVEuJFVTREVVUi5JUV9MQVNUU0FMRVBSSUNFAQAAAALtWgACAAAACzEuMDg1NjU4NDUyALR6AxrwItoIM3dEGvAi2gg1Q0lRLk5ZU0U6TE9XLklRX1RPVEFMX09VVFNUQU5ESU5HX0JTX0RBVEUuLjIwMjEtMDMtMjABAAAAh8ICAAIAAAADNzMxAQQAAAAFAAAAATUBAAAACy0yMTA3NTUwNzM5AgAAAAUyNDE1MgYAAAABMLR6AxrwItoImmYzGvAi2ggsQ0lRLk5ZU0U6TE9XLklRX0NBU0hfRVFVSVYuLjIwMjEtMDMtMjAuLi5VU0QBAAAAh8ICAAIAAAAENDY5MAEIAAAABQAAAAExAQAAAAstMjEwNzU1MDczOQMAAAADMTYwAgAAAAQxMDk2BAAAAAEwBwAAAAkzLzIwLzIwMjEIAAAACTEvMjkvMjAyMQkAAAABMLR6AxrwItoIxsZDGvAi2ggsQ0lRLk5ZU0U6TE9XLklRX1RPVEFMX0RFQlQuLjIwMjEtMDMtMjAuLi5VU0QBAAAAh8ICAAIAAAAFMjYyMTEBCAAAAAUAAAABMQEAAAALLTIxMDc1NTA3MzkDAAAAAzE2MAIAAAAENDE3MwQAAAABMAcAAAAJMy8yMC8yMDIxCAAAAAkxLzI5LzIwMjEJAAAAATC0egMa8CLaCDN3RBrwItoIKUNJUS5OWVNFOkxPVy5JUV9DT05WRVJULi4yMDIxLTAzLTIwLi4uVVNEAQAAAIfCAgADAAAAAAC0egMa8CLaCDJiRRrwItoILkNJUS5OWVNFOkxPVy5JUV9UT1RBTF9FUVVJVFkuLjIwMjEtMDMtMjAuLi5VU0QBAAAAh8ICAAIAAAAEMTQz</t>
  </si>
  <si>
    <t>NwEIAAAABQAAAAExAQAAAAstMjEwNzU1MDczOQMAAAADMTYwAgAAAAQxMjc1BAAAAAEwBwAAAAkzLzIwLzIwMjEIAAAACTEvMjkvMjAyMQkAAAABMLR6AxrwItoIb9lHGvAi2ggpQ0lRLk5ZU0U6TE9XLklRX1JFVkVOVUVfRVNULkZZMjAyMS4uLi5VU0QBAAAAh8ICAAIAAAALODg2NDQuMzg5NjQBDgAAAAUAAAABMwEAAAABMAIAAAAKMTAwMTIwNjA4NgMAAAAGMTAwMTgwBAAAAAEyBgAAAAEwBwAAAAMxNjAIAAAAATAJAAAAATEKAAAAATALAAAACzEyMjY2NDQwNjI5DAAAAAExDQAAAAk0LzIxLzIwMjIQAAAACTEvMzEvMjAyMbR6AxrwItoIlSNGGvAi2ggpQ0lRLk5ZU0U6TE9XLklRX1JFVkVOVUVfRVNULkZZMjAyMi4uLi5VU0QBAAAAh8ICAAIAAAAKOTU3OTYuODE3NwEOAAAABQAAAAEzAQAAAAEwAgAAAAoxMDAxMjA2MTQzAwAAAAYxMDAxODAEAAAAATIGAAAAATAHAAAAAzE2MAgAAAABMAkAAAABMQoAAAABMAsAAAALMTI3NjIxMjE3MzAMAAAAATENAAAACTQvMjEvMjAyMhAAAAAJMS8zMS8yMDIytHoDGvAi2gjM50Ya8CLaCChDSVEuTllTRTpMT1cuSVFfRUJJVERBX0VTVC5GWTIwMjEuLi4uVVNEAQAAAIfCAgACAAAACzExMTM0LjI0NDc3AQ4AAAAFAAAAATMBAAAAATACAAAACjEwMDEyMDYwODYDAAAABjEwMDE4NwQAAAABMgYAAAABMAcAAAADMTYwCAAAAAEwCQAAAAExCgAAAAEwCwAAAAsxMjI2</t>
  </si>
  <si>
    <t>NjQ0MDE2NQwAAAABMQ0AAAAJNC8yMS8yMDIyEAAAAAkxLzMxLzIwMjHwhQMa8CLaCJUjRhrwItoIKENJUS5OWVNFOkxPVy5JUV9FQklUREFfRVNULkZZMjAyMi4uLi5VU0QBAAAAh8ICAAIAAAALMTM3ODYuNTgzNTUBDgAAAAUAAAABMwEAAAABMAIAAAAKMTAwMTIwNjE0MwMAAAAGMTAwMTg3BAAAAAEyBgAAAAEwBwAAAAMxNjAIAAAAATAJAAAAATEKAAAAATALAAAACzEyNzYyMTIxNTc3DAAAAAExDQAAAAk0LzIxLzIwMjIQAAAACTEvMzEvMjAyMvCFAxrwItoIzOdGGvAi2ggtQ0lRLk5ZU0U6TE9XLklRX05JX1JFUE9SVEVEX0VTVC5GWTIwMjEuLi4uVVNEAQAAAIfCAgACAAAACjYwMjQuODIzMjUBDgAAAAUAAAABMwEAAAABMAIAAAAKMTAwMTIwNjA4NgMAAAAGMTAwMjY0BAAAAAEyBgAAAAEwBwAAAAMxNjAIAAAAATAJAAAAATEKAAAAATALAAAACzEyMjY1MjU4NDQxDAAAAAExDQAAAAk0LzIxLzIwMjIQAAAACTEvMzEvMjAyMfCFAxrwItoIb9lHGvAi2ggtQ0lRLk5ZU0U6TE9XLklRX05JX1JFUE9SVEVEX0VTVC5GWTIwMjIuLi4uVVNEAQAAAIfCAgACAAAACjgzMjYuMzIxOTMBDgAAAAUAAAABMwEAAAABMAIAAAAKMTAwMTIwNjE0MwMAAAAGMTAwMjY0BAAAAAEyBgAAAAEwBwAAAAMxNjAIAAAAATAJAAAAATEKAAAAATALAAAACzEyNzYyMTIxNTQ3DAAAAAExDQAAAAk0LzIxLzIwMjIQAAAACTEvMzEv</t>
  </si>
  <si>
    <t>MjAyMvCFAxrwItoIOgJLGvAi2ggrQ0lRLk5ZU0U6TE9XLklRX0NBU0hfT1BFUl9FU1QuRlkyMDIxLi4uLlVTRAEAAACHwgIAAgAAAAo5Njc5LjA4MzMzAQ4AAAAFAAAAATMBAAAAATACAAAACjEwMDEyMDYwODYDAAAABjEwNDA3NgQAAAABMgYAAAABMAcAAAADMTYwCAAAAAEwCQAAAAExCgAAAAEwCwAAAAsxMjI2MDYzNDg0NgwAAAABMQ0AAAAJNC8yMS8yMDIyEAAAAAkxLzMxLzIwMjHwhQMa8CLaCJpmMxrwItoIK0NJUS5OWVNFOkxPVy5JUV9DQVNIX09QRVJfRVNULkZZMjAyMi4uLi5VU0QBAAAAh8ICAAIAAAAIMTEwOTcuNzQBDgAAAAUAAAABMwEAAAABMAIAAAAKMTAwMTIwNjE0MwMAAAAGMTA0MDc2BAAAAAEyBgAAAAEwBwAAAAMxNjAIAAAAATAJAAAAATEKAAAAATALAAAACzEyNzYyMTIxNTUzDAAAAAExDQAAAAk0LzIxLzIwMjIQAAAACTEvMzEvMjAyMvCFAxrwItoIA75KGvAi2gghQ0lRLk5BU0RBUUdTOkFNWk4uSVFfQ09NUEFOWV9OQU1FAQAAAD1JAAADAAAAEEFtYXpvbi5jb20sIEluYy4A8IUDGvAi2ghv2Uca8CLaCCNDSVEuTkFTREFRR1M6QU1aTi5JUV9DT01QQU5ZX1RJQ0tFUgEAAAA9SQAAAwAAAA1OYXNkYXFHUzpBTVpOAPCFAxrwItoIlSNGGvAi2ggcQ0lRLk5ZU0U6V01ULklRX0NPTVBBTllfTkFNRQEAAADfxgQAAwAAAAxXYWxtYXJ0IEluYy4A8IUDGvAi2ggyYkUa8CLaCB5DSVEu</t>
  </si>
  <si>
    <t>TllTRTpXTVQuSVFfQ09NUEFOWV9USUNLRVIBAAAA38YEAAMAAAAITllTRTpXTVQA8IUDGvAi2gjGxkMa8CLaCBtDSVEuTllTRTpIRC5JUV9DT01QQU5ZX05BTUUBAAAAl0AEAAMAAAAUVGhlIEhvbWUgRGVwb3QsIEluYy4A8IUDGvAi2ggdyXsb8CLaCB1DSVEuTllTRTpIRC5JUV9DT01QQU5ZX1RJQ0tFUgEAAACXQAQAAwAAAAdOWVNFOkhEAPCFAxrwItoIb9lHGvAi2ggcQ0lRLk5ZU0U6TE9XLklRX0NPTVBBTllfTkFNRQEAAACHwgIAAwAAABZMb3dlJ3MgQ29tcGFuaWVzLCBJbmMuAPCFAxrwItoIM3dEGvAi2ggcQ0lRLk5ZU0U6VEdULklRX0NPTVBBTllfTkFNRQEAAABmqQIAAwAAABJUYXJnZXQgQ29ycG9yYXRpb24A8IUDGvAi2gjM50Ya8CLaCB5DSVEuTllTRTpUR1QuSVFfQ09NUEFOWV9USUNLRVIBAAAAZqkCAAMAAAAITllTRTpUR1QA8IUDGvAi2ggyYkUa8CLaCB1DSVEuTllTRTpCQUJBLklRX0NPTVBBTllfTkFNRQEAAAARJYICAwAAAB1BbGliYWJhIEdyb3VwIEhvbGRpbmcgTGltaXRlZADwhQMa8CLaCDN3RBrwItoIH0NJUS5OWVNFOkJBQkEuSVFfQ09NUEFOWV9USUNLRVIBAAAAESWCAgMAAAAJTllTRTpCQUJBAPCFAxrwItoImmYzGvAi2gghQ0lRLk5BU0RBUUdTOkVCQVkuSVFfQ09NUEFOWV9OQU1FAQAAANZsAAADAAAACWVCYXkgSW5jLgDwhQMa8CLaCE56ShrwItoII0NJUS5OQVNEQVFH</t>
  </si>
  <si>
    <t>UzpFQkFZLklRX0NPTVBBTllfVElDS0VSAQAAANZsAAADAAAADU5hc2RhcUdTOkVCQVkA8IUDGvAi2gjM50Ya8CLaCCFDSVEuTkFTREFRR1M6RVRTWS5JUV9DT01QQU5ZX05BTUUBAAAAisOyAQMAAAAKRXRzeSwgSW5jLgDwhQMa8CLaCJUjRhrwItoII0NJUS5OQVNEQVFHUzpFVFNZLklRX0NPTVBBTllfVElDS0VSAQAAAIrDsgEDAAAADU5hc2RhcUdTOkVUU1kA8IUDGvAi2ggzd0Qa8CLaCCNDSVEuTkFTREFRR1M6R09PRy5MLklRX0NPTVBBTllfTkFNRQUAAAAAAAAACAAAABQoSW52YWxpZCBJZGVudGlmaWVyKfCFAxrwItoI8IUDGvAi2gglQ0lRLk5BU0RBUUdTOkdPT0cuTC5JUV9DT01QQU5ZX1RJQ0tFUgUAAAAAAAAACAAAABQoSW52YWxpZCBJZGVudGlmaWVyKfCFAxrwItoI7/1JGvAi2ggfQ0lRLk5BU0RBUUdTOkZCLklRX0NPTVBBTllfTkFNRQEAAAAX2zwBAwAAABRNZXRhIFBsYXRmb3JtcywgSW5jLgDwhQMa8CLaCG/ZRxrwItoIIUNJUS5OQVNEQVFHUzpGQi5JUV9DT01QQU5ZX1RJQ0tFUgEAAAAX2zwBAwAAAAtOYXNkYXFHUzpGQgDwhQMa8CLaCJUjRhrwItoIHUNJUS5OWVNFOlRXVFIuSVFfQ09NUEFOWV9OQU1FAQAAALO/JAIDAAAADVR3aXR0ZXIsIEluYy4A8IUDGvAi2ggyYkUa8CLaCB9DSVEuTllTRTpUV1RSLklRX0NPTVBBTllfVElDS0VSAQAAALO/JAIDAAAACU5ZU0U6VFdUUgDwhQMa</t>
  </si>
  <si>
    <t>8CLaCAq0QxrwItoIHENJUS5OWVNFOkNSTS5JUV9DT01QQU5ZX05BTUUBAAAAJeABAAMAAAAQU2FsZXNmb3JjZSwgSW5jLgDwhQMa8CLaCB3JexvwItoIHkNJUS5OWVNFOkNSTS5JUV9DT01QQU5ZX1RJQ0tFUgEAAAAl4AEAAwAAAAhOWVNFOkNSTQDwhQMa8CLaCG/ZRxrwItoIHUNJUS5OWVNFOk9SQ0wuSVFfQ09NUEFOWV9OQU1FAQAAAOdWAAADAAAAEk9yYWNsZSBDb3Jwb3JhdGlvbgDwhQMa8CLaCGW/RhrwItoIH0NJUS5OWVNFOk9SQ0wuSVFfQ09NUEFOWV9USUNLRVIBAAAA51YAAAMAAAAJTllTRTpPUkNMAPCFAxrwItoIzzlFGvAi2ggcQ0lRLlhUUkE6U0FQLklRX0NPTVBBTllfTkFNRQEAAAAL7gEAAwAAAAZTQVAgU0UA8IUDGvAi2ggdyXsb8CLaCB5DSVEuWFRSQTpTQVAuSVFfQ09NUEFOWV9USUNLRVIBAAAAC+4BAAMAAAAIWFRSQTpTQVAA8IUDGvAi2gjgEUka8CLaCBxDSVEuTllTRTpWTVcuSVFfQ09NUEFOWV9OQU1FAQAAAD3rAQADAAAADFZNd2FyZSwgSW5jLgDwhQMa8CLaCG7RRxrwItoIHkNJUS5OWVNFOlZNVy5JUV9DT01QQU5ZX1RJQ0tFUgEAAAA96wEAAwAAAAhOWVNFOlZNVwDwhQMa8CLaCHoSRhrwItoIIUNJUS5OQVNEQVFHUzpORkxYLklRX0NPTVBBTllfTkFNRQEAAAAMfQAAAwAAAA1OZXRmbGl4LCBJbmMuAFCjAxrwItoIzzlFGvAi2ggjQ0lRLk5BU0RBUUdTOk5GTFguSVFfQ09N</t>
  </si>
  <si>
    <t>UEFOWV9USUNLRVIBAAAADH0AAAMAAAANTmFzZGFxR1M6TkZMWABQowMa8CLaCIesQxrwItoIHUNJUS5OWVNFOlNQT1QuSVFfQ09NUEFOWV9OQU1FAQAAAMVOcg0DAAAAF1Nwb3RpZnkgVGVjaG5vbG9neSBTLkEuAFCjAxrwItoIHcl7G/Ai2ggfQ0lRLk5ZU0U6U1BPVC5JUV9DT01QQU5ZX1RJQ0tFUgEAAADFTnINAwAAAAlOWVNFOlNQT1QAUKMDGvAi2ghu0Uca8CLaCCFDSVEuTkFTREFRR1M6Uk9LVS5JUV9DT01QQU5ZX05BTUUBAAAASZqEAAMAAAAKUm9rdSwgSW5jLgBQowMa8CLaCGW/RhrwItoII0NJUS5OQVNEQVFHUzpST0tVLklRX0NPTVBBTllfVElDS0VSAQAAAEmahAADAAAADU5hc2RhcUdTOlJPS1UAUKMDGvAi2gjPOUUa8CLaCCFDSVEuTkFTREFRR1M6U0lSSS5JUV9DT01QQU5ZX05BTUUBAAAAHnABAAMAAAAXU2lyaXVzIFhNIEhvbGRpbmdzIEluYy4AUKMDGvAi2ghvUEQa8CLaCCRDSVEuTkFTREFRR1M6IFNJUkkuSVFfQ09NUEFOWV9USUNLRVIBAAAAHnABAAMAAAANTmFzZGFxR1M6U0lSSQBQowMa8CLaCIdEMxrwItoILENJUS5OWVNFOkxPVy5JUV9MQVNUU0FMRVBSSUNFLjIwMjEtMDMtMjAuVVNEAQAAAIfCAgACAAAABjE3OS40OQBQowMa8CLaCDJiRRrwItoIFENJUS4uSVFfQ09NUEFOWV9OQU1FBQAAAAEAAAAIAAAAFChJbnZhbGlkIElkZW50aWZpZXIplKH+GvAi2giUof4a8CLaCCBD</t>
  </si>
  <si>
    <t>SVEuLklRX0VCSVREQV9FU1QuRlkyMDIxLi4uLlVTRAUAAAABAAAACAAAABQoSW52YWxpZCBJZGVudGlmaWVyKZSh/hrwItoIlKH+GvAi2ggkQ0lRLi5JUV9UT1RBTF9ERUJULi4yMDIxLTAzLTIwLi4uVVNEBQAAAAEAAAAIAAAAFChJbnZhbGlkIElkZW50aWZpZXIplKH+GvAi2giUof4a8CLaCCZDSVEuLklRX1RPVEFMX0VRVUlUWS4uMjAyMS0wMy0yMC4uLlVTRAUAAAABAAAACAAAABQoSW52YWxpZCBJZGVudGlmaWVyKZSh/hrwItoIlKH+GvAi2gghQ0lRLi5JUV9SRVZFTlVFX0VTVC5GWTIwMjIuLi4uVVNEBQAAAAEAAAAIAAAAFChJbnZhbGlkIElkZW50aWZpZXIplKH+GvAi2giUof4a8CLaCC1DSVEuLklRX1RPVEFMX09VVFNUQU5ESU5HX0JTX0RBVEUuLjIwMjEtMDMtMjAFAAAAAQAAAAgAAAAUKEludmFsaWQgSWRlbnRpZmllcimUof4a8CLaCJSh/hrwItoIIUNJUS4uSVFfUkVWRU5VRV9FU1QuRlkyMDIxLi4uLlVTRAUAAAABAAAACAAAABQoSW52YWxpZCBJZGVudGlmaWVyKYnI/hrwItoIicj+GvAi2ggjQ0lRLi5JUV9DQVNIX09QRVJfRVNULkZZMjAyMi4uLi5VU0QFAAAAAQAAAAgAAAAUKEludmFsaWQgSWRlbnRpZmllcimJyP4a8CLaCInI/hrwItoIJENJUS4uSVFfTEFTVFNBTEVQUklDRS4yMDIxLTAzLTIwLlVTRAUAAAABAAAACAAAABQoSW52YWxpZCBJZGVudGlmaWVyKYnI/hrwItoIicj+</t>
  </si>
  <si>
    <t>GvAi2ggjQ0lRLi5JUV9DQVNIX09QRVJfRVNULkZZMjAyMS4uLi5VU0QFAAAAAQAAAAgAAAAUKEludmFsaWQgSWRlbnRpZmllcimJyP4a8CLaCInI/hrwItoIJENJUS4uSVFfQ0FTSF9FUVVJVi4uMjAyMS0wMy0yMC4uLlVTRAUAAAABAAAACAAAABQoSW52YWxpZCBJZGVudGlmaWVyKYnI/hrwItoIicj+GvAi2gglQ0lRLi5JUV9OSV9SRVBPUlRFRF9FU1QuRlkyMDIxLi4uLlVTRAUAAAABAAAACAAAABQoSW52YWxpZCBJZGVudGlmaWVyKYnI/hrwItoIicj+GvAi2gggQ0lRLi5JUV9MQVNUU0FMRVBSSUNFLjIwMjEtMDMtMjAFAAAAAQAAAAgAAAAUKEludmFsaWQgSWRlbnRpZmllcimUof4a8CLaCJSh/hrwItoIJ0NJUS4uSVFfQ0FTSF9PUEVSX0VTVC5GWTIwMjEuMjAyMS0wMy0yMAUAAAABAAAACAAAABQoSW52YWxpZCBJZGVudGlmaWVyKZSh/hrwItoIlKH+GvAi2gggQ0lRLi5JUV9FQklUREFfRVNULkZZMjAyMi4uLi5VU0QFAAAAAQAAAAgAAAAUKEludmFsaWQgSWRlbnRpZmllcimJyP4a8CLaCInI/hrwItoIIUNJUS4uSVFfQ09OVkVSVC4uMjAyMS0wMy0yMC4uLlVTRAUAAAABAAAACAAAABQoSW52YWxpZCBJZGVudGlmaWVyKYnI/hrwItoIicj+GvAi2gglQ0lRLi5JUV9OSV9SRVBPUlRFRF9FU1QuRlkyMDIyLi4uLlVTRAUAAAABAAAACAAAABQoSW52YWxpZCBJZGVudGlmaWVyKYnI/hrwItoIicj+</t>
  </si>
  <si>
    <t>GvAi2gglQ0lRLi5JUV9SRVZFTlVFX0VTVC5GWTIwMjEuMjAyMS0wMy0yMAUAAAABAAAACAAAABQoSW52YWxpZCBJZGVudGlmaWVyKZSh/hrwItoIlKH+GvAi2ggnQ0lRLi5JUV9DQVNIX09QRVJfRVNULkZZMjAyMi4yMDIxLTAzLTIwBQAAAAEAAAAIAAAAFChJbnZhbGlkIElkZW50aWZpZXIplKH+GvAi2giUof4a8CLaCChDSVEuKElOVkFMSUQgSURFTlRJRklFUikuSVFfQ09NUEFOWV9OQU1FBQAAAAAAAAAIAAAAFChJbnZhbGlkIElkZW50aWZpZXIpicj+GvAi2gjLonYb8CLaCDFDSVEuTkFTREFRR1M6U0lSSS5JUV9MQVNUU0FMRVBSSUNFLjIwMjEtMDMtMjAuVVNEAQAAAB5wAQACAAAABDYuMDgAicj+GvAi2ggponsb8CLaCDFDSVEuTkFTREFRR1M6Uk9LVS5JUV9MQVNUU0FMRVBSSUNFLjIwMjEtMDMtMjAuVVNEAQAAAEmahAACAAAABjM0Ny41MQCJyP4a8CLaCD5UexvwItoILUNJUS5OWVNFOlRXVFIuSVFfTEFTVFNBTEVQUklDRS4yMDIxLTAzLTIwLlVTRAEAAACzvyQCAgAAAAU2Ni4yMwCJyP4a8CLaCE0GexvwItoIMUNJUS5OQVNEQVFHUzpORkxYLklRX0xBU1RTQUxFUFJJQ0UuMjAyMS0wMy0yMC5VU0QBAAAADH0AAAIAAAAGNTEyLjE4AInI/hrwItoIRN96G/Ai2ggvQ0lRLk5BU0RBUUdTOkZCLklRX0xBU1RTQUxFUFJJQ0UuMjAyMS0wMy0yMC5VU0QBAAAAF9s8AQIAAAAGMjkwLjExAInI/hrw</t>
  </si>
  <si>
    <t>ItoIUbh6G/Ai2ggxQ0lRLk5BU0RBUUdTOkVCQVkuSVFfTEFTVFNBTEVQUklDRS4yMDIxLTAzLTIwLlVTRAEAAADWbAAAAgAAAAU1OS43MwCJyP4a8CLaCGdqehvwItoILUNJUS5OWVNFOkJBQkEuSVFfTEFTVFNBTEVQUklDRS4yMDIxLTAzLTIwLlVTRAEAAAARJYICAgAAAAYyMzkuNzkAicj+GvAi2giNI3ob8CLaCCxDSVEuTllTRTpWTVcuSVFfTEFTVFNBTEVQUklDRS4yMDIxLTAzLTIwLlVTRAEAAAA96wEAAgAAAAYxNDUuOTgAicj+GvAi2giE9Xkb8CLaCCxDSVEuTllTRTpUR1QuSVFfTEFTVFNBTEVQUklDRS4yMDIxLTAzLTIwLlVTRAEAAABmqQIAAgAAAAYxODcuNTUAicj+GvAi2giE9Xkb8CLaCDhDSVEuKElOVkFMSUQgSURFTlRJRklFUikuSVFfTEFTVFNBTEVQUklDRS4yMDIxLTAzLTIwLlVTRAUAAAAAAAAACAAAABQoSW52YWxpZCBJZGVudGlmaWVyKYnI/hrwItoIsFl5G/Ai2ggnQ0lRLk5ZU0U6SEQuSVFfTEFTVFNBTEVQUklDRS4yMDIxLTAzLTIwAQAAAJdABAACAAAABTI4OS4xAInI/hrwItoIywt5G/Ai2ggxQ0lRLk5BU0RBUUdTOkFNWk4uSVFfTEFTVFNBTEVQUklDRS4yMDIxLTAzLTIwLlVTRAEAAAA9SQAAAgAAAAczMDc0Ljk2AInI/hrwItoI6pZ4G/Ai2ggsQ0lRLk5ZU0U6V01ULklRX0xBU1RTQUxFUFJJQ0UuMjAyMS0wMy0yMC5VU0QBAAAA38YEAAIAAAAGMTMxLjc0AInI/hrwItoI</t>
  </si>
  <si>
    <t>9294G/Ai2ggtQ0lRLk5BU0RBUUdTOkVUU1kuSVFfTEFTVFNBTEVQUklDRS4yMDIxLTAzLTIwAQAAAIrDsgECAAAABjIxNS40MQCJyP4a8CLaCAhJeBvwItoILUNJUS5OWVNFOk9SQ0wuSVFfTEFTVFNBTEVQUklDRS4yMDIxLTAzLTIwLlVTRAEAAADnVgAAAgAAAAU2Ni4yNgCJyP4a8CLaCAPndxvwItoILUNJUS5OWVNFOlNQT1QuSVFfTEFTVFNBTEVQUklDRS4yMDIxLTAzLTIwLlVTRAEAAADFTnINAgAAAAYyNzIuMTEAicj+GvAi2ggqTHcb8CLaCCxDSVEuTllTRTpDUk0uSVFfTEFTVFNBTEVQUklDRS4yMDIxLTAzLTIwLlVTRAEAAAAl4AEAAgAAAAUyMTIuMgCJyP4a8CLaCN0QdxvwItoILENJUS5YVFJBOlNBUC5JUV9MQVNUU0FMRVBSSUNFLjIwMjEtMDMtMjAuVVNEAQAAAAvuAQACAAAADjEyMy4zMDM5NzUyMTk2AInI/hrwItoINsR2G/Ai2ggxQ0lRLk5BU0RBUUdTOlNJUkkuSVFfQ0FTSF9FUVVJVi4uMjAyMS0wMy0yMC4uLlVTRAEAAAAecAEAAgAAAAI3MQEIAAAABQAAAAExAQAAAAstMjExNDAzMTcxNwMAAAADMTYwAgAAAAQxMDk2BAAAAAEwBwAAAAkzLzIwLzIwMjEIAAAACjEyLzMxLzIwMjAJAAAAATCJyP4a8CLaCB3JexvwItoIMUNJUS5OQVNEQVFHUzpORkxYLklRX1RPVEFMX0RFQlQuLjIwMjEtMDMtMjAuLi5VU0QBAAAADH0AAAIAAAAJMTg1MTAuODI2AQgAAAAFAAAAATEBAAAACy0yMTE0</t>
  </si>
  <si>
    <t>NTIyNTcwAwAAAAMxNjACAAAABDQxNzMEAAAAATAHAAAACTMvMjAvMjAyMQgAAAAKMTIvMzEvMjAyMAkAAAABMInI/hrwItoIKaJ7G/Ai2ggzQ0lRLk5BU0RBUUdTOk5GTFguSVFfVE9UQUxfRVFVSVRZLi4yMDIxLTAzLTIwLi4uVVNEAQAAAAx9AAACAAAACDExMDY1LjI0AQgAAAAFAAAAATEBAAAACy0yMTE0NTIyNTcwAwAAAAMxNjACAAAABDEyNzUEAAAAATAHAAAACTMvMjAvMjAyMQgAAAAKMTIvMzEvMjAyMAkAAAABMInI/hrwItoIKaJ7G/Ai2ggqQ0lRLk5ZU0U6VFdUUi5JUV9DT05WRVJULi4yMDIxLTAzLTIwLi4uVVNEAQAAALO/JAICAAAACDI3OTMuNzQ0AQgAAAAFAAAAATIBAAAACy0yMTEwNDI1NDcxAwAAAAMxNjACAAAABTIxODM2BAAAAAEwBwAAAAkzLzIwLzIwMjEIAAAACjEyLzMxLzIwMjAJAAAAATCJyP4a8CLaCCmiexvwItoIOkNJUS5OQVNEQVFHUzpTSVJJLklRX1RPVEFMX09VVFNUQU5ESU5HX0JTX0RBVEUuLjIwMjEtMDMtMjABAAAAHnABAAIAAAAENDE3MwEEAAAABQAAAAE1AQAAAAstMjExNDAzMTcxNwIAAAAFMjQxNTIGAAAAATCJyP4a8CLaCDN7exvwItoILkNJUS5OQVNEQVFHUzpORkxYLklRX0NPTlZFUlQuLjIwMjEtMDMtMjAuLi5VU0QBAAAADH0AAAMAAAAAAInI/hrwItoIM3t7G/Ai2ggxQ0lRLk5BU0RBUUdTOlNJUkkuSVFfVE9UQUxfREVCVC4uMjAyMS0wMy0yMC4uLlVT</t>
  </si>
  <si>
    <t>RAEAAAAecAEAAgAAAAQ4OTY3AQgAAAAFAAAAATEBAAAACy0yMTE0MDMxNzE3AwAAAAMxNjACAAAABDQxNzMEAAAAATAHAAAACTMvMjAvMjAyMQgAAAAKMTIvMzEvMjAyMAkAAAABMInI/hrwItoIPlR7G/Ai2ggzQ0lRLk5BU0RBUUdTOlNJUkkuSVFfVE9UQUxfRVFVSVRZLi4yMDIxLTAzLTIwLi4uVVNEAQAAAB5wAQACAAAABS0yMjg1AQgAAAAFAAAAATEBAAAACy0yMTE0MDMxNzE3AwAAAAMxNjACAAAABDEyNzUEAAAAATAHAAAACTMvMjAvMjAyMQgAAAAKMTIvMzEvMjAyMAkAAAABMInI/hrwItoIM3t7G/Ai2ggxQ0lRLk5BU0RBUUdTOlJPS1UuSVFfQ0FTSF9FUVVJVi4uMjAyMS0wMy0yMC4uLlVTRAEAAABJmoQAAgAAAAgxMDkyLjgxNQEIAAAABQAAAAExAQAAAAstMjExMTYyOTQwMQMAAAADMTYwAgAAAAQxMDk2BAAAAAEwBwAAAAkzLzIwLzIwMjEIAAAACjEyLzMxLzIwMjAJAAAAATCJyP4a8CLaCD5UexvwItoIKUNJUS5OWVNFOlZNVy5JUV9DT05WRVJULi4yMDIxLTAzLTIwLi4uVVNEAQAAAD3rAQADAAAAAACJyP4a8CLaCD5UexvwItoINkNJUS5OWVNFOk9SQ0wuSVFfVE9UQUxfT1VUU1RBTkRJTkdfQlNfREFURS4uMjAyMS0wMy0yMAEAAADnVgAAAgAAAAQyODk1AQQAAAAFAAAAATUBAAAACy0yMTA4NjMzNzQ3AgAAAAUyNDE1MgYAAAABMInI/hrwItoIPlR7G/Ai2ggtQ0lRLk5ZU0U6T1JDTC5J</t>
  </si>
  <si>
    <t>UV9UT1RBTF9ERUJULi4yMDIxLTAzLTIwLi4uVVNEAQAAAOdWAAACAAAABTY5Mjk5AQgAAAAFAAAAATEBAAAACy0yMTA4NjMzNzQ3AwAAAAMxNjACAAAABDQxNzMEAAAAATAHAAAACTMvMjAvMjAyMQgAAAAJMi8yOC8yMDIxCQAAAAEwicj+GvAi2ghGLXsb8CLaCC9DSVEuTllTRTpPUkNMLklRX1RPVEFMX0VRVUlUWS4uMjAyMS0wMy0yMC4uLlVTRAEAAADnVgAAAgAAAAQ5NjM3AQgAAAAFAAAAATEBAAAACy0yMTA4NjMzNzQ3AwAAAAMxNjACAAAABDEyNzUEAAAAATAHAAAACTMvMjAvMjAyMQgAAAAJMi8yOC8yMDIxCQAAAAEwicj+GvAi2ghGLXsb8CLaCC1DSVEuTllTRTpUV1RSLklRX0NBU0hfRVFVSVYuLjIwMjEtMDMtMjAuLi5VU0QBAAAAs78kAgIAAAAIMTk4OC40MjkBCAAAAAUAAAABMQEAAAALLTIxMTA0MjU0NzEDAAAAAzE2MAIAAAAEMTA5NgQAAAABMAcAAAAJMy8yMC8yMDIxCAAAAAoxMi8zMS8yMDIwCQAAAAEwicj+GvAi2ghNBnsb8CLaCC5DSVEuTkFTREFRR1M6U0lSSS5JUV9DT05WRVJULi4yMDIxLTAzLTIwLi4uVVNEAQAAAB5wAQACAAAAAzE5MwEIAAAABQAAAAEyAQAAAAstMjExNDAzMTcxNwMAAAADMTYwAgAAAAUyMTgzNgQAAAABMAcAAAAJMy8yMC8yMDIxCAAAAAoxMi8zMS8yMDIwCQAAAAEwicj+GvAi2ghNBnsb8CLaCDpDSVEuTkFTREFRR1M6Uk9LVS5JUV9UT1RBTF9PVVRTVEFO</t>
  </si>
  <si>
    <t>RElOR19CU19EQVRFLi4yMDIxLTAzLTIwAQAAAEmahAACAAAABzEyOC4wMDQBBAAAAAUAAAABNQEAAAALLTIxMTE2Mjk0MDECAAAABTI0MTUyBgAAAAEwicj+GvAi2ghNBnsb8CLaCDFDSVEuTkFTREFRR1M6TkZMWC5JUV9DQVNIX0VRVUlWLi4yMDIxLTAzLTIwLi4uVVNEAQAAAAx9AAACAAAABzgyMDUuNTUBCAAAAAUAAAABMQEAAAALLTIxMTQ1MjI1NzADAAAAAzE2MAIAAAAEMTA5NgQAAAABMAcAAAAJMy8yMC8yMDIxCAAAAAoxMi8zMS8yMDIwCQAAAAEwicj+GvAi2ghT+nob8CLaCDVDSVEuTllTRTpDUk0uSVFfVE9UQUxfT1VUU1RBTkRJTkdfQlNfREFURS4uMjAyMS0wMy0yMAEAAAAl4AEAAgAAAAM5MTkBBAAAAAUAAAABNQEAAAALLTIxMDg2NjM3NDcCAAAABTI0MTUyBgAAAAEwicj+GvAi2ghE33ob8CLaCC9DSVEuTkFTREFRR1M6RkIuSVFfQ0FTSF9FUVVJVi4uMjAyMS0wMy0yMC4uLlVTRAEAAAAX2zwBAgAAAAUxNzU3NgEIAAAABQAAAAExAQAAAAstMjExMzg4NTkxMQMAAAADMTYwAgAAAAQxMDk2BAAAAAEwBwAAAAkzLzIwLzIwMjEIAAAACjEyLzMxLzIwMjAJAAAAATCJyP4a8CLaCFG4ehvwItoINkNJUS5OWVNFOlRXVFIuSVFfVE9UQUxfT1VUU1RBTkRJTkdfQlNfREFURS4uMjAyMS0wMy0yMAEAAACzvyQCAgAAAAc3OTMuOTA0AQQAAAAFAAAAATUBAAAACy0yMTEwNDI1NDcxAgAAAAUyNDE1</t>
  </si>
  <si>
    <t>MgYAAAABMH7v/hrwItoIUbh6G/Ai2ggrQ0lRLk5BU0RBUUdTOkVUU1kuSVFfVE9UQUxfREVCVC4uMjAyMS0wMy0yMAEAAACKw7IBAgAAAAgxMTM3LjUzMwEIAAAABQAAAAExAQAAAAstMjExMDM3NjE0MgMAAAADMTYwAgAAAAQ0MTczBAAAAAEwBwAAAAkzLzIwLzIwMjEIAAAACjEyLzMxLzIwMjAJAAAAATB+7/4a8CLaCF6RehvwItoILUNJUS5OQVNEQVFHUzpFVFNZLklRX1RPVEFMX0VRVUlUWS4uMjAyMS0wMy0yMAEAAACKw7IBAgAAAAc3NDIuNDI0AQgAAAAFAAAAATEBAAAACy0yMTEwMzc2MTQyAwAAAAMxNjACAAAABDEyNzUEAAAAATAHAAAACTMvMjAvMjAyMQgAAAAKMTIvMzEvMjAyMAkAAAABMH7v/hrwItoIUbh6G/Ai2ggpQ0lRLk5ZU0U6VEdULklRX0NPTlZFUlQuLjIwMjEtMDMtMjAuLi5VU0QBAAAAZqkCAAMAAAAAAH7v/hrwItoIXpF6G/Ai2ggqQ0lRLk5ZU0U6T1JDTC5JUV9DT05WRVJULi4yMDIxLTAzLTIwLi4uVVNEAQAAAOdWAAADAAAAAAB+7/4a8CLaCGdqehvwItoILENJUS5OWVNFOkNSTS5JUV9UT1RBTF9ERUJULi4yMDIxLTAzLTIwLi4uVVNEAQAAACXgAQACAAAABDY0MTMBCAAAAAUAAAABMQEAAAALLTIxMDg2NjM3NDcDAAAAAzE2MAIAAAAENDE3MwQAAAABMAcAAAAJMy8yMC8yMDIxCAAAAAkxLzMxLzIwMjEJAAAAATB+7/4a8CLaCGdqehvwItoIOkNJUS5OQVNEQVFHUzpFVFNZ</t>
  </si>
  <si>
    <t>LklRX1RPVEFMX09VVFNUQU5ESU5HX0JTX0RBVEUuLjIwMjEtMDMtMjABAAAAisOyAQIAAAAKMTI1LjgzNTkzMQEEAAAABQAAAAE1AQAAAAstMjExMDM3NjE0MgIAAAAFMjQxNTIGAAAAATB+7/4a8CLaCGdqehvwItoIMUNJUS5OQVNEQVFHUzpFQkFZLklRX0NBU0hfRVFVSVYuLjIwMjEtMDMtMjAuLi5VU0QBAAAA1mwAAAIAAAAEMTEwMQEIAAAABQAAAAExAQAAAAstMjExMDQyNTYzMwMAAAADMTYwAgAAAAQxMDk2BAAAAAEwBwAAAAkzLzIwLzIwMjEIAAAACjEyLzMxLzIwMjAJAAAAATB+7/4a8CLaCGdqehvwItoILkNJUS5OWVNFOkNSTS5JUV9UT1RBTF9FUVVJVFkuLjIwMjEtMDMtMjAuLi5VU0QBAAAAJeABAAIAAAAFNDE0OTMBCAAAAAUAAAABMQEAAAALLTIxMDg2NjM3NDcDAAAAAzE2MAIAAAAEMTI3NQQAAAABMAcAAAAJMy8yMC8yMDIxCAAAAAkxLzMxLzIwMjEJAAAAATB+7/4a8CLaCHRDehvwItoILkNJUS5OQVNEQVFHUzpFVFNZLklRX0NPTlZFUlQuLjIwMjEtMDMtMjAuLi5VU0QBAAAAisOyAQIAAAAIMTM0My45MTUBCAAAAAUAAAABMgEAAAALLTIxMTAzNzYxNDIDAAAAAzE2MAIAAAAFMjE4MzYEAAAAATAHAAAACTMvMjAvMjAyMQgAAAAKMTIvMzEvMjAyMAkAAAABMH7v/hrwItoIdEN6G/Ai2ggtQ0lRLk5ZU0U6QkFCQS5JUV9DQVNIX0VRVUlWLi4yMDIxLTAzLTIwLi4uVVNEAQAAABElggIC</t>
  </si>
  <si>
    <t>AAAADDQ3ODEwLjcwOTc0MwEIAAAABQAAAAExAQAAAAstMjExMDk4NTU1OAMAAAADMTYwAgAAAAQxMDk2BAAAAAEwBwAAAAkzLzIwLzIwMjEIAAAACjEyLzMxLzIwMjAJAAAAATB+7/4a8CLaCHRDehvwItoIJUNJUS5OWVNFOkhELklRX1RPVEFMX0RFQlQuLjIwMjEtMDMtMjABAAAAl0AEAAIAAAAFNDM0MjIBCAAAAAUAAAABMQEAAAALLTIxMDcyMjAwMTIDAAAAAzE2MAIAAAAENDE3MwQAAAABMAcAAAAJMy8yMC8yMDIxCAAAAAkxLzMxLzIwMjEJAAAAATB+7/4a8CLaCI0jehvwItoIJ0NJUS5OWVNFOkhELklRX1RPVEFMX0VRVUlUWS4uMjAyMS0wMy0yMAEAAACXQAQAAgAAAAQzMjk5AQgAAAAFAAAAATEBAAAACy0yMTA3MjIwMDEyAwAAAAMxNjACAAAABDEyNzUEAAAAATAHAAAACTMvMjAvMjAyMQgAAAAJMS8zMS8yMDIxCQAAAAEwfu/+GvAi2giNI3ob8CLaCDVDSVEuTllTRTpXTVQuSVFfVE9UQUxfT1VUU1RBTkRJTkdfQlNfREFURS4uMjAyMS0wMy0yMAEAAADfxgQAAgAAAAQyODIxAQQAAAAFAAAAATUBAAAACy0yMTA3Njg1OTc3AgAAAAUyNDE1MgYAAAABMH7v/hrwItoIjSN6G/Ai2gg2Q0lRLk5ZU0U6U1BPVC5JUV9UT1RBTF9PVVRTVEFORElOR19CU19EQVRFLi4yMDIxLTAzLTIwAQAAAMVOcg0CAAAACjE5MC4yMTI4NDcBBAAAAAUAAAABNQEAAAALLTIxMTM3NjY4MDACAAAABTI0MTUyBgAAAAEw</t>
  </si>
  <si>
    <t>fu/+GvAi2giE9Xkb8CLaCDpDSVEuTkFTREFRR1M6RUJBWS5JUV9UT1RBTF9PVVRTVEFORElOR19CU19EQVRFLi4yMDIxLTAzLTIwAQAAANZsAAACAAAAAzY4NAEEAAAABQAAAAE1AQAAAAstMjExMDQyNTYzMwIAAAAFMjQxNTIGAAAAATB+7/4a8CLaCIT1eRvwItoILENJUS5OWVNFOlRHVC5JUV9DQVNIX0VRVUlWLi4yMDIxLTAzLTIwLi4uVVNEAQAAAGapAgACAAAABDg1MTEBCAAAAAUAAAABMQEAAAALLTIxMDg5MzgxMjkDAAAAAzE2MAIAAAAEMTA5NgQAAAABMAcAAAAJMy8yMC8yMDIxCAAAAAkxLzMwLzIwMjEJAAAAATB+7/4a8CLaCIT1eRvwItoILENJUS5OWVNFOldNVC5JUV9UT1RBTF9ERUJULi4yMDIxLTAzLTIwLi4uVVNEAQAAAN/GBAACAAAABTYzNjQwAQgAAAAFAAAAATEBAAAACy0yMTA3Njg1OTc3AwAAAAMxNjACAAAABDQxNzMEAAAAATAHAAAACTMvMjAvMjAyMQgAAAAJMS8zMS8yMDIxCQAAAAEwfu/+GvAi2gio0Xkb8CLaCC5DSVEuTllTRTpXTVQuSVFfVE9UQUxfRVFVSVRZLi4yMDIxLTAzLTIwLi4uVVNEAQAAAN/GBAACAAAABTg3NTMxAQgAAAAFAAAAATEBAAAACy0yMTA3Njg1OTc3AwAAAAMxNjACAAAABDEyNzUEAAAAATAHAAAACTMvMjAvMjAyMQgAAAAJMS8zMS8yMDIxCQAAAAEwfu/+GvAi2gio0Xkb8CLaCDpDSVEuTkFTREFRR1M6QU1aTi5JUV9UT1RBTF9PVVRTVEFORElOR19C</t>
  </si>
  <si>
    <t>U19EQVRFLi4yMDIxLTAzLTIwAQAAAD1JAAACAAAAAzUwMwEEAAAABQAAAAE1AQAAAAstMjExMzc1NDc5OAIAAAAFMjQxNTIGAAAAATB+7/4a8CLaCKjReRvwItoIMUNJUS5OQVNEQVFHUzpST0tVLklRX1RPVEFMX0RFQlQuLjIwMjEtMDMtMjAuLi5VU0QBAAAASZqEAAIAAAAHNDM4LjMyNQEIAAAABQAAAAExAQAAAAstMjExMTYyOTQwMQMAAAADMTYwAgAAAAQ0MTczBAAAAAEwBwAAAAkzLzIwLzIwMjEIAAAACjEyLzMxLzIwMjAJAAAAATB+7/4a8CLaCKjReRvwItoIMUNJUS5OQVNEQVFHUzpFQkFZLklRX1RPVEFMX0RFQlQuLjIwMjEtMDMtMjAuLi5VU0QBAAAA1mwAAAIAAAAEODIxNwEIAAAABQAAAAExAQAAAAstMjExMDQyNTYzMwMAAAADMTYwAgAAAAQ0MTczBAAAAAEwBwAAAAkzLzIwLzIwMjEIAAAACjEyLzMxLzIwMjAJAAAAATB+7/4a8CLaCJuneRvwItoIM0NJUS5OQVNEQVFHUzpFQkFZLklRX1RPVEFMX0VRVUlUWS4uMjAyMS0wMy0yMC4uLlVTRAEAAADWbAAAAgAAAAQzNTYxAQgAAAAFAAAAATEBAAAACy0yMTEwNDI1NjMzAwAAAAMxNjACAAAABDEyNzUEAAAAATAHAAAACTMvMjAvMjAyMQgAAAAKMTIvMzEvMjAyMAkAAAABMH7v/hrwItoIjs55G/Ai2gg2Q0lRLk5ZU0U6QkFCQS5JUV9UT1RBTF9PVVRTVEFORElOR19CU19EQVRFLi4yMDIxLTAzLTIwAQAAABElggICAAAACDI3MDUuMzc1AQQA</t>
  </si>
  <si>
    <t>AAAFAAAAATUBAAAACy0yMTEwOTg1NTU4AgAAAAUyNDE1MgYAAAABMH7v/hrwItoIm6d5G/Ai2ggzQ0lRLk5BU0RBUUdTOlJPS1UuSVFfVE9UQUxfRVFVSVRZLi4yMDIxLTAzLTIwLi4uVVNEAQAAAEmahAACAAAACDEzMjguMDE1AQgAAAAFAAAAATEBAAAACy0yMTExNjI5NDAxAwAAAAMxNjACAAAABDEyNzUEAAAAATAHAAAACTMvMjAvMjAyMQgAAAAKMTIvMzEvMjAyMAkAAAABMH7v/hrwItoIm6d5G/Ai2ggrQ0lRLk5BU0RBUUdTOkVUU1kuSVFfQ0FTSF9FUVVJVi4uMjAyMS0wMy0yMAEAAACKw7IBAgAAAAgxMjQ0LjA5OQEIAAAABQAAAAExAQAAAAstMjExMDM3NjE0MgMAAAADMTYwAgAAAAQxMDk2BAAAAAEwBwAAAAkzLzIwLzIwMjEIAAAACjEyLzMxLzIwMjAJAAAAATB+7/4a8CLaCKaAeRvwItoILUNJUS5OWVNFOkJBQkEuSVFfVE9UQUxfREVCVC4uMjAyMS0wMy0yMC4uLlVTRAEAAAARJYICAgAAAAwyMjY3Ni4zNzc3NTcBCAAAAAUAAAABMQEAAAALLTIxMTA5ODU1NTgDAAAAAzE2MAIAAAAENDE3MwQAAAABMAcAAAAJMy8yMC8yMDIxCAAAAAoxMi8zMS8yMDIwCQAAAAEwfu/+GvAi2gimgHkb8CLaCC9DSVEuTllTRTpCQUJBLklRX1RPVEFMX0VRVUlUWS4uMjAyMS0wMy0yMC4uLlVTRAEAAAARJYICAgAAAA0xNjQ0OTMuMzA2MTc5AQgAAAAFAAAAATEBAAAACy0yMTEwOTg1NTU4AwAAAAMxNjACAAAA</t>
  </si>
  <si>
    <t>BDEyNzUEAAAAATAHAAAACTMvMjAvMjAyMQgAAAAKMTIvMzEvMjAyMAkAAAABMH7v/hrwItoIpoB5G/Ai2gguQ0lRLk5BU0RBUUdTOkVCQVkuSVFfQ09OVkVSVC4uMjAyMS0wMy0yMC4uLlVTRAEAAADWbAAAAwAAAAAAfu/+GvAi2giwWXkb8CLaCCxDSVEuTllTRTpUR1QuSVFfVE9UQUxfREVCVC4uMjAyMS0wMy0yMC4uLlVTRAEAAABmqQIAAgAAAAUxNTEwOQEIAAAABQAAAAExAQAAAAstMjEwODkzODEyOQMAAAADMTYwAgAAAAQ0MTczBAAAAAEwBwAAAAkzLzIwLzIwMjEIAAAACTEvMzAvMjAyMQkAAAABMH7v/hrwItoIsFl5G/Ai2gguQ0lRLk5ZU0U6VEdULklRX1RPVEFMX0VRVUlUWS4uMjAyMS0wMy0yMC4uLlVTRAEAAABmqQIAAgAAAAUxNDQ0MAEIAAAABQAAAAExAQAAAAstMjEwODkzODEyOQMAAAADMTYwAgAAAAQxMjc1BAAAAAEwBwAAAAkzLzIwLzIwMjEIAAAACTEvMzAvMjAyMQkAAAABMH7v/hrwItoIsFl5G/Ai2gguQ0lRLk5BU0RBUUdTOkFNWk4uSVFfQ09OVkVSVC4uMjAyMS0wMy0yMC4uLlVTRAEAAAA9SQAAAwAAAAAAfu/+GvAi2gi5Mnkb8CLaCCxDSVEuTllTRTpWTVcuSVFfQ0FTSF9FUVVJVi4uMjAyMS0wMy0yMC4uLlVTRAEAAAA96wEAAgAAAAQ0NjkyAQgAAAAFAAAAATEBAAAACy0yMTA3MDMxMTEwAwAAAAMxNjACAAAABDEwOTYEAAAAATAHAAAACTMvMjAvMjAyMQgAAAAJMS8yOS8y</t>
  </si>
  <si>
    <t>MDIxCQAAAAEwfu/+GvAi2gi5Mnkb8CLaCCpDSVEuTllTRTpCQUJBLklRX0NPTlZFUlQuLjIwMjEtMDMtMjAuLi5VU0QBAAAAESWCAgMAAAAAAH7v/hrwItoIuTJ5G/Ai2gglQ0lRLk5ZU0U6SEQuSVFfQ0FTSF9FUVVJVi4uMjAyMS0wMy0yMAEAAACXQAQAAgAAAAQ3ODk1AQgAAAAFAAAAATEBAAAACy0yMTA3MjIwMDEyAwAAAAMxNjACAAAABDEwOTYEAAAAATAHAAAACTMvMjAvMjAyMQgAAAAJMS8zMS8yMDIxCQAAAAEwfu/+GvAi2gjLC3kb8CLaCDRDSVEuTllTRTpIRC5JUV9UT1RBTF9PVVRTVEFORElOR19CU19EQVRFLi4yMDIxLTAzLTIwAQAAAJdABAACAAAABDEwNzcBBAAAAAUAAAABNQEAAAALLTIxMDcyMjAwMTICAAAABTI0MTUyBgAAAAEwfu/+GvAi2gjLC3kb8CLaCDFDSVEuTkFTREFRR1M6QU1aTi5JUV9DQVNIX0VRVUlWLi4yMDIxLTAzLTIwLi4uVVNEAQAAAD1JAAACAAAABTQyMTIyAQgAAAAFAAAAATEBAAAACy0yMTEzNzU0Nzk4AwAAAAMxNjACAAAABDEwOTYEAAAAATAHAAAACTMvMjAvMjAyMQgAAAAKMTIvMzEvMjAyMAkAAAABMH7v/hrwItoI4r14G/Ai2ggxQ0lRLk5BU0RBUUdTOkFNWk4uSVFfVE9UQUxfREVCVC4uMjAyMS0wMy0yMC4uLlVTRAEAAAA9SQAAAgAAAAYxMDQ3NDABCAAAAAUAAAABMQEAAAALLTIxMTM3NTQ3OTgDAAAAAzE2MAIAAAAENDE3MwQAAAABMAcAAAAJMy8yMC8y</t>
  </si>
  <si>
    <t>MDIxCAAAAAoxMi8zMS8yMDIwCQAAAAEwfu/+GvAi2gjivXgb8CLaCDVDSVEuTllTRTpUR1QuSVFfVE9UQUxfT1VUU1RBTkRJTkdfQlNfREFURS4uMjAyMS0wMy0yMAEAAABmqQIAAgAAAAo1MDAuODc3MTI5AQQAAAAFAAAAATUBAAAACy0yMTA4OTM4MTI5AgAAAAUyNDE1MgYAAAABMH7v/hrwItoI6pZ4G/Ai2ggsQ0lRLk5ZU0U6V01ULklRX0NBU0hfRVFVSVYuLjIwMjEtMDMtMjAuLi5VU0QBAAAA38YEAAIAAAAFMTc3NDEBCAAAAAUAAAABMQEAAAALLTIxMDc2ODU5NzcDAAAAAzE2MAIAAAAEMTA5NgQAAAABMAcAAAAJMy8yMC8yMDIxCAAAAAkxLzMxLzIwMjEJAAAAATB+7/4a8CLaCOqWeBvwItoIKENJUS5OWVNFOkhELklRX0NPTlZFUlQuLjIwMjEtMDMtMjAuLi5VU0QBAAAAl0AEAAMAAAAAAH7v/hrwItoI9294G/Ai2ggpQ0lRLk5ZU0U6V01ULklRX0NPTlZFUlQuLjIwMjEtMDMtMjAuLi5VU0QBAAAA38YEAAMAAAAAAH7v/hrwItoI9294G/Ai2ggzQ0lRLk5BU0RBUUdTOkFNWk4uSVFfVE9UQUxfRVFVSVRZLi4yMDIxLTAzLTIwLi4uVVNEAQAAAD1JAAACAAAABTkzNDA0AQgAAAAFAAAAATEBAAAACy0yMTEzNzU0Nzk4AwAAAAMxNjACAAAABDEyNzUEAAAAATAHAAAACTMvMjAvMjAyMQgAAAAKMTIvMzEvMjAyMAkAAAABMH7v/hrwItoI9294G/Ai2gg6Q0lRLk5BU0RBUUdTOk5GTFguSVFfVE9UQUxf</t>
  </si>
  <si>
    <t>T1VUU1RBTkRJTkdfQlNfREFURS4uMjAyMS0wMy0yMAEAAAAMfQAAAgAAAAo0NDIuODk1MjYxAQQAAAAFAAAAATUBAAAACy0yMTE0NTIyNTcwAgAAAAUyNDE1MgYAAAABMH7v/hrwItoICEl4G/Ai2ggvQ0lRLk5ZU0U6VFdUUi5JUV9UT1RBTF9FUVVJVFkuLjIwMjEtMDMtMjAuLi5VU0QBAAAAs78kAgIAAAAINzk3MC4wODIBCAAAAAUAAAABMQEAAAALLTIxMTA0MjU0NzEDAAAAAzE2MAIAAAAEMTI3NQQAAAABMAcAAAAJMy8yMC8yMDIxCAAAAAoxMi8zMS8yMDIwCQAAAAEwfu/+GvAi2ggISXgb8CLaCC1DSVEuTllTRTpUV1RSLklRX1RPVEFMX0RFQlQuLjIwMjEtMDMtMjAuLi5VU0QBAAAAs78kAgIAAAAINDQ4My42MzMBCAAAAAUAAAABMQEAAAALLTIxMTA0MjU0NzEDAAAAAzE2MAIAAAAENDE3MwQAAAABMAcAAAAJMy8yMC8yMDIxCAAAAAoxMi8zMS8yMDIwCQAAAAEwfu/+GvAi2ggISXgb8CLaCC5DSVEuTkFTREFRR1M6Uk9LVS5JUV9DT05WRVJULi4yMDIxLTAzLTIwLi4uVVNEAQAAAEmahAADAAAAAAB+7/4a8CLaCMv6dxvwItoILUNJUS5OWVNFOk9SQ0wuSVFfQ0FTSF9FUVVJVi4uMjAyMS0wMy0yMC4uLlVTRAEAAADnVgAAAgAAAAUyMjMyMQEIAAAABQAAAAExAQAAAAstMjEwODYzMzc0NwMAAAADMTYwAgAAAAQxMDk2BAAAAAEwBwAAAAkzLzIwLzIwMjEIAAAACTIvMjgvMjAyMQkAAAABMH7v/hrw</t>
  </si>
  <si>
    <t>ItoIA+d3G/Ai2gguQ0lRLk5ZU0U6Vk1XLklRX1RPVEFMX0VRVUlUWS4uMjAyMS0wMy0yMC4uLlVTRAEAAAA96wEAAgAAAAQ5MDUxAQgAAAAFAAAAATEBAAAACy0yMTA3MDMxMTEwAwAAAAMxNjACAAAABDEyNzUEAAAAATAHAAAACTMvMjAvMjAyMQgAAAAJMS8yOS8yMDIxCQAAAAEwfu/+GvAi2gi7rHcb8CLaCCxDSVEuTllTRTpWTVcuSVFfVE9UQUxfREVCVC4uMjAyMS0wMy0yMC4uLlVTRAEAAAA96wEAAgAAAAQ2MDQyAQgAAAAFAAAAATEBAAAACy0yMTA3MDMxMTEwAwAAAAMxNjACAAAABDQxNzMEAAAAATAHAAAACTMvMjAvMjAyMQgAAAAJMS8yOS8yMDIxCQAAAAEwfu/+GvAi2ggfvncb8CLaCDVDSVEuTllTRTpWTVcuSVFfVE9UQUxfT1VUU1RBTkRJTkdfQlNfREFURS4uMjAyMS0wMy0yMAEAAAA96wEAAgAAAAc0MTkuMzA0AQQAAAAFAAAAATUBAAAACy0yMTA3MDMxMTEwAgAAAAUyNDE1MgYAAAABMH7v/hrwItoIpNN3G/Ai2ggsQ0lRLk5BU0RBUUdTOkZCLklRX0NPTlZFUlQuLjIwMjEtMDMtMjAuLi5VU0QBAAAAF9s8AQMAAAAAAH7v/hrwItoIxV53G/Ai2ggxQ0lRLk5BU0RBUUdTOkZCLklRX1RPVEFMX0VRVUlUWS4uMjAyMS0wMy0yMC4uLlVTRAEAAAAX2zwBAgAAAAYxMjgyOTABCAAAAAUAAAABMQEAAAALLTIxMTM4ODU5MTEDAAAAAzE2MAIAAAAEMTI3NQQAAAABMAcAAAAJMy8yMC8yMDIxCAAA</t>
  </si>
  <si>
    <t>AAoxMi8zMS8yMDIwCQAAAAEwfu/+GvAi2gi3fHcb8CLaCC9DSVEuTkFTREFRR1M6RkIuSVFfVE9UQUxfREVCVC4uMjAyMS0wMy0yMC4uLlVTRAEAAAAX2zwBAgAAAAUxMDY1NAEIAAAABQAAAAExAQAAAAstMjExMzg4NTkxMQMAAAADMTYwAgAAAAQ0MTczBAAAAAEwBwAAAAkzLzIwLzIwMjEIAAAACjEyLzMxLzIwMjAJAAAAATB+7/4a8CLaCGmJdxvwItoIOENJUS5OQVNEQVFHUzpGQi5JUV9UT1RBTF9PVVRTVEFORElOR19CU19EQVRFLi4yMDIxLTAzLTIwAQAAABfbPAECAAAABDI4NDkBBAAAAAUAAAABNQEAAAALLTIxMTM4ODU5MTECAAAABTI0MTUyBgAAAAEwfu/+GvAi2gjFXncb8CLaCC1DSVEuTllTRTpTUE9ULklRX0NBU0hfRVFVSVYuLjIwMjEtMDMtMjAuLi5VU0QBAAAAxU5yDQIAAAAKMTQwNy45NTEwNwEIAAAABQAAAAExAQAAAAstMjExMzc2NjgwMAMAAAADMTYwAgAAAAQxMDk2BAAAAAEwBwAAAAkzLzIwLzIwMjEIAAAACjEyLzMxLzIwMjAJAAAAATB+7/4a8CLaCCpMdxvwItoIKkNJUS5OWVNFOlNQT1QuSVFfQ09OVkVSVC4uMjAyMS0wMy0yMC4uLlVTRAEAAADFTnINAwAAAAAAfu/+GvAi2gjNN3cb8CLaCC9DSVEuTllTRTpTUE9ULklRX1RPVEFMX0VRVUlUWS4uMjAyMS0wMy0yMC4uLlVTRAEAAADFTnINAgAAAAozNDMxLjE5MjY2AQgAAAAFAAAAATEBAAAACy0yMTEzNzY2ODAwAwAAAAMx</t>
  </si>
  <si>
    <t>NjACAAAABDEyNzUEAAAAATAHAAAACTMvMjAvMjAyMQgAAAAKMTIvMzEvMjAyMAkAAAABMH7v/hrwItoIzTd3G/Ai2ggtQ0lRLk5ZU0U6U1BPVC5JUV9UT1RBTF9ERUJULi4yMDIxLTAzLTIwLi4uVVNEAQAAAMVOcg0CAAAACjc0My43MzA4ODcBCAAAAAUAAAABMQEAAAALLTIxMTM3NjY4MDADAAAAAzE2MAIAAAAENDE3MwQAAAABMAcAAAAJMy8yMC8yMDIxCAAAAAoxMi8zMS8yMDIwCQAAAAEwfu/+GvAi2ggqTHcb8CLaCCxDSVEuTllTRTpDUk0uSVFfQ0FTSF9FUVVJVi4uMjAyMS0wMy0yMC4uLlVTRAEAAAAl4AEAAgAAAAQ2MTk1AQgAAAAFAAAAATEBAAAACy0yMTA4NjYzNzQ3AwAAAAMxNjACAAAABDEwOTYEAAAAATAHAAAACTMvMjAvMjAyMQgAAAAJMS8zMS8yMDIxCQAAAAEwfu/+GvAi2gjdEHcb8CLaCClDSVEuTllTRTpDUk0uSVFfQ09OVkVSVC4uMjAyMS0wMy0yMC4uLlVTRAEAAAAl4AEAAwAAAAAAbhb/GvAi2gjdEHcb8CLaCClDSVEuWFRSQTpTQVAuSVFfQ09OVkVSVC4uMjAyMS0wMy0yMC4uLlVTRAEAAAAL7gEAAwAAAAAAbhb/GvAi2gjp6XYb8CLaCC5DSVEuWFRSQTpTQVAuSVFfVE9UQUxfRVFVSVRZLi4yMDIxLTAzLTIwLi4uVVNEAQAAAAvuAQACAAAADDM2NjA3Ljk1MTA2NAEIAAAABQAAAAExAQAAAAstMjEwOTU4NTk2NAMAAAADMTYwAgAAAAQxMjc1BAAAAAEwBwAAAAkzLzIwLzIwMjEI</t>
  </si>
  <si>
    <t>AAAACjEyLzMxLzIwMjAJAAAAATBuFv8a8CLaCOnpdhvwItoILENJUS5YVFJBOlNBUC5JUV9UT1RBTF9ERUJULi4yMDIxLTAzLTIwLi4uVVNEAQAAAAvuAQACAAAADDE4OTE0Ljk4NDcwNgEIAAAABQAAAAExAQAAAAstMjEwOTU4NTk2NAMAAAADMTYwAgAAAAQ0MTczBAAAAAEwBwAAAAkzLzIwLzIwMjEIAAAACjEyLzMxLzIwMjAJAAAAATBuFv8a8CLaCDbEdhvwItoINUNJUS5YVFJBOlNBUC5JUV9UT1RBTF9PVVRTVEFORElOR19CU19EQVRFLi4yMDIxLTAzLTIwAQAAAAvuAQACAAAACjExNzkuNTc5MzQBBAAAAAUAAAABNQEAAAALLTIxMDk1ODU5NjQCAAAABTI0MTUyBgAAAAEwbhb/GvAi2gg2xHYb8CLaCCxDSVEuWFRSQTpTQVAuSVFfQ0FTSF9FUVVJVi4uMjAyMS0wMy0yMC4uLlVTRAEAAAAL7gEAAgAAAAs2NDk2LjYzNjA4NAEIAAAABQAAAAExAQAAAAstMjEwOTU4NTk2NAMAAAADMTYwAgAAAAQxMDk2BAAAAAEwBwAAAAkzLzIwLzIwMjEIAAAACjEyLzMxLzIwMjAJAAAAATBuFv8a8CLaCDbEdhvwItoINUNJUS4oSU5WQUxJRCBJREVOVElGSUVSKS5JUV9DT05WRVJULi4yMDIxLTAzLTIwLi4uVVNEBQAAAAAAAAAIAAAAFChJbnZhbGlkIElkZW50aWZpZXIpbhb/GvAi2gg2xHYb8CLaCDhDSVEuKElOVkFMSUQgSURFTlRJRklFUikuSVFfQ0FTSF9FUVVJVi4uMjAyMS0wMy0yMC4uLlVTRAUAAAAAAAAA</t>
  </si>
  <si>
    <t>CAAAABQoSW52YWxpZCBJZGVudGlmaWVyKW4W/xrwItoINsR2G/Ai2gg6Q0lRLihJTlZBTElEIElERU5USUZJRVIpLklRX1RPVEFMX0VRVUlUWS4uMjAyMS0wMy0yMC4uLlVTRAUAAAAAAAAACAAAABQoSW52YWxpZCBJZGVudGlmaWVyKW4W/xrwItoIy6J2G/Ai2gg4Q0lRLihJTlZBTElEIElERU5USUZJRVIpLklRX1RPVEFMX0RFQlQuLjIwMjEtMDMtMjAuLi5VU0QFAAAAAAAAAAgAAAAUKEludmFsaWQgSWRlbnRpZmllciluFv8a8CLaCGyddhvwItoIQUNJUS4oSU5WQUxJRCBJREVOVElGSUVSKS5JUV9UT1RBTF9PVVRTVEFORElOR19CU19EQVRFLi4yMDIxLTAzLTIwBQAAAAAAAAAIAAAAFChJbnZhbGlkIElkZW50aWZpZXIpbhb/GvAi2gjLonYb8CLaCDJDSVEuTkFTREFRR1M6U0lSSS5JUV9OSV9SRVBPUlRFRF9FU1QuRlkyMDIyLi4uLlVTRAEAAAAecAEAAgAAAAoxMjgyLjkzOTU0AQ4AAAAFAAAAATMBAAAAATACAAAACjEwMDE5NjU2NTQDAAAABjEwMDI2NAQAAAABMgYAAAABMAcAAAADMTYwCAAAAAEwCQAAAAExCgAAAAEwCwAAAAsxMjgyNzk2NDk0OQwAAAABMQ0AAAAJNC8yMS8yMDIyEAAAAAk0LzIwLzIwMjJuFv8a8CLaCB3JexvwItoIMENJUS5OQVNEQVFHUzpTSVJJLklRX0NBU0hfT1BFUl9FU1QuRlkyMDIxLi4uLlVTRAEAAAAecAEAAgAAAAYxOTU0LjUBDgAAAAUAAAABMwEAAAABMAIAAAAK</t>
  </si>
  <si>
    <t>MTAwMTI4NzY2MQMAAAAGMTA0MDc2BAAAAAEyBgAAAAEwBwAAAAMxNjAIAAAAATAJAAAAATEKAAAAATALAAAACzEyNzEyOTkwNTY1DAAAAAExDQAAAAk0LzIxLzIwMjIQAAAACjEyLzMxLzIwMjFuFv8a8CLaCB3JexvwItoIKUNJUS5OWVNFOlRXVFIuSVFfRUJJVERBX0VTVC5GWTIwMjEuLi4uVVNEAQAAALO/JAICAAAACjE0NTIuNTc2NTkBDgAAAAUAAAABMwEAAAABMAIAAAAKMTAwMTk2OTYwMwMAAAAGMTAwMTg3BAAAAAEyBgAAAAEwBwAAAAMxNjAIAAAAATAJAAAAATEKAAAAATALAAAACzEyNzQwODM0OTMwDAAAAAExDQAAAAk0LzIxLzIwMjIQAAAACjEyLzMxLzIwMjFuFv8a8CLaCCmiexvwItoILkNJUS5OQVNEQVFHUzpTSVJJLklRX1JFVkVOVUVfRVNULkZZMjAyMS4uLi5VU0QBAAAAHnABAAIAAAAKODY2MC4xNzA3NQEOAAAABQAAAAEzAQAAAAEwAgAAAAoxMDAxMjg3NjYxAwAAAAYxMDAxODAEAAAAATIGAAAAATAHAAAAAzE2MAgAAAABMAkAAAABMQoAAAABMAsAAAALMTI3MjA2NjQxMzUMAAAAATENAAAACTQvMjEvMjAyMhAAAAAKMTIvMzEvMjAyMW4W/xrwItoIKaJ7G/Ai2ggwQ0lRLk5BU0RBUUdTOlNJUkkuSVFfQ0FTSF9PUEVSX0VTVC5GWTIwMjIuLi4uVVNEAQAAAB5wAQACAAAABjE5MzEuMgEOAAAABQAAAAEzAQAAAAEwAgAAAAoxMDAxOTY1NjU0AwAAAAYxMDQwNzYEAAAAATIGAAAAATAH</t>
  </si>
  <si>
    <t>AAAAAzE2MAgAAAABMAkAAAABMQoAAAABMAsAAAALMTI4Mjg2NzY5NjIMAAAAATENAAAACTQvMjEvMjAyMhAAAAAJNC8yMC8yMDIybhb/GvAi2ggponsb8CLaCC1DSVEuTkFTREFRR1M6TkZMWC5JUV9FQklUREFfRVNULkZZMjAyMS4uLi5VU0QBAAAADH0AAAIAAAAKNjcyMC45MDU4NgEOAAAABQAAAAEzAQAAAAEwAgAAAAoxMDAwMTE4MTQwAwAAAAYxMDAxODcEAAAAATIGAAAAATAHAAAAAzE2MAgAAAABMAkAAAABMQoAAAABMAsAAAALMTI3MTQ5OTY4MTEMAAAAATENAAAACTQvMjEvMjAyMhAAAAAKMTIvMzEvMjAyMW4W/xrwItoIKaJ7G/Ai2ggpQ0lRLk5ZU0U6VFdUUi5JUV9FQklUREFfRVNULkZZMjAyMi4uLi5VU0QBAAAAs78kAgIAAAAKMTQzNi4wNzIyNAEOAAAABQAAAAEzAQAAAAEwAgAAAAoxMDAxOTY5NjU1AwAAAAYxMDAxODcEAAAAATIGAAAAATAHAAAAAzE2MAgAAAABMAkAAAABMQoAAAABMAsAAAALMTI4Mjg5MTQxNjIMAAAAATENAAAACTQvMjEvMjAyMhAAAAAJNC8yMC8yMDIybhb/GvAi2ggponsb8CLaCDJDSVEuTkFTREFRR1M6RVRTWS5JUV9SRVZFTlVFX0VTVC5GWTIwMjIuMjAyMS0wMy0yMAEAAACKw7IBAgAAAAoyNTc4Ljg0MzExAQ4AAAAFAAAAATMBAAAAATACAAAACjEwMDMwNDIzMjkDAAAABjEwMDE4MAQAAAABMgYAAAABMAcAAAADMTYwCAAAAAEwCQAAAAExCgAAAAEwCwAAAAsx</t>
  </si>
  <si>
    <t>MjI4MDYzODE1NQwAAAABMQ0AAAAJMy8yMS8yMDIxEAAAAAkzLzIwLzIwMjFuFv8a8CLaCCmiexvwItoILkNJUS5OQVNEQVFHUzpTSVJJLklRX1JFVkVOVUVfRVNULkZZMjAyMi4uLi5VU0QBAAAAHnABAAIAAAAJODk3OC44MTM2AQ4AAAAFAAAAATMBAAAAATACAAAACjEwMDE5NjU2NTQDAAAABjEwMDE4MAQAAAABMgYAAAABMAcAAAADMTYwCAAAAAEwCQAAAAExCgAAAAEwCwAAAAsxMjgyNzk2NTAzOQwAAAABMQ0AAAAJNC8yMS8yMDIyEAAAAAk0LzIwLzIwMjJuFv8a8CLaCDN7exvwItoIMkNJUS5OQVNEQVFHUzpST0tVLklRX05JX1JFUE9SVEVEX0VTVC5GWTIwMjIuLi4uVVNEAQAAAEmahAACAAAACi0xNTYuNzE5NDEBDgAAAAUAAAABMwEAAAABMAIAAAAKMTAwMzg5MjUxMwMAAAAGMTAwMjY0BAAAAAEyBgAAAAEwBwAAAAMxNjAIAAAAATAJAAAAATEKAAAAATALAAAACzEyODI3MzE3ODcxDAAAAAExDQAAAAk0LzIxLzIwMjIQAAAACTQvMjAvMjAyMm4W/xrwItoIM3t7G/Ai2ggtQ0lRLk5BU0RBUUdTOk5GTFguSVFfRUJJVERBX0VTVC5GWTIwMjIuLi4uVVNEAQAAAAx9AAACAAAACjcxNTAuOTc3ODgBDgAAAAUAAAABMwEAAAABMAIAAAAKMTAwMTY1ODMzNgMAAAAGMTAwMTg3BAAAAAEyBgAAAAEwBwAAAAMxNjAIAAAAATAJAAAAATEKAAAAATALAAAACzEyODI5NjkxMjM5DAAAAAExDQAAAAk0LzIxLzIw</t>
  </si>
  <si>
    <t>MjIQAAAACTQvMjAvMjAyMm4W/xrwItoIM3t7G/Ai2ggqQ0lRLk5ZU0U6T1JDTC5JUV9SRVZFTlVFX0VTVC5GWTIwMjEuLi4uVVNEAQAAAOdWAAACAAAACzQwMjkxLjg0NjMxAQ4AAAAFAAAAATMBAAAAATACAAAACjEwMDEzMzY2MDADAAAABjEwMDE4MAQAAAABMgYAAAABMAcAAAADMTYwCAAAAAEwCQAAAAExCgAAAAEwCwAAAAsxMjQzNjUwODU1MQwAAAABMQ0AAAAJNC8yMS8yMDIyEAAAAAk1LzMxLzIwMjFuFv8a8CLaCDN7exvwItoILENJUS5OWVNFOk9SQ0wuSVFfQ0FTSF9PUEVSX0VTVC5GWTIwMjIuLi4uVVNEAQAAAOdWAAACAAAACDEwNDY3LjE0AQ4AAAAFAAAAATMBAAAAATACAAAACjEwMDEzMzY2MDEDAAAABjEwNDA3NgQAAAABMgYAAAABMAcAAAADMTYwCAAAAAEwCQAAAAExCgAAAAEwCwAAAAsxMjgwNjYxMjAyMQwAAAABMQ0AAAAJNC8yMS8yMDIyEAAAAAk0LzIwLzIwMjJuFv8a8CLaCDN7exvwItoILkNJUS5OWVNFOlRXVFIuSVFfTklfUkVQT1JURURfRVNULkZZMjAyMS4uLi5VU0QBAAAAs78kAgIAAAAKLTI2MS4xNzk1OQEOAAAABQAAAAEzAQAAAAEwAgAAAAoxMDAxOTY5NjAzAwAAAAYxMDAyNjQEAAAAATIGAAAAATAHAAAAAzE2MAgAAAABMAkAAAABMQoAAAABMAsAAAALMTI3MzY2Njk2OTgMAAAAATENAAAACTQvMjEvMjAyMhAAAAAKMTIvMzEvMjAyMW4W/xrwItoIM3t7G/Ai2ggwQ0lR</t>
  </si>
  <si>
    <t>Lk5BU0RBUUdTOlJPS1UuSVFfQ0FTSF9PUEVSX0VTVC5GWTIwMjEuLi4uVVNEAQAAAEmahAACAAAACTM3Ny45MTkyOQEOAAAABQAAAAEzAQAAAAEwAgAAAAoxMDAzODkyNTEyAwAAAAYxMDQwNzYEAAAAATIGAAAAATAHAAAAAzE2MAgAAAABMAkAAAABMQoAAAABMAsAAAALMTI3NDg0OTY1NDMMAAAAATENAAAACTQvMjEvMjAyMhAAAAAKMTIvMzEvMjAyMW4W/xrwItoIPlR7G/Ai2ggyQ0lRLk5BU0RBUUdTOk5GTFguSVFfTklfUkVQT1JURURfRVNULkZZMjAyMS4uLi5VU0QBAAAADH0AAAIAAAAKNDg4NC4yNTIyNwEOAAAABQAAAAEzAQAAAAEwAgAAAAoxMDAwMTE4MTQwAwAAAAYxMDAyNjQEAAAAATIGAAAAATAHAAAAAzE2MAgAAAABMAkAAAABMQoAAAABMAsAAAALMTI3MTAyMTg5OTgMAAAAATENAAAACTQvMjEvMjAyMhAAAAAKMTIvMzEvMjAyMW4W/xrwItoIPlR7G/Ai2ggoQ0lRLk5ZU0U6Vk1XLklRX0VCSVREQV9FU1QuRlkyMDIyLi4uLlVTRAEAAAA96wEAAgAAAAo0NzkyLjYxNTA0AQ4AAAAFAAAAATMBAAAAATACAAAACjEwMDM2MDUyMTgDAAAABjEwMDE4NwQAAAABMgYAAAABMAcAAAADMTYwCAAAAAEwCQAAAAExCgAAAAEwCwAAAAsxMjc2MDA2MzI5MAwAAAABMQ0AAAAJNC8yMS8yMDIyEAAAAAkxLzMxLzIwMjJuFv8a8CLaCD5UexvwItoIKkNJUS5OWVNFOk9SQ0wuSVFfUkVWRU5VRV9FU1QuRlky</t>
  </si>
  <si>
    <t>MDIyLi4uLlVTRAEAAADnVgAAAgAAAAs0MjI4Ni4yMTgwMgEOAAAABQAAAAEzAQAAAAEwAgAAAAoxMDAxMzM2NjAxAwAAAAYxMDAxODAEAAAAATIGAAAAATAHAAAAAzE2MAgAAAABMAkAAAABMQoAAAABMAsAAAALMTI4MTQ3MzU2ODIMAAAAATENAAAACTQvMjEvMjAyMhAAAAAJNC8yMC8yMDIybhb/GvAi2gg+VHsb8CLaCC5DSVEuTllTRTpUV1RSLklRX05JX1JFUE9SVEVEX0VTVC5GWTIwMjIuLi4uVVNEAQAAALO/JAICAAAACi0xMTEuOTMxMjEBDgAAAAUAAAABMwEAAAABMAIAAAAKMTAwMTk2OTY1NQMAAAAGMTAwMjY0BAAAAAEyBgAAAAEwBwAAAAMxNjAIAAAAATAJAAAAATEKAAAAATALAAAACzEyODI5OTc2NTUxDAAAAAExDQAAAAk0LzIxLzIwMjIQAAAACTQvMjAvMjAyMm4W/xrwItoIRi17G/Ai2ggwQ0lRLk5BU0RBUUdTOkZCLklRX05JX1JFUE9SVEVEX0VTVC5GWTIwMjEuLi4uVVNEAQAAABfbPAECAAAACjM5OTM1LjI2MTMBDgAAAAUAAAABMwEAAAABMAIAAAAKMTAwMTUzMzE0MwMAAAAGMTAwMjY0BAAAAAEyBgAAAAEwBwAAAAMxNjAIAAAAATAJAAAAATEKAAAAATALAAAACzEyNzI3MjI0MTk3DAAAAAExDQAAAAk0LzIxLzIwMjIQAAAACjEyLzMxLzIwMjFuFv8a8CLaCEYtexvwItoILUNJUS5OQVNEQVFHUzpTSVJJLklRX0VCSVREQV9FU1QuRlkyMDIxLi4uLlVTRAEAAAAecAEAAgAAAAoyNzUy</t>
  </si>
  <si>
    <t>LjQ3MDM5AQ4AAAAFAAAAATMBAAAAATACAAAACjEwMDEyODc2NjEDAAAABjEwMDE4NwQAAAABMgYAAAABMAcAAAADMTYwCAAAAAEwCQAAAAExCgAAAAEwCwAAAAsxMjcyMDY2NDY2MwwAAAABMQ0AAAAJNC8yMS8yMDIyEAAAAAoxMi8zMS8yMDIxbhb/GvAi2ghGLXsb8CLaCC5DSVEuTkFTREFRR1M6Uk9LVS5JUV9SRVZFTlVFX0VTVC5GWTIwMjEuLi4uVVNEAQAAAEmahAACAAAACjI3OTIuMDE3MzkBDgAAAAUAAAABMwEAAAABMAIAAAAKMTAwMzg5MjUxMgMAAAAGMTAwMTgwBAAAAAEyBgAAAAEwBwAAAAMxNjAIAAAAATAJAAAAATEKAAAAATALAAAACzEyNzU5OTc0Mzk5DAAAAAExDQAAAAk0LzIxLzIwMjIQAAAACjEyLzMxLzIwMjFuFv8a8CLaCEYtexvwItoIMENJUS5OQVNEQVFHUzpST0tVLklRX0NBU0hfT1BFUl9FU1QuRlkyMDIyLi4uLlVTRAEAAABJmoQAAgAAAAkxNzMuNTE2NDQBDgAAAAUAAAABMwEAAAABMAIAAAAKMTAwMzg5MjUxMwMAAAAGMTA0MDc2BAAAAAEyBgAAAAEwBwAAAAMxNjAIAAAAATAJAAAAATEKAAAAATALAAAACzEyODI3MzE2NjUzDAAAAAExDQAAAAk0LzIxLzIwMjIQAAAACTQvMjAvMjAyMm4W/xrwItoIRi17G/Ai2ggyQ0lRLk5BU0RBUUdTOk5GTFguSVFfTklfUkVQT1JURURfRVNULkZZMjAyMi4uLi5VU0QBAAAADH0AAAIAAAAKNDk0OS4xMTMxNgEOAAAABQAAAAEzAQAAAAEw</t>
  </si>
  <si>
    <t>AgAAAAoxMDAxNjU4MzM2AwAAAAYxMDAyNjQEAAAAATIGAAAAATAHAAAAAzE2MAgAAAABMAkAAAABMQoAAAABMAsAAAALMTI4Mjk2OTEyMDkMAAAAATENAAAACTQvMjEvMjAyMhAAAAAJNC8yMC8yMDIybhb/GvAi2ghGLXsb8CLaCC1DSVEuTllTRTpWTVcuSVFfTklfUkVQT1JURURfRVNULkZZMjAyMS4uLi5VU0QBAAAAPesBAAIAAAAKMTY5OS43ODY0NQEOAAAABQAAAAEzAQAAAAEwAgAAAAoxMDAzNjA1MTkzAwAAAAYxMDAyNjQEAAAAATIGAAAAATAHAAAAAzE2MAgAAAABMAkAAAABMQoAAAABMAsAAAALMTIyMTM0MzA2MTAMAAAAATENAAAACTQvMjEvMjAyMhAAAAAJMS8zMS8yMDIxbhb/GvAi2ghGLXsb8CLaCCxDSVEuTllTRTpUV1RSLklRX0NBU0hfT1BFUl9FU1QuRlkyMDIxLi4uLlVTRAEAAACzvyQCAgAAAAoxMDY3LjEzNDg5AQ4AAAAFAAAAATMBAAAAATACAAAACjEwMDE5Njk2MDMDAAAABjEwNDA3NgQAAAABMgYAAAABMAcAAAADMTYwCAAAAAEwCQAAAAExCgAAAAEwCwAAAAsxMjczODk2MjEzOAwAAAABMQ0AAAAJNC8yMS8yMDIyEAAAAAoxMi8zMS8yMDIxbhb/GvAi2ghNBnsb8CLaCDBDSVEuTkFTREFRR1M6RkIuSVFfTklfUkVQT1JURURfRVNULkZZMjAyMi4uLi5VU0QBAAAAF9s8AQIAAAALMzQzNzUuNjM1MzMBDgAAAAUAAAABMwEAAAABMAIAAAAKMTAwMTUzMzIyOQMAAAAGMTAwMjY0BAAA</t>
  </si>
  <si>
    <t>AAEyBgAAAAEwBwAAAAMxNjAIAAAAATAJAAAAATEKAAAAATALAAAACzEyODI5OTQ5NTU4DAAAAAExDQAAAAk0LzIxLzIwMjIQAAAACTQvMjAvMjAyMm4W/xrwItoITQZ7G/Ai2ggtQ0lRLk5BU0RBUUdTOlNJUkkuSVFfRUJJVERBX0VTVC5GWTIwMjIuLi4uVVNEAQAAAB5wAQACAAAACjI4MTEuMTQ2MjMBDgAAAAUAAAABMwEAAAABMAIAAAAKMTAwMTk2NTY1NAMAAAAGMTAwMTg3BAAAAAEyBgAAAAEwBwAAAAMxNjAIAAAAATAJAAAAATEKAAAAATALAAAACzEyODI3OTY1MDA5DAAAAAExDQAAAAk0LzIxLzIwMjIQAAAACTQvMjAvMjAyMm4W/xrwItoITQZ7G/Ai2gguQ0lRLk5BU0RBUUdTOlJPS1UuSVFfUkVWRU5VRV9FU1QuRlkyMDIyLi4uLlVTRAEAAABJmoQAAgAAAAozNzI1Ljc1MDYyAQ4AAAAFAAAAATMBAAAAATACAAAACjEwMDM4OTI1MTMDAAAABjEwMDE4MAQAAAABMgYAAAABMAcAAAADMTYwCAAAAAEwCQAAAAExCgAAAAEwCwAAAAsxMjgyNzc1ODAxMAwAAAABMQ0AAAAJNC8yMS8yMDIyEAAAAAk0LzIwLzIwMjJuFv8a8CLaCE0GexvwItoIKkNJUS5OWVNFOlNQT1QuSVFfUkVWRU5VRV9FU1QuRlkyMDIxLi4uLlVTRAEAAADFTnINAgAAABAxMDk1NS4xNzc1MjAxNzg0AQ4AAAAFAAAAATMBAAAAATACAAAACjEwMDQwNDM5MDMDAAAABjEwMDE4MAQAAAABMwYAAAABMAcAAAADMTYwCAAAAAEwCQAAAAEx</t>
  </si>
  <si>
    <t>CgAAAAEwCwAAAAsxMjcyODMxMjU0NgwAAAABMQ0AAAAJNC8yMS8yMDIyEAAAAAoxMi8zMS8yMDIxbhb/GvAi2ghT+nob8CLaCCxDSVEuTllTRTpTUE9ULklRX0NBU0hfT1BFUl9FU1QuRlkyMDIyLi4uLlVTRAEAAADFTnINAgAAABA1NDUuNDY0NDEyMTkwNzg2AQ4AAAAFAAAAATMBAAAAATACAAAACjEwMDQwNDM5MDgDAAAABjEwNDA3NgQAAAABMwYAAAABMAcAAAADMTYwCAAAAAEwCQAAAAExCgAAAAEwCwAAAAsxMjgyNzMyOTk2NAwAAAABMQ0AAAAJNC8yMS8yMDIyEAAAAAk0LzIwLzIwMjJuFv8a8CLaCFP6ehvwItoIMENJUS5OQVNEQVFHUzpORkxYLklRX0NBU0hfT1BFUl9FU1QuRlkyMDIxLi4uLlVTRAEAAAAMfQAAAgAAAAk0NzguMDk3NDQBDgAAAAUAAAABMwEAAAABMAIAAAAKMTAwMDExODE0MAMAAAAGMTA0MDc2BAAAAAEyBgAAAAEwBwAAAAMxNjAIAAAAATAJAAAAATEKAAAAATALAAAACzEyNzA2NzQ3NTQxDAAAAAExDQAAAAk0LzIxLzIwMjIQAAAACjEyLzMxLzIwMjFuFv8a8CLaCETfehvwItoILUNJUS5OWVNFOlZNVy5JUV9OSV9SRVBPUlRFRF9FU1QuRlkyMDIyLi4uLlVTRAEAAAA96wEAAgAAAAoxNzM0LjcwNjg0AQ4AAAAFAAAAATMBAAAAATACAAAACjEwMDM2MDUyMTgDAAAABjEwMDI2NAQAAAABMgYAAAABMAcAAAADMTYwCAAAAAEwCQAAAAExCgAAAAEwCwAAAAsxMjc2MDA2MzExNAwA</t>
  </si>
  <si>
    <t>AAABMQ0AAAAJNC8yMS8yMDIyEAAAAAkxLzMxLzIwMjJuFv8a8CLaCETfehvwItoIKUNJUS5OWVNFOk9SQ0wuSVFfRUJJVERBX0VTVC5GWTIwMjEuLi4uVVNEAQAAAOdWAAACAAAACzIwNDAwLjM3MzE4AQ4AAAAFAAAAATMBAAAAATACAAAACjEwMDEzMzY2MDADAAAABjEwMDE4NwQAAAABMgYAAAABMAcAAAADMTYwCAAAAAEwCQAAAAExCgAAAAEwCwAAAAsxMjQzNTU4MjYxNAwAAAABMQ0AAAAJNC8yMS8yMDIyEAAAAAk1LzMxLzIwMjFuFv8a8CLaCETfehvwItoIKUNJUS5OWVNFOkNSTS5JUV9SRVZFTlVFX0VTVC5GWTIwMjIuLi4uVVNEAQAAACXgAQACAAAACzI2NDAyLjQyMzY5AQ4AAAAFAAAAATMBAAAAATACAAAACjEwMDAxNDg5NTUDAAAABjEwMDE4MAQAAAABMgYAAAABMAcAAAADMTYwCAAAAAEwCQAAAAExCgAAAAEwCwAAAAsxMjc3MDUzMzgyOQwAAAABMQ0AAAAJNC8yMS8yMDIyEAAAAAkxLzMxLzIwMjJuFv8a8CLaCETfehvwItoIKkNJUS5OWVNFOlRXVFIuSVFfUkVWRU5VRV9FU1QuRlkyMDIxLi4uLlVTRAEAAACzvyQCAgAAAAo1MDc5LjYyODMxAQ4AAAAFAAAAATMBAAAAATACAAAACjEwMDE5Njk2MDMDAAAABjEwMDE4MAQAAAABMgYAAAABMAcAAAADMTYwCAAAAAEwCQAAAAExCgAAAAEwCwAAAAsxMjc0MDgzNDkzNgwAAAABMQ0AAAAJNC8yMS8yMDIyEAAAAAoxMi8zMS8yMDIxbhb/GvAi2ghR</t>
  </si>
  <si>
    <t>uHob8CLaCCxDSVEuTllTRTpUV1RSLklRX0NBU0hfT1BFUl9FU1QuRlkyMDIyLi4uLlVTRAEAAACzvyQCAgAAAAoxNTUwLjYwNTU0AQ4AAAAFAAAAATMBAAAAATACAAAACjEwMDE5Njk2NTUDAAAABjEwNDA3NgQAAAABMgYAAAABMAcAAAADMTYwCAAAAAEwCQAAAAExCgAAAAEwCwAAAAsxMjgyNzMzNjY2NwwAAAABMQ0AAAAJNC8yMS8yMDIyEAAAAAk0LzIwLzIwMjJuFv8a8CLaCFG4ehvwItoILkNJUS5OQVNEQVFHUzpGQi5JUV9DQVNIX09QRVJfRVNULkZZMjAyMS4uLi5VU0QBAAAAF9s8AQIAAAALNTUzNTYuMzc3NzgBDgAAAAUAAAABMwEAAAABMAIAAAAKMTAwMTUzMzE0MwMAAAAGMTA0MDc2BAAAAAEyBgAAAAEwBwAAAAMxNjAIAAAAATAJAAAAATEKAAAAATALAAAACzEyNzI3MjI0MTg1DAAAAAExDQAAAAk0LzIxLzIwMjIQAAAACjEyLzMxLzIwMjFuFv8a8CLaCFG4ehvwItoINkNJUS5OQVNEQVFHUzpFVFNZLklRX05JX1JFUE9SVEVEX0VTVC5GWTIwMjEuMjAyMS0wMy0yMAEAAACKw7IBAgAAAAk0NDMuNDQyMDQBDgAAAAUAAAABMwEAAAABMAIAAAAKMTAwMzA0MjMyOAMAAAAGMTAwMjY0BAAAAAEyBgAAAAEwBwAAAAMxNjAIAAAAATAJAAAAATEKAAAAATALAAAACzEyMjgwNjM2OTQ5DAAAAAExDQAAAAkzLzIxLzIwMjEQAAAACTMvMjAvMjAyMW4W/xrwItoIUbh6G/Ai2ggyQ0lRLk5BU0RBUUdTOlNJ</t>
  </si>
  <si>
    <t>UkkuSVFfTklfUkVQT1JURURfRVNULkZZMjAyMS4uLi5VU0QBAAAAHnABAAIAAAAKMTI5MS44ODI0OQEOAAAABQAAAAEzAQAAAAEwAgAAAAoxMDAxMjg3NjYxAwAAAAYxMDAyNjQEAAAAATIGAAAAATAHAAAAAzE2MAgAAAABMAkAAAABMQoAAAABMAsAAAALMTI3MjA2NjI5MjgMAAAAATENAAAACTQvMjEvMjAyMhAAAAAKMTIvMzEvMjAyMW4W/xrwItoIUbh6G/Ai2gg2Q0lRLk5BU0RBUUdTOkVUU1kuSVFfTklfUkVQT1JURURfRVNULkZZMjAyMi4yMDIxLTAzLTIwAQAAAIrDsgECAAAACTU0Ny42NTU1NQEOAAAABQAAAAEzAQAAAAEwAgAAAAoxMDAzMDQyMzI5AwAAAAYxMDAyNjQEAAAAATIGAAAAATAHAAAAAzE2MAgAAAABMAkAAAABMQoAAAABMAsAAAALMTIyODA2MzY5MzEMAAAAATENAAAACTMvMjEvMjAyMRAAAAAJMy8yMC8yMDIxbhb/GvAi2ghekXob8CLaCDJDSVEuTkFTREFRR1M6RUJBWS5JUV9OSV9SRVBPUlRFRF9FU1QuRlkyMDIyLi4uLlVTRAEAAADWbAAAAgAAAAoxOTU2LjMwOTEyAQ4AAAAFAAAAATMBAAAAATACAAAACjEwMDEzOTc0MTMDAAAABjEwMDI2NAQAAAABMgYAAAABMAcAAAADMTYwCAAAAAEwCQAAAAExCgAAAAEwCwAAAAsxMjgxNjkyNDkwNQwAAAABMQ0AAAAJNC8yMS8yMDIyEAAAAAk0LzIwLzIwMjJuFv8a8CLaCF6RehvwItoILkNJUS5OWVNFOkJBQkEuSVFfTklfUkVQT1JURURf</t>
  </si>
  <si>
    <t>RVNULkZZMjAyMS4uLi5VU0QBAAAAESWCAgIAAAAPMjUzMjAuMzQ3ODYxMzQyAQ4AAAAFAAAAATMBAAAAATACAAAACjEwMDI3ODkwMzADAAAABjEwMDI2NAQAAAABMgYAAAABMAcAAAADMTYwCAAAAAEwCQAAAAExCgAAAAEwCwAAAAsxMjM4MjQ4NTMxNAwAAAABMQ0AAAAJNC8yMS8yMDIyEAAAAAkzLzMxLzIwMjFuFv8a8CLaCF6RehvwItoIKENJUS5OWVNFOlRHVC5JUV9FQklUREFfRVNULkZZMjAyMi4uLi5VU0QBAAAAZqkCAAIAAAALMTEyOTQuMDMzNjMBDgAAAAUAAAABMwEAAAABMAIAAAAKMTAwMjcyNTgyOAMAAAAGMTAwMTg3BAAAAAEyBgAAAAEwBwAAAAMxNjAIAAAAATAJAAAAATEKAAAAATALAAAACzEyNzcyMzg1ODY0DAAAAAExDQAAAAk0LzIxLzIwMjIQAAAACTEvMzEvMjAyMm4W/xrwItoIXpF6G/Ai2ggsQ0lRLk5ZU0U6SEQuSVFfUkVWRU5VRV9FU1QuRlkyMDIxLjIwMjEtMDMtMjABAAAAl0AEAAIAAAALMTMwMzQ1LjYzNzEBDgAAAAUAAAABMwEAAAABMAIAAAAKMTAwMTE5NjU0MgMAAAAGMTAwMTgwBAAAAAEyBgAAAAEwBwAAAAMxNjAIAAAAATAJAAAAATEKAAAAATALAAAACzEyMjY4MjIxMDk2DAAAAAExDQAAAAkzLzIxLzIwMjEQAAAACTEvMzEvMjAyMW4W/xrwItoIXpF6G/Ai2gguQ0lRLk5ZU0U6SEQuSVFfQ0FTSF9PUEVSX0VTVC5GWTIwMjIuMjAyMS0wMy0yMAEAAACXQAQAAgAAAAsx</t>
  </si>
  <si>
    <t>NjUxMS41NDU0NQEOAAAABQAAAAEzAQAAAAEwAgAAAAoxMDAxMTk2NTQ3AwAAAAYxMDQwNzYEAAAAATIGAAAAATAHAAAAAzE2MAgAAAABMAkAAAABMQoAAAABMAsAAAALMTIzMDIzMzc2NjYMAAAAATENAAAACTMvMjEvMjAyMRAAAAAJMy8yMC8yMDIxkz3/GvAi2ghekXob8CLaCCpDSVEuTllTRTpTUE9ULklRX1JFVkVOVUVfRVNULkZZMjAyMi4uLi5VU0QBAAAAxU5yDQIAAAAQMTI1ODMuNzM4MTczNDc3NwEOAAAABQAAAAEzAQAAAAEwAgAAAAoxMDA0MDQzOTA4AwAAAAYxMDAxODAEAAAAATMGAAAAATAHAAAAAzE2MAgAAAABMAkAAAABMQoAAAABMAsAAAALMTI4MjkzMjg2OTkMAAAAATENAAAACTQvMjEvMjAyMhAAAAAJNC8yMC8yMDIykz3/GvAi2ghekXob8CLaCDBDSVEuTkFTREFRR1M6RUJBWS5JUV9DQVNIX09QRVJfRVNULkZZMjAyMS4uLi5VU0QBAAAA1mwAAAIAAAAKMjk4MS4xNTcxNAEOAAAABQAAAAEzAQAAAAEwAgAAAAoxMDAxMzk3NDA4AwAAAAYxMDQwNzYEAAAAATIGAAAAATAHAAAAAzE2MAgAAAABMAkAAAABMQoAAAABMAsAAAALMTI3NjI5NzQ4NzYMAAAAATENAAAACTQvMjEvMjAyMhAAAAAKMTIvMzEvMjAyMZM9/xrwItoIZ2p6G/Ai2gguQ0lRLk5ZU0U6QkFCQS5JUV9OSV9SRVBPUlRFRF9FU1QuRlkyMDIyLi4uLlVTRAEAAAARJYICAgAAABAxMjg0OC43ODA2NzM2MTI0AQ4AAAAFAAAA</t>
  </si>
  <si>
    <t>ATMBAAAAATACAAAACjEwMDI3ODkwMzEDAAAABjEwMDI2NAQAAAABMgYAAAABMAcAAAADMTYwCAAAAAEwCQAAAAExCgAAAAEwCwAAAAsxMjgyOTU2ODcwOQwAAAABMQ0AAAAJNC8yMS8yMDIyEAAAAAkzLzMxLzIwMjKTPf8a8CLaCHRDehvwItoILkNJUS5OQVNEQVFHUzpORkxYLklRX1JFVkVOVUVfRVNULkZZMjAyMS4uLi5VU0QBAAAADH0AAAIAAAALMjk3MDMuMzIxNTMBDgAAAAUAAAABMwEAAAABMAIAAAAKMTAwMDExODE0MAMAAAAGMTAwMTgwBAAAAAEyBgAAAAEwBwAAAAMxNjAIAAAAATAJAAAAATEKAAAAATALAAAACzEyNzEwMjE5Mzc4DAAAAAExDQAAAAk0LzIxLzIwMjIQAAAACjEyLzMxLzIwMjGTPf8a8CLaCHRDehvwItoILkNJUS5OQVNEQVFHUzpFQkFZLklRX1JFVkVOVUVfRVNULkZZMjAyMS4uLi5VU0QBAAAA1mwAAAIAAAALMTA0MTMuMTc5NTMBDgAAAAUAAAABMwEAAAABMAIAAAAKMTAwMTM5NzQwOAMAAAAGMTAwMTgwBAAAAAEyBgAAAAEwBwAAAAMxNjAIAAAAATAJAAAAATEKAAAAATALAAAACzEyNzYwNDA1ODc2DAAAAAExDQAAAAk0LzIxLzIwMjIQAAAACjEyLzMxLzIwMjGTPf8a8CLaCHRDehvwItoIMENJUS5OQVNEQVFHUzpFQkFZLklRX0NBU0hfT1BFUl9FU1QuRlkyMDIyLi4uLlVTRAEAAADWbAAAAgAAAAozMTE4Ljk2MzY0AQ4AAAAFAAAAATMBAAAAATACAAAACjEwMDEzOTc0MTMD</t>
  </si>
  <si>
    <t>AAAABjEwNDA3NgQAAAABMgYAAAABMAcAAAADMTYwCAAAAAEwCQAAAAExCgAAAAEwCwAAAAsxMjc5MTQwODg2NwwAAAABMQ0AAAAJNC8yMS8yMDIyEAAAAAk0LzIwLzIwMjKTPf8a8CLaCHRDehvwItoILENJUS5OWVNFOkJBQkEuSVFfQ0FTSF9PUEVSX0VTVC5GWTIwMjEuLi4uVVNEAQAAABElggICAAAAEDM4MzI2LjUzNjQ3ODc2MjYBDgAAAAUAAAABMwEAAAABMAIAAAAKMTAwMjc4OTAzMAMAAAAGMTA0MDc2BAAAAAEyBgAAAAEwBwAAAAMxNjAIAAAAATAJAAAAATEKAAAAATALAAAACzEyMzg2NDgxNjc4DAAAAAExDQAAAAk0LzIxLzIwMjIQAAAACTMvMzEvMjAyMZM9/xrwItoIdEN6G/Ai2ggtQ0lRLk5ZU0U6VEdULklRX05JX1JFUE9SVEVEX0VTVC5GWTIwMjIuLi4uVVNEAQAAAGapAgACAAAACjY2OTIuODU3MTQBDgAAAAUAAAABMwEAAAABMAIAAAAKMTAwMjcyNTgyOAMAAAAGMTAwMjY0BAAAAAEyBgAAAAEwBwAAAAMxNjAIAAAAATAJAAAAATEKAAAAATALAAAACzEyNzcyMzg1MjYzDAAAAAExDQAAAAk0LzIxLzIwMjIQAAAACTEvMzEvMjAyMpM9/xrwItoIjSN6G/Ai2ggpQ0lRLk5ZU0U6V01ULklRX1JFVkVOVUVfRVNULkZZMjAyMi4uLi5VU0QBAAAA38YEAAIAAAAMNTY3NjQxLjY1NzE0AQ4AAAAFAAAAATMBAAAAATACAAAACjEwMDIwODI3NjEDAAAABjEwMDE4MAQAAAABMgYAAAABMAcAAAADMTYw</t>
  </si>
  <si>
    <t>CAAAAAEwCQAAAAExCgAAAAEwCwAAAAsxMjc1MTY5Mjk1OAwAAAABMQ0AAAAJNC8yMS8yMDIyEAAAAAkxLzMxLzIwMjKTPf8a8CLaCI0jehvwItoILkNJUS5OQVNEQVFHUzpBTVpOLklRX1JFVkVOVUVfRVNULkZZMjAyMS4uLi5VU0QBAAAAPUkAAAIAAAAMNDcwNDUyLjE0NTYxAQ4AAAAFAAAAATMBAAAAATACAAAACjEwMDA3ODM5MzIDAAAABjEwMDE4MAQAAAABMgYAAAABMAcAAAADMTYwCAAAAAEwCQAAAAExCgAAAAEwCwAAAAsxMjczMTgyOTY3MQwAAAABMQ0AAAAJNC8yMS8yMDIyEAAAAAoxMi8zMS8yMDIxkz3/GvAi2gh8HHob8CLaCDBDSVEuTkFTREFRR1M6QU1aTi5JUV9DQVNIX09QRVJfRVNULkZZMjAyMi4uLi5VU0QBAAAAPUkAAAIAAAALODI3NjMuNzk3NjUBDgAAAAUAAAABMwEAAAABMAIAAAAKMTAwMTMwOTUyMwMAAAAGMTA0MDc2BAAAAAEyBgAAAAEwBwAAAAMxNjAIAAAAATAJAAAAATEKAAAAATALAAAACzEyODI4NjgxMDI4DAAAAAExDQAAAAk0LzIxLzIwMjIQAAAACTQvMjAvMjAyMpM9/xrwItoIjSN6G/Ai2gguQ0lRLk5BU0RBUUdTOkVCQVkuSVFfUkVWRU5VRV9FU1QuRlkyMDIyLi4uLlVTRAEAAADWbAAAAgAAAAsxMDM5NS43MDIyMwEOAAAABQAAAAEzAQAAAAEwAgAAAAoxMDAxMzk3NDEzAwAAAAYxMDAxODAEAAAAATIGAAAAATAHAAAAAzE2MAgAAAABMAkAAAABMQoAAAABMAsAAAAL</t>
  </si>
  <si>
    <t>MTI4MjMyNzU2ODQMAAAAATENAAAACTQvMjEvMjAyMhAAAAAJNC8yMC8yMDIykz3/GvAi2giE9Xkb8CLaCCpDSVEuTllTRTpCQUJBLklRX1JFVkVOVUVfRVNULkZZMjAyMS4uLi5VU0QBAAAAESWCAgIAAAAQMTA3OTE4LjExMjI1MjUwOAEOAAAABQAAAAEzAQAAAAEwAgAAAAoxMDAyNzg5MDMwAwAAAAYxMDAxODAEAAAAATIGAAAAATAHAAAAAzE2MAgAAAABMAkAAAABMQoAAAABMAsAAAALMTIzODI0ODUzOTIMAAAAATENAAAACTQvMjEvMjAyMhAAAAAJMy8zMS8yMDIxkz3/GvAi2giE9Xkb8CLaCCxDSVEuTllTRTpCQUJBLklRX0NBU0hfT1BFUl9FU1QuRlkyMDIyLi4uLlVTRAEAAAARJYICAgAAABAyNTgwMy44OTI3MjQzNTU0AQ4AAAAFAAAAATMBAAAAATACAAAACjEwMDI3ODkwMzEDAAAABjEwNDA3NgQAAAABMgYAAAABMAcAAAADMTYwCAAAAAEwCQAAAAExCgAAAAEwCwAAAAsxMjgyNjY4MDQzOQwAAAABMQ0AAAAJNC8yMS8yMDIyEAAAAAkzLzMxLzIwMjKTPf8a8CLaCIT1eRvwItoIK0NJUS5OWVNFOlRHVC5JUV9DQVNIX09QRVJfRVNULkZZMjAyMS4uLi5VU0QBAAAAZqkCAAIAAAAHNzY0NS4xNQEOAAAABQAAAAEzAQAAAAEwAgAAAAoxMDAxMzQ1MDYwAwAAAAYxMDQwNzYEAAAAATIGAAAAATAHAAAAAzE2MAgAAAABMAkAAAABMQoAAAABMAsAAAALMTIyNzY4Mjg3NzkMAAAAATENAAAACTQvMjEvMjAy</t>
  </si>
  <si>
    <t>MhAAAAAJMS8zMS8yMDIxkz3/GvAi2giE9Xkb8CLaCCtDSVEuTllTRTpIRC5JUV9FQklUREFfRVNULkZZMjAyMS4yMDIxLTAzLTIwAQAAAJdABAACAAAACzIwNjI4LjA0OTM2AQ4AAAAFAAAAATMBAAAAATACAAAACjEwMDExOTY1NDIDAAAABjEwMDE4NwQAAAABMgYAAAABMAcAAAADMTYwCAAAAAEwCQAAAAExCgAAAAEwCwAAAAsxMjI2ODIyNTQ3OAwAAAABMQ0AAAAJMy8yMS8yMDIxEAAAAAkxLzMxLzIwMjGTPf8a8CLaCKjReRvwItoILkNJUS5OQVNEQVFHUzpBTVpOLklRX1JFVkVOVUVfRVNULkZZMjAyMi4uLi5VU0QBAAAAPUkAAAIAAAAMNTQwNjM4Ljg0NzA1AQ4AAAAFAAAAATMBAAAAATACAAAACjEwMDEzMDk1MjMDAAAABjEwMDE4MAQAAAABMgYAAAABMAcAAAADMTYwCAAAAAEwCQAAAAExCgAAAAEwCwAAAAsxMjgyOTEzNTY3MgwAAAABMQ0AAAAJNC8yMS8yMDIyEAAAAAk0LzIwLzIwMjKTPf8a8CLaCKjReRvwItoIMENJUS5OQVNEQVFHUzpORkxYLklRX0NBU0hfT1BFUl9FU1QuRlkyMDIyLi4uLlVTRAEAAAAMfQAAAgAAAAoxNTkwLjEwNTI1AQ4AAAAFAAAAATMBAAAAATACAAAACjEwMDE2NTgzMzYDAAAABjEwNDA3NgQAAAABMgYAAAABMAcAAAADMTYwCAAAAAEwCQAAAAExCgAAAAEwCwAAAAsxMjgyOTM0ODc4MwwAAAABMQ0AAAAJNC8yMS8yMDIyEAAAAAk0LzIwLzIwMjKTPf8a8CLaCKjReRvw</t>
  </si>
  <si>
    <t>ItoILENJUS5OQVNEQVFHUzpGQi5JUV9SRVZFTlVFX0VTVC5GWTIwMjEuLi4uVVNEAQAAABfbPAECAAAADDExNzY5MS40NDgwNgEOAAAABQAAAAEzAQAAAAEwAgAAAAoxMDAxNTMzMTQzAwAAAAYxMDAxODAEAAAAATIGAAAAATAHAAAAAzE2MAgAAAABMAkAAAABMQoAAAABMAsAAAALMTI3MjcxOTYyMjIMAAAAATENAAAACTQvMjEvMjAyMhAAAAAKMTIvMzEvMjAyMZM9/xrwItoIqNF5G/Ai2ggqQ0lRLk5ZU0U6QkFCQS5JUV9SRVZFTlVFX0VTVC5GWTIwMjIuLi4uVVNEAQAAABElggICAAAAEDEzNDMzMy4wMTUxNzA0NzEBDgAAAAUAAAABMwEAAAABMAIAAAAKMTAwMjc4OTAzMQMAAAAGMTAwMTgwBAAAAAEyBgAAAAEwBwAAAAMxNjAIAAAAATAJAAAAATEKAAAAATALAAAACzEyODI5NTcwMzU3DAAAAAExDQAAAAk0LzIxLzIwMjIQAAAACTMvMzEvMjAyMpM9/xrwItoIm6d5G/Ai2ggpQ0lRLk5ZU0U6VEdULklRX1JFVkVOVUVfRVNULkZZMjAyMS4uLi5VU0QBAAAAZqkCAAIAAAALOTI2MDAuMDQwNDIBDgAAAAUAAAABMwEAAAABMAIAAAAKMTAwMTM0NTA2MAMAAAAGMTAwMTgwBAAAAAEyBgAAAAEwBwAAAAMxNjAIAAAAATAJAAAAATEKAAAAATALAAAACzEyMjc1Njc2OTM1DAAAAAExDQAAAAk0LzIxLzIwMjIQAAAACTEvMzEvMjAyMZM9/xrwItoIm6d5G/Ai2ggrQ0lRLk5ZU0U6VEdULklRX0NBU0hfT1BFUl9F</t>
  </si>
  <si>
    <t>U1QuRlkyMDIyLi4uLlVTRAEAAABmqQIAAgAAAAg4MzkxLjE3NQEOAAAABQAAAAEzAQAAAAEwAgAAAAoxMDAyNzI1ODI4AwAAAAYxMDQwNzYEAAAAATIGAAAAATAHAAAAAzE2MAgAAAABMAkAAAABMQoAAAABMAsAAAALMTI3NzA0NDc1OTkMAAAAATENAAAACTQvMjEvMjAyMhAAAAAJMS8zMS8yMDIykz3/GvAi2gibp3kb8CLaCCtDSVEuTllTRTpIRC5JUV9FQklUREFfRVNULkZZMjAyMi4yMDIxLTAzLTIwAQAAAJdABAACAAAACzIxODA5LjkyMDM1AQ4AAAAFAAAAATMBAAAAATACAAAACjEwMDExOTY1NDcDAAAABjEwMDE4NwQAAAABMgYAAAABMAcAAAADMTYwCAAAAAEwCQAAAAExCgAAAAEwCwAAAAsxMjI5Njk3Njg4NgwAAAABMQ0AAAAJMy8yMS8yMDIxEAAAAAkzLzIwLzIwMjGTPf8a8CLaCJuneRvwItoIK0NJUS5OWVNFOlZNVy5JUV9DQVNIX09QRVJfRVNULkZZMjAyMS4uLi5VU0QBAAAAPesBAAIAAAAKMzc1NS4zMDkxOAEOAAAABQAAAAEzAQAAAAEwAgAAAAoxMDAzNjA1MTkzAwAAAAYxMDQwNzYEAAAAATIGAAAAATAHAAAAAzE2MAgAAAABMAkAAAABMQoAAAABMAsAAAALMTIyNjczODYzOTIMAAAAATENAAAACTQvMjEvMjAyMhAAAAAJMS8zMS8yMDIxkz3/GvAi2ghIoHkb8CLaCC1DSVEuWFRSQTpTQVAuSVFfTklfUkVQT1JURURfRVNULkZZMjAyMi4uLi5VU0QBAAAAC+4BAAIAAAAQMzk2Ni4zNzMy</t>
  </si>
  <si>
    <t>NDk5MTk5MwEOAAAABQAAAAEzAQAAAAEwAgAAAAoxMDAwMTUxMDU0AwAAAAYxMDAyNjQEAAAAATMGAAAAATAHAAAAAzE2MAgAAAABMAkAAAABMQoAAAABMAsAAAALMTI4Mjg5NjQ1ODQMAAAAATENAAAACTQvMjEvMjAyMhAAAAAJNC8yMC8yMDIykz3/GvAi2gimgHkb8CLaCC1DSVEuTkFTREFRR1M6RUJBWS5JUV9FQklUREFfRVNULkZZMjAyMS4uLi5VU0QBAAAA1mwAAAIAAAAKMzk2Ni4yMTMzMwEOAAAABQAAAAEzAQAAAAEwAgAAAAoxMDAxMzk3NDA4AwAAAAYxMDAxODcEAAAAATIGAAAAATAHAAAAAzE2MAgAAAABMAkAAAABMQoAAAABMAsAAAALMTI3NjI5NzQ5MTIMAAAAATENAAAACTQvMjEvMjAyMhAAAAAKMTIvMzEvMjAyMZM9/xrwItoIpoB5G/Ai2ggpQ0lRLk5ZU0U6T1JDTC5JUV9FQklUREFfRVNULkZZMjAyMi4uLi5VU0QBAAAA51YAAAIAAAALMjEyMjIuODQ4MzUBDgAAAAUAAAABMwEAAAABMAIAAAAKMTAwMTMzNjYwMQMAAAAGMTAwMTg3BAAAAAEyBgAAAAEwBwAAAAMxNjAIAAAAATAJAAAAATEKAAAAATALAAAACzEyODA2NjEyMDUxDAAAAAExDQAAAAk0LzIxLzIwMjIQAAAACTQvMjAvMjAyMpM9/xrwItoIpoB5G/Ai2ggqQ0lRLk5ZU0U6VFdUUi5JUV9SRVZFTlVFX0VTVC5GWTIwMjIuLi4uVVNEAQAAALO/JAICAAAACjU5NzguOTA5NTgBDgAAAAUAAAABMwEAAAABMAIAAAAKMTAwMTk2OTY1</t>
  </si>
  <si>
    <t>NQMAAAAGMTAwMTgwBAAAAAEyBgAAAAEwBwAAAAMxNjAIAAAAATAJAAAAATEKAAAAATALAAAACzEyODI5OTc3NDU2DAAAAAExDQAAAAk0LzIxLzIwMjIQAAAACTQvMjAvMjAyMpM9/xrwItoIpoB5G/Ai2gguQ0lRLk5BU0RBUUdTOkZCLklRX0NBU0hfT1BFUl9FU1QuRlkyMDIyLi4uLlVTRAEAAAAX2zwBAgAAAAk1NzI5Ny45MTUBDgAAAAUAAAABMwEAAAABMAIAAAAKMTAwMTUzMzIyOQMAAAAGMTA0MDc2BAAAAAEyBgAAAAEwBwAAAAMxNjAIAAAAATAJAAAAATEKAAAAATALAAAACzEyODI3ODA5MzIyDAAAAAExDQAAAAk0LzIxLzIwMjIQAAAACTQvMjAvMjAyMpM9/xrwItoIsFl5G/Ai2ggxQ0lRLk5BU0RBUUdTOkVUU1kuSVFfRUJJVERBX0VTVC5GWTIwMjEuMjAyMS0wMy0yMAEAAACKw7IBAgAAAAg2NDkuNzIzMQEOAAAABQAAAAEzAQAAAAEwAgAAAAoxMDAzMDQyMzI4AwAAAAYxMDAxODcEAAAAATIGAAAAATAHAAAAAzE2MAgAAAABMAkAAAABMQoAAAABMAsAAAALMTIyODA2Mzc5MjcMAAAAATENAAAACTMvMjEvMjAyMRAAAAAJMy8yMC8yMDIxkz3/GvAi2giwWXkb8CLaCC1DSVEuTkFTREFRR1M6RUJBWS5JUV9FQklUREFfRVNULkZZMjAyMi4uLi5VU0QBAAAA1mwAAAIAAAAKMzY3OC4wODA3MQEOAAAABQAAAAEzAQAAAAEwAgAAAAoxMDAxMzk3NDEzAwAAAAYxMDAxODcEAAAAATIGAAAAATAHAAAAAzE2</t>
  </si>
  <si>
    <t>MAgAAAABMAkAAAABMQoAAAABMAsAAAALMTI4MjE0NTg0NTYMAAAAATENAAAACTQvMjEvMjAyMhAAAAAJNC8yMC8yMDIykz3/GvAi2giwWXkb8CLaCClDSVEuTllTRTpCQUJBLklRX0VCSVREQV9FU1QuRlkyMDIxLi4uLlVTRAEAAAARJYICAgAAABAzMDUxMy4zMTY3NDc4NzYxAQ4AAAAFAAAAATMBAAAAATACAAAACjEwMDI3ODkwMzADAAAABjEwMDE4NwQAAAABMgYAAAABMAcAAAADMTYwCAAAAAEwCQAAAAExCgAAAAEwCwAAAAsxMjM4MjQ4NTM4MAwAAAABMQ0AAAAJNC8yMS8yMDIyEAAAAAkzLzMxLzIwMjGTPf8a8CLaCLBZeRvwItoIMENJUS5OWVNFOkhELklRX05JX1JFUE9SVEVEX0VTVC5GWTIwMjIuMjAyMS0wMy0yMAEAAACXQAQAAgAAAAsxMzQ5NC40MjI2MwEOAAAABQAAAAEzAQAAAAEwAgAAAAoxMDAxMTk2NTQ3AwAAAAYxMDAyNjQEAAAAATIGAAAAATAHAAAAAzE2MAgAAAABMAkAAAABMQoAAAABMAsAAAALMTIzMDIzMTE2NjIMAAAAATENAAAACTMvMjEvMjAyMRAAAAAJMy8yMC8yMDIxkz3/GvAi2giwWXkb8CLaCC1DSVEuTllTRTpXTVQuSVFfTklfUkVQT1JURURfRVNULkZZMjAyMS4uLi5VU0QBAAAA38YEAAIAAAALMTg2MjEuODE0OTQBDgAAAAUAAAABMwEAAAABMAIAAAAKMTAwMTgxODU5MwMAAAAGMTAwMjY0BAAAAAEyBgAAAAEwBwAAAAMxNjAIAAAAATAJAAAAATEKAAAAATALAAAACzEy</t>
  </si>
  <si>
    <t>MjU5MDY5ODI3DAAAAAExDQAAAAk0LzIxLzIwMjIQAAAACTEvMzEvMjAyMZM9/xrwItoIuTJ5G/Ai2ggtQ0lRLk5BU0RBUUdTOkFNWk4uSVFfRUJJVERBX0VTVC5GWTIwMjIuLi4uVVNEAQAAAD1JAAACAAAACzgzMjE0LjYyNTk5AQ4AAAAFAAAAATMBAAAAATACAAAACjEwMDEzMDk1MjMDAAAABjEwMDE4NwQAAAABMgYAAAABMAcAAAADMTYwCAAAAAEwCQAAAAExCgAAAAEwCwAAAAsxMjgyNzM0MTc0NQwAAAABMQ0AAAAJNC8yMS8yMDIyEAAAAAk0LzIwLzIwMjKTPf8a8CLaCLkyeRvwItoIMUNJUS5OQVNEQVFHUzpFVFNZLklRX0VCSVREQV9FU1QuRlkyMDIyLjIwMjEtMDMtMjABAAAAisOyAQIAAAAJNzg2LjQ3NDA5AQ4AAAAFAAAAATMBAAAAATACAAAACjEwMDMwNDIzMjkDAAAABjEwMDE4NwQAAAABMgYAAAABMAcAAAADMTYwCAAAAAEwCQAAAAExCgAAAAEwCwAAAAsxMjI4MDYzNzgyNQwAAAABMQ0AAAAJMy8yMS8yMDIxEAAAAAkzLzIwLzIwMjGTPf8a8CLaCLkyeRvwItoIMkNJUS5OQVNEQVFHUzpFQkFZLklRX05JX1JFUE9SVEVEX0VTVC5GWTIwMjEuLi4uVVNEAQAAANZsAAACAAAABzE2NDguNDYBDgAAAAUAAAABMwEAAAABMAIAAAAKMTAwMTM5NzQwOAMAAAAGMTAwMjY0BAAAAAEyBgAAAAEwBwAAAAMxNjAIAAAAATAJAAAAATEKAAAAATALAAAACzEyNzYwNDI0NjE1DAAAAAExDQAAAAk0LzIxLzIw</t>
  </si>
  <si>
    <t>MjIQAAAACjEyLzMxLzIwMjGTPf8a8CLaCLkyeRvwItoIKUNJUS5OWVNFOkJBQkEuSVFfRUJJVERBX0VTVC5GWTIwMjIuLi4uVVNEAQAAABElggICAAAAEDI0NTA3LjEwNDE3OTczNzIBDgAAAAUAAAABMwEAAAABMAIAAAAKMTAwMjc4OTAzMQMAAAAGMTAwMTg3BAAAAAEyBgAAAAEwBwAAAAMxNjAIAAAAATAJAAAAATEKAAAAATALAAAACzEyODI5NTcyOTQ0DAAAAAExDQAAAAk0LzIxLzIwMjIQAAAACTMvMzEvMjAyMpM9/xrwItoIuTJ5G/Ai2ggoQ0lRLk5ZU0U6VEdULklRX0VCSVREQV9FU1QuRlkyMDIxLi4uLlVTRAEAAABmqQIAAgAAAAo4ODcyLjgwNzQzAQ4AAAAFAAAAATMBAAAAATACAAAACjEwMDEzNDUwNjADAAAABjEwMDE4NwQAAAABMgYAAAABMAcAAAADMTYwCAAAAAEwCQAAAAExCgAAAAEwCwAAAAsxMjI3NTM5MTg1NwwAAAABMQ0AAAAJNC8yMS8yMDIyEAAAAAkxLzMxLzIwMjGTPf8a8CLaCMsLeRvwItoILkNJUS5OWVNFOkhELklRX0NBU0hfT1BFUl9FU1QuRlkyMDIxLjIwMjEtMDMtMjABAAAAl0AEAAIAAAAHMTY2MDIuMgEOAAAABQAAAAEzAQAAAAEwAgAAAAoxMDAxMTk2NTQyAwAAAAYxMDQwNzYEAAAAATIGAAAAATAHAAAAAzE2MAgAAAABMAkAAAABMQoAAAABMAsAAAALMTIyNjY5Mjc0MjkMAAAAATENAAAACTMvMjEvMjAyMRAAAAAJMS8zMS8yMDIxkz3/GvAi2gjLC3kb8CLaCC1DSVEu</t>
  </si>
  <si>
    <t>TllTRTpXTVQuSVFfTklfUkVQT1JURURfRVNULkZZMjAyMi4uLi5VU0QBAAAA38YEAAIAAAAJMTQyODguNDI1AQ4AAAAFAAAAATMBAAAAATACAAAACjEwMDIwODI3NjEDAAAABjEwMDI2NAQAAAABMgYAAAABMAcAAAADMTYwCAAAAAEwCQAAAAExCgAAAAEwCwAAAAsxMjc1MTc1MDg2MAwAAAABMQ0AAAAJNC8yMS8yMDIyEAAAAAkxLzMxLzIwMjKTPf8a8CLaCMsLeRvwItoIMkNJUS5OQVNEQVFHUzpBTVpOLklRX05JX1JFUE9SVEVEX0VTVC5GWTIwMjEuLi4uVVNEAQAAAD1JAAACAAAACzIxMDg2LjA2MDgyAQ4AAAAFAAAAATMBAAAAATACAAAACjEwMDA3ODM5MzIDAAAABjEwMDI2NAQAAAABMgYAAAABMAcAAAADMTYwCAAAAAEwCQAAAAExCgAAAAEwCwAAAAsxMjczMTgyOTQ1NgwAAAABMQ0AAAAJNC8yMS8yMDIyEAAAAAoxMi8zMS8yMDIxkz3/GvAi2gjLC3kb8CLaCClDSVEuTllTRTpXTVQuSVFfUkVWRU5VRV9FU1QuRlkyMDIxLi4uLlVTRAEAAADfxgQAAgAAAAw1NTIxODEuMzU3NzQBDgAAAAUAAAABMwEAAAABMAIAAAAKMTAwMTgxODU5MwMAAAAGMTAwMTgwBAAAAAEyBgAAAAEwBwAAAAMxNjAIAAAAATAJAAAAATEKAAAAATALAAAACzEyMjYwMjkzMDc0DAAAAAExDQAAAAk0LzIxLzIwMjIQAAAACTEvMzEvMjAyMZM9/xrwItoI3OR4G/Ai2ggtQ0lRLk5BU0RBUUdTOkFNWk4uSVFfRUJJVERBX0VTVC5G</t>
  </si>
  <si>
    <t>WTIwMjEuLi4uVVNEAQAAAD1JAAACAAAACzY5Nzg5LjQyNTU2AQ4AAAAFAAAAATMBAAAAATACAAAACjEwMDA3ODM5MzIDAAAABjEwMDE4NwQAAAABMgYAAAABMAcAAAADMTYwCAAAAAEwCQAAAAExCgAAAAEwCwAAAAsxMjcxNDUyMjEwNgwAAAABMQ0AAAAJNC8yMS8yMDIyEAAAAAoxMi8zMS8yMDIxkz3/GvAi2gjc5Hgb8CLaCClDSVEuTllTRTpUR1QuSVFfUkVWRU5VRV9FU1QuRlkyMDIyLi4uLlVTRAEAAABmqQIAAgAAAAwxMDYzMzYuNjgzMzIBDgAAAAUAAAABMwEAAAABMAIAAAAKMTAwMjcyNTgyOAMAAAAGMTAwMTgwBAAAAAEyBgAAAAEwBwAAAAMxNjAIAAAAATAJAAAAATEKAAAAATALAAAACzEyNzcyMzg2MDYxDAAAAAExDQAAAAk0LzIxLzIwMjIQAAAACTEvMzEvMjAyMpM9/xrwItoI3OR4G/Ai2ggyQ0lRLk5BU0RBUUdTOkFNWk4uSVFfTklfUkVQT1JURURfRVNULkZZMjAyMi4uLi5VU0QBAAAAPUkAAAIAAAALMjQzMDEuNDMyMDcBDgAAAAUAAAABMwEAAAABMAIAAAAKMTAwMTMwOTUyMwMAAAAGMTAwMjY0BAAAAAEyBgAAAAEwBwAAAAMxNjAIAAAAATAJAAAAATEKAAAAATALAAAACzEyODI5MTUzODA2DAAAAAExDQAAAAk0LzIxLzIwMjIQAAAACTQvMjAvMjAyMpM9/xrwItoI3OR4G/Ai2ggoQ0lRLk5ZU0U6V01ULklRX0VCSVREQV9FU1QuRlkyMDIxLi4uLlVTRAEAAADfxgQAAgAAAAszNTEzNS4z</t>
  </si>
  <si>
    <t>Njc2OQEOAAAABQAAAAEzAQAAAAEwAgAAAAoxMDAxODE4NTkzAwAAAAYxMDAxODcEAAAAATIGAAAAATAHAAAAAzE2MAgAAAABMAkAAAABMQoAAAABMAsAAAALMTIyNTkwNjk0OTcMAAAAATENAAAACTQvMjEvMjAyMhAAAAAJMS8zMS8yMDIxkz3/GvAi2gjc5Hgb8CLaCDBDSVEuTkFTREFRR1M6QU1aTi5JUV9DQVNIX09QRVJfRVNULkZZMjAyMS4uLi5VU0QBAAAAPUkAAAIAAAALNjA5MjMuNzkzMzEBDgAAAAUAAAABMwEAAAABMAIAAAAKMTAwMDc4MzkzMgMAAAAGMTA0MDc2BAAAAAEyBgAAAAEwBwAAAAMxNjAIAAAAATAJAAAAATEKAAAAATALAAAACzEyNzI2OTIwMzU5DAAAAAExDQAAAAk0LzIxLzIwMjIQAAAACjEyLzMxLzIwMjGTPf8a8CLaCOK9eBvwItoILUNJUS5OWVNFOlRHVC5JUV9OSV9SRVBPUlRFRF9FU1QuRlkyMDIxLi4uLlVTRAEAAABmqQIAAgAAAAo0NDE3LjM4ODg5AQ4AAAAFAAAAATMBAAAAATACAAAACjEwMDEzNDUwNjADAAAABjEwMDI2NAQAAAABMgYAAAABMAcAAAADMTYwCAAAAAEwCQAAAAExCgAAAAEwCwAAAAsxMjI0OTc4MzE0NQwAAAABMQ0AAAAJNC8yMS8yMDIyEAAAAAkxLzMxLzIwMjGTPf8a8CLaCOK9eBvwItoIKENJUS5OWVNFOldNVC5JUV9FQklUREFfRVNULkZZMjAyMi4uLi5VU0QBAAAA38YEAAIAAAALMzcwMTMuMDE4NDUBDgAAAAUAAAABMwEAAAABMAIAAAAKMTAwMjA4</t>
  </si>
  <si>
    <t>Mjc2MQMAAAAGMTAwMTg3BAAAAAEyBgAAAAEwBwAAAAMxNjAIAAAAATAJAAAAATEKAAAAATALAAAACzEyNzUxNzMxMDk5DAAAAAExDQAAAAk0LzIxLzIwMjIQAAAACTEvMzEvMjAyMpM9/xrwItoI4r14G/Ai2ggrQ0lRLk5ZU0U6V01ULklRX0NBU0hfT1BFUl9FU1QuRlkyMDIxLi4uLlVTRAEAAADfxgQAAgAAAAszMDAzNy40MTY2NwEOAAAABQAAAAEzAQAAAAEwAgAAAAoxMDAxODE4NTkzAwAAAAYxMDQwNzYEAAAAATIGAAAAATAHAAAAAzE2MAgAAAABMAkAAAABMQoAAAABMAsAAAALMTIyNTYyNDAyMjAMAAAAATENAAAACTQvMjEvMjAyMhAAAAAJMS8zMS8yMDIxkz3/GvAi2gjqlngb8CLaCCxDSVEuTllTRTpIRC5JUV9SRVZFTlVFX0VTVC5GWTIwMjIuMjAyMS0wMy0yMAEAAACXQAQAAgAAAAwxMzU1MDEuODI1NjIBDgAAAAUAAAABMwEAAAABMAIAAAAKMTAwMTE5NjU0NwMAAAAGMTAwMTgwBAAAAAEyBgAAAAEwBwAAAAMxNjAIAAAAATAJAAAAATEKAAAAATALAAAACzEyMjk2OTc2ODk4DAAAAAExDQAAAAkzLzIxLzIwMjEQAAAACTMvMjAvMjAyMZM9/xrwItoI6pZ4G/Ai2ggrQ0lRLk5ZU0U6V01ULklRX0NBU0hfT1BFUl9FU1QuRlkyMDIyLi4uLlVTRAEAAADfxgQAAgAAAAsyNzY4MS43MjcyNwEOAAAABQAAAAEzAQAAAAEwAgAAAAoxMDAyMDgyNzYxAwAAAAYxMDQwNzYEAAAAATIGAAAAATAHAAAAAzE2</t>
  </si>
  <si>
    <t>MAgAAAABMAkAAAABMQoAAAABMAsAAAALMTI3NTAyNjQ5MDYMAAAAATENAAAACTQvMjEvMjAyMhAAAAAJMS8zMS8yMDIykz3/GvAi2gjqlngb8CLaCDBDSVEuTllTRTpIRC5JUV9OSV9SRVBPUlRFRF9FU1QuRlkyMDIxLjIwMjEtMDMtMjABAAAAl0AEAAIAAAALMTI4MDQuMTU5MjEBDgAAAAUAAAABMwEAAAABMAIAAAAKMTAwMTE5NjU0MgMAAAAGMTAwMjY0BAAAAAEyBgAAAAEwBwAAAAMxNjAIAAAAATAJAAAAATEKAAAAATALAAAACzEyMjY4MjI0MDM1DAAAAAExDQAAAAkzLzIxLzIwMjEQAAAACTEvMzEvMjAyMZM9/xrwItoI9294G/Ai2gguQ0lRLk5BU0RBUUdTOk5GTFguSVFfUkVWRU5VRV9FU1QuRlkyMDIyLi4uLlVTRAEAAAAMfQAAAgAAAAszMjQxNi45NDI3MgEOAAAABQAAAAEzAQAAAAEwAgAAAAoxMDAxNjU4MzM2AwAAAAYxMDAxODAEAAAAATIGAAAAATAHAAAAAzE2MAgAAAABMAkAAAABMQoAAAABMAsAAAALMTI4Mjk2OTEyNDUMAAAAATENAAAACTQvMjEvMjAyMhAAAAAJNC8yMC8yMDIykz3/GvAi2ggISXgb8CLaCDRDSVEuTkFTREFRR1M6RVRTWS5JUV9DQVNIX09QRVJfRVNULkZZMjAyMi4yMDIxLTAzLTIwAQAAAIrDsgECAAAACTczMC43OTUyOQEOAAAABQAAAAEzAQAAAAEwAgAAAAoxMDAzMDQyMzI5AwAAAAYxMDQwNzYEAAAAATIGAAAAATAHAAAAAzE2MAgAAAABMAkAAAABMQoAAAABMAsA</t>
  </si>
  <si>
    <t>AAALMTIyNzY1NjkwNzgMAAAAATENAAAACTMvMjEvMjAyMRAAAAAJMy8yMC8yMDIxkz3/GvAi2ggSIngb8CLaCDJDSVEuTkFTREFRR1M6RVRTWS5JUV9SRVZFTlVFX0VTVC5GWTIwMjEuMjAyMS0wMy0yMAEAAACKw7IBAgAAAAoyMTY1LjUzNzAyAQ4AAAAFAAAAATMBAAAAATACAAAACjEwMDMwNDIzMjgDAAAABjEwMDE4MAQAAAABMgYAAAABMAcAAAADMTYwCAAAAAEwCQAAAAExCgAAAAEwCwAAAAsxMjI4MDYzODIwOQwAAAABMQ0AAAAJMy8yMS8yMDIxEAAAAAkzLzIwLzIwMjGTPf8a8CLaCBIieBvwItoINENJUS5OQVNEQVFHUzpFVFNZLklRX0NBU0hfT1BFUl9FU1QuRlkyMDIxLjIwMjEtMDMtMjABAAAAisOyAQIAAAAJNjIwLjYwMjA3AQ4AAAAFAAAAATMBAAAAATACAAAACjEwMDMwNDIzMjgDAAAABjEwNDA3NgQAAAABMgYAAAABMAcAAAADMTYwCAAAAAEwCQAAAAExCgAAAAEwCwAAAAsxMjI3NjU2ODE2OQwAAAABMQ0AAAAJMy8yMS8yMDIxEAAAAAkzLzIwLzIwMjFlZP8a8CLaCBIieBvwItoIMkNJUS5OQVNEQVFHUzpST0tVLklRX05JX1JFUE9SVEVEX0VTVC5GWTIwMjEuLi4uVVNEAQAAAEmahAACAAAACTIyNi4xMzA2MgEOAAAABQAAAAEzAQAAAAEwAgAAAAoxMDAzODkyNTEyAwAAAAYxMDAyNjQEAAAAATIGAAAAATAHAAAAAzE2MAgAAAABMAkAAAABMQoAAAABMAsAAAALMTI3NTk5NzQyNDMMAAAA</t>
  </si>
  <si>
    <t>ATENAAAACTQvMjEvMjAyMhAAAAAKMTIvMzEvMjAyMWVk/xrwItoIy/p3G/Ai2ggtQ0lRLk5BU0RBUUdTOlJPS1UuSVFfRUJJVERBX0VTVC5GWTIwMjIuLi4uVVNEAQAAAEmahAACAAAACTE2Ny4yMzY0OAEOAAAABQAAAAEzAQAAAAEwAgAAAAoxMDAzODkyNTEzAwAAAAYxMDAxODcEAAAAATIGAAAAATAHAAAAAzE2MAgAAAABMAkAAAABMQoAAAABMAsAAAALMTI4Mjc3NTY1MjMMAAAAATENAAAACTQvMjEvMjAyMhAAAAAJNC8yMC8yMDIyZWT/GvAi2gjL+ncb8CLaCC1DSVEuTkFTREFRR1M6Uk9LVS5JUV9FQklUREFfRVNULkZZMjAyMS4uLi5VU0QBAAAASZqEAAIAAAAJNDUyLjQ5MzY4AQ4AAAAFAAAAATMBAAAAATACAAAACjEwMDM4OTI1MTIDAAAABjEwMDE4NwQAAAABMgYAAAABMAcAAAADMTYwCAAAAAEwCQAAAAExCgAAAAEwCwAAAAsxMjc1OTk3NDMzOQwAAAABMQ0AAAAJNC8yMS8yMDIyEAAAAAoxMi8zMS8yMDIxZWT/GvAi2ggSIngb8CLaCCxDSVEuTllTRTpPUkNMLklRX0NBU0hfT1BFUl9FU1QuRlkyMDIxLi4uLlVTRAEAAADnVgAAAgAAAAsxNTA5MC4yMzMzMwEOAAAABQAAAAEzAQAAAAEwAgAAAAoxMDAxMzM2NjAwAwAAAAYxMDQwNzYEAAAAATIGAAAAATAHAAAAAzE2MAgAAAABMAkAAAABMQoAAAABMAsAAAALMTI0MzU1NDI0MjYMAAAAATENAAAACTQvMjEvMjAyMhAAAAAJNS8zMS8yMDIxZWT/</t>
  </si>
  <si>
    <t>GvAi2ggD53cb8CLaCC5DSVEuTllTRTpPUkNMLklRX05JX1JFUE9SVEVEX0VTVC5GWTIwMjIuLi4uVVNEAQAAAOdWAAACAAAACTY2MTMuMTU3NgEOAAAABQAAAAEzAQAAAAEwAgAAAAoxMDAxMzM2NjAxAwAAAAYxMDAyNjQEAAAAATIGAAAAATAHAAAAAzE2MAgAAAABMAkAAAABMQoAAAABMAsAAAALMTI4MTUwMDU3NjIMAAAAATENAAAACTQvMjEvMjAyMhAAAAAJNC8yMC8yMDIyZWT/GvAi2gjL+ncb8CLaCC5DSVEuTllTRTpPUkNMLklRX05JX1JFUE9SVEVEX0VTVC5GWTIwMjEuLi4uVVNEAQAAAOdWAAACAAAACzEyODc4Ljc1MTEzAQ4AAAAFAAAAATMBAAAAATACAAAACjEwMDEzMzY2MDADAAAABjEwMDI2NAQAAAABMgYAAAABMAcAAAADMTYwCAAAAAEwCQAAAAExCgAAAAEwCwAAAAsxMjQzNTU4MjM4NAwAAAABMQ0AAAAJNC8yMS8yMDIyEAAAAAk1LzMxLzIwMjFlZP8a8CLaCMv6dxvwItoIKENJUS5OWVNFOlZNVy5JUV9FQklUREFfRVNULkZZMjAyMS4uLi5VU0QBAAAAPesBAAIAAAAKNDYxNy4xNjU1MQEOAAAABQAAAAEzAQAAAAEwAgAAAAoxMDAzNjA1MTkzAwAAAAYxMDAxODcEAAAAATIGAAAAATAHAAAAAzE2MAgAAAABMAkAAAABMQoAAAABMAsAAAALMTIyNjc0OTAwOTIMAAAAATENAAAACTQvMjEvMjAyMhAAAAAJMS8zMS8yMDIxZWT/GvAi2ghpiXcb8CLaCClDSVEuTllTRTpWTVcuSVFfUkVWRU5V</t>
  </si>
  <si>
    <t>RV9FU1QuRlkyMDIyLi4uLlVTRAEAAAA96wEAAgAAAAsxMjg0Mi45MDY0NAEOAAAABQAAAAEzAQAAAAEwAgAAAAoxMDAzNjA1MjE4AwAAAAYxMDAxODAEAAAAATIGAAAAATAHAAAAAzE2MAgAAAABMAkAAAABMQoAAAABMAsAAAALMTI3NjAwNjMzMzgMAAAAATENAAAACTQvMjEvMjAyMhAAAAAJMS8zMS8yMDIyZWT/GvAi2gi+1Hcb8CLaCCtDSVEuTllTRTpWTVcuSVFfQ0FTSF9PUEVSX0VTVC5GWTIwMjIuLi4uVVNEAQAAAD3rAQACAAAACjQwNjguMTc4NjQBDgAAAAUAAAABMwEAAAABMAIAAAAKMTAwMzYwNTIxOAMAAAAGMTA0MDc2BAAAAAEyBgAAAAEwBwAAAAMxNjAIAAAAATAJAAAAATEKAAAAATALAAAACzEyNjc4MzE0MTUyDAAAAAExDQAAAAk0LzIxLzIwMjIQAAAACTEvMzEvMjAyMmVk/xrwItoIaYl3G/Ai2ggpQ0lRLk5ZU0U6Vk1XLklRX1JFVkVOVUVfRVNULkZZMjAyMS4uLi5VU0QBAAAAPesBAAIAAAALMTE3MDUuODIwNDIBDgAAAAUAAAABMwEAAAABMAIAAAAKMTAwMzYwNTE5MwMAAAAGMTAwMTgwBAAAAAEyBgAAAAEwBwAAAAMxNjAIAAAAATAJAAAAATEKAAAAATALAAAACzEyMjY3NDkwMDg2DAAAAAExDQAAAAk0LzIxLzIwMjIQAAAACTEvMzEvMjAyMWVk/xrwItoIaYl3G/Ai2ggrQ0lRLk5BU0RBUUdTOkZCLklRX0VCSVREQV9FU1QuRlkyMDIyLi4uLlVTRAEAAAAX2zwBAgAAAAs1OTU5OS43</t>
  </si>
  <si>
    <t>NTkwNwEOAAAABQAAAAEzAQAAAAEwAgAAAAoxMDAxNTMzMjI5AwAAAAYxMDAxODcEAAAAATIGAAAAATAHAAAAAzE2MAgAAAABMAkAAAABMQoAAAABMAsAAAALMTI4MjkyNDU3NjQMAAAAATENAAAACTQvMjEvMjAyMhAAAAAJNC8yMC8yMDIyZWT/GvAi2gjFXncb8CLaCCtDSVEuTkFTREFRR1M6RkIuSVFfRUJJVERBX0VTVC5GWTIwMjEuLi4uVVNEAQAAABfbPAECAAAACzY0NTE2Ljk1OTU3AQ4AAAAFAAAAATMBAAAAATACAAAACjEwMDE1MzMxNDMDAAAABjEwMDE4NwQAAAABMgYAAAABMAcAAAADMTYwCAAAAAEwCQAAAAExCgAAAAEwCwAAAAsxMjcyNzE5NjIxNgwAAAABMQ0AAAAJNC8yMS8yMDIyEAAAAAoxMi8zMS8yMDIxZWT/GvAi2gi3fHcb8CLaCCxDSVEuTkFTREFRR1M6RkIuSVFfUkVWRU5VRV9FU1QuRlkyMDIyLi4uLlVTRAEAAAAX2zwBAgAAAAwxMzE0OTMuNDYwMzMBDgAAAAUAAAABMwEAAAABMAIAAAAKMTAwMTUzMzIyOQMAAAAGMTAwMTgwBAAAAAEyBgAAAAEwBwAAAAMxNjAIAAAAATAJAAAAATEKAAAAATALAAAACzEyODI5OTQ5NjI0DAAAAAExDQAAAAk0LzIxLzIwMjIQAAAACTQvMjAvMjAyMmVk/xrwItoIxV53G/Ai2ggsQ0lRLk5ZU0U6U1BPVC5JUV9DQVNIX09QRVJfRVNULkZZMjAyMS4uLi5VU0QBAAAAxU5yDQIAAAAQNDQ5Ljk5MTc4OTA4NjE3NAEOAAAABQAAAAEzAQAAAAEwAgAAAAox</t>
  </si>
  <si>
    <t>MDA0MDQzOTAzAwAAAAYxMDQwNzYEAAAAATMGAAAAATAHAAAAAzE2MAgAAAABMAkAAAABMQoAAAABMAsAAAALMTI3MTUwNDIzNjQMAAAAATENAAAACTQvMjEvMjAyMhAAAAAKMTIvMzEvMjAyMWVk/xrwItoIKkx3G/Ai2gguQ0lRLk5ZU0U6U1BPVC5JUV9OSV9SRVBPUlRFRF9FU1QuRlkyMDIyLi4uLlVTRAEAAADFTnINAgAAABAyMS4zODYxNzk1NzA4NDIxAQ4AAAAFAAAAATMBAAAAATACAAAACjEwMDQwNDM5MDgDAAAABjEwMDI2NAQAAAABMwYAAAABMAcAAAADMTYwCAAAAAEwCQAAAAExCgAAAAEwCwAAAAsxMjgyNzMzMDQ0OAwAAAABMQ0AAAAJNC8yMS8yMDIyEAAAAAk0LzIwLzIwMjJlZP8a8CLaCMVedxvwItoILkNJUS5OWVNFOlNQT1QuSVFfTklfUkVQT1JURURfRVNULkZZMjAyMS4uLi5VU0QBAAAAxU5yDQIAAAARLTc3LjQ1NDY3OTg4NzA2MzgBDgAAAAUAAAABMwEAAAABMAIAAAAKMTAwNDA0MzkwMwMAAAAGMTAwMjY0BAAAAAEzBgAAAAEwBwAAAAMxNjAIAAAAATAJAAAAATEKAAAAATALAAAACzEyNzI4MzEyNDUwDAAAAAExDQAAAAk0LzIxLzIwMjIQAAAACjEyLzMxLzIwMjFlZP8a8CLaCMVedxvwItoIKUNJUS5OWVNFOlNQT1QuSVFfRUJJVERBX0VTVC5GWTIwMjIuLi4uVVNEAQAAAMVOcg0CAAAAEDE5Ny45MDk5MTIwODg4MTkBDgAAAAUAAAABMwEAAAABMAIAAAAKMTAwNDA0MzkwOAMAAAAG</t>
  </si>
  <si>
    <t>MTAwMTg3BAAAAAEzBgAAAAEwBwAAAAMxNjAIAAAAATAJAAAAATEKAAAAATALAAAACzEyODI5MzA1NTM3DAAAAAExDQAAAAk0LzIxLzIwMjIQAAAACTQvMjAvMjAyMmVk/xrwItoIzTd3G/Ai2ggpQ0lRLk5ZU0U6U1BPVC5JUV9FQklUREFfRVNULkZZMjAyMS4uLi5VU0QBAAAAxU5yDQIAAAAQMTcxLjkzOTQ4NjAxNzA4MgEOAAAABQAAAAEzAQAAAAEwAgAAAAoxMDA0MDQzOTAzAwAAAAYxMDAxODcEAAAAATMGAAAAATAHAAAAAzE2MAgAAAABMAkAAAABMQoAAAABMAsAAAALMTI3MjgzMTI1MjgMAAAAATENAAAACTQvMjEvMjAyMhAAAAAKMTIvMzEvMjAyMWVk/xrwItoIzTd3G/Ai2ggrQ0lRLk5ZU0U6Q1JNLklRX0NBU0hfT1BFUl9FU1QuRlkyMDIyLi4uLlVTRAEAAAAl4AEAAgAAAAo1NzU5LjkwOTM5AQ4AAAAFAAAAATMBAAAAATACAAAACjEwMDAxNDg5NTUDAAAABjEwNDA3NgQAAAABMgYAAAABMAcAAAADMTYwCAAAAAEwCQAAAAExCgAAAAEwCwAAAAsxMjc2OTAwNTAyMQwAAAABMQ0AAAAJNC8yMS8yMDIyEAAAAAkxLzMxLzIwMjJlZP8a8CLaCN0QdxvwItoIKUNJUS5OWVNFOkNSTS5JUV9SRVZFTlVFX0VTVC5GWTIwMjEuLi4uVVNEAQAAACXgAQACAAAACzIxMTE2LjUwMzU1AQ4AAAAFAAAAATMBAAAAATACAAAACjEwMDAxNDg5NTQDAAAABjEwMDE4MAQAAAABMgYAAAABMAcAAAADMTYwCAAAAAEwCQAA</t>
  </si>
  <si>
    <t>AAExCgAAAAEwCwAAAAsxMjI3MzU0Mzg4NgwAAAABMQ0AAAAJNC8yMS8yMDIyEAAAAAkxLzMxLzIwMjFlZP8a8CLaCN0QdxvwItoIK0NJUS5OWVNFOkNSTS5JUV9DQVNIX09QRVJfRVNULkZZMjAyMS4uLi5VU0QBAAAAJeABAAIAAAAKNDg1MC41Njc1NwEOAAAABQAAAAEzAQAAAAEwAgAAAAoxMDAwMTQ4OTU0AwAAAAYxMDQwNzYEAAAAATIGAAAAATAHAAAAAzE2MAgAAAABMAkAAAABMQoAAAABMAsAAAALMTIyNjczODY4OTEMAAAAATENAAAACTQvMjEvMjAyMhAAAAAJMS8zMS8yMDIxZWT/GvAi2gjdEHcb8CLaCC1DSVEuTllTRTpDUk0uSVFfTklfUkVQT1JURURfRVNULkZZMjAyMi4uLi5VU0QBAAAAJeABAAIAAAAKMTI0MC4yNTk5MQEOAAAABQAAAAEzAQAAAAEwAgAAAAoxMDAwMTQ4OTU1AwAAAAYxMDAyNjQEAAAAATIGAAAAATAHAAAAAzE2MAgAAAABMAkAAAABMQoAAAABMAsAAAALMTI3NzA1MzM2MDQMAAAAATENAAAACTQvMjEvMjAyMhAAAAAJMS8zMS8yMDIyZWT/GvAi2gjp6XYb8CLaCC1DSVEuTllTRTpDUk0uSVFfTklfUkVQT1JURURfRVNULkZZMjAyMS4uLi5VU0QBAAAAJeABAAIAAAAKMzg1My41MTI1MgEOAAAABQAAAAEzAQAAAAEwAgAAAAoxMDAwMTQ4OTU0AwAAAAYxMDAyNjQEAAAAATIGAAAAATAHAAAAAzE2MAgAAAABMAkAAAABMQoAAAABMAsAAAALMTIyNjkzMTI0MjMMAAAAATENAAAA</t>
  </si>
  <si>
    <t>CTQvMjEvMjAyMhAAAAAJMS8zMS8yMDIxZWT/GvAi2gjdEHcb8CLaCChDSVEuTllTRTpDUk0uSVFfRUJJVERBX0VTVC5GWTIwMjIuLi4uVVNEAQAAACXgAQACAAAACjgyMjguMjEyNTUBDgAAAAUAAAABMwEAAAABMAIAAAAKMTAwMDE0ODk1NQMAAAAGMTAwMTg3BAAAAAEyBgAAAAEwBwAAAAMxNjAIAAAAATAJAAAAATEKAAAAATALAAAACzEyNzY3NTk3OTQ2DAAAAAExDQAAAAk0LzIxLzIwMjIQAAAACTEvMzEvMjAyMmVk/xrwItoI3RB3G/Ai2ggoQ0lRLk5ZU0U6Q1JNLklRX0VCSVREQV9FU1QuRlkyMDIxLi4uLlVTRAEAAAAl4AEAAgAAAAo2MzM3LjIzMjQ1AQ4AAAAFAAAAATMBAAAAATACAAAACjEwMDAxNDg5NTQDAAAABjEwMDE4NwQAAAABMgYAAAABMAcAAAADMTYwCAAAAAEwCQAAAAExCgAAAAEwCwAAAAsxMjI3MzU0Mzg4MAwAAAABMQ0AAAAJNC8yMS8yMDIyEAAAAAkxLzMxLzIwMjFlZP8a8CLaCN0QdxvwItoILUNJUS5YVFJBOlNBUC5JUV9OSV9SRVBPUlRFRF9FU1QuRlkyMDIxLi4uLlVTRAEAAAAL7gEAAgAAABA2MDE2LjcxMDk0MjcwMjUzAQ4AAAAFAAAAATMBAAAAATACAAAACjEwMDAxNTEwNTMDAAAABjEwMDI2NAQAAAABMwYAAAABMAcAAAADMTYwCAAAAAEwCQAAAAExCgAAAAEwCwAAAAsxMjcxNDU2NzE0MAwAAAABMQ0AAAAJNC8yMS8yMDIyEAAAAAoxMi8zMS8yMDIxZWT/GvAi2gjp6XYb</t>
  </si>
  <si>
    <t>8CLaCChDSVEuWFRSQTpTQVAuSVFfRUJJVERBX0VTVC5GWTIwMjIuLi4uVVNEAQAAAAvuAQACAAAAEDEwNjYwLjgwMDk4OTQxMTkBDgAAAAUAAAABMwEAAAABMAIAAAAKMTAwMDE1MTA1NAMAAAAGMTAwMTg3BAAAAAEzBgAAAAEwBwAAAAMxNjAIAAAAATAJAAAAATEKAAAAATALAAAACzEyODI4OTc3NjA2DAAAAAExDQAAAAk0LzIxLzIwMjIQAAAACTQvMjAvMjAyMmVk/xrwItoI6el2G/Ai2ggoQ0lRLlhUUkE6U0FQLklRX0VCSVREQV9FU1QuRlkyMDIxLi4uLlVTRAEAAAAL7gEAAgAAABAxMTE3MC4wNzcyMDE4MjEyAQ4AAAAFAAAAATMBAAAAATACAAAACjEwMDAxNTEwNTMDAAAABjEwMDE4NwQAAAABMwYAAAABMAcAAAADMTYwCAAAAAEwCQAAAAExCgAAAAEwCwAAAAsxMjcxNDU2NzE4MgwAAAABMQ0AAAAJNC8yMS8yMDIyEAAAAAoxMi8zMS8yMDIxZWT/GvAi2gjp6XYb8CLaCClDSVEuWFRSQTpTQVAuSVFfUkVWRU5VRV9FU1QuRlkyMDIyLi4uLlVTRAEAAAAL7gEAAgAAABAzMjE1OS41Mzk4MTU1MDc3AQ4AAAAFAAAAATMBAAAAATACAAAACjEwMDAxNTEwNTQDAAAABjEwMDE4MAQAAAABMwYAAAABMAcAAAADMTYwCAAAAAEwCQAAAAExCgAAAAEwCwAAAAsxMjgyODk3NTU3MwwAAAABMQ0AAAAJNC8yMS8yMDIyEAAAAAk0LzIwLzIwMjJlZP8a8CLaCOnpdhvwItoIK0NJUS5YVFJBOlNBUC5JUV9DQVNIX09Q</t>
  </si>
  <si>
    <t>RVJfRVNULkZZMjAyMi4uLi5VU0QBAAAAC+4BAAIAAAAQNjU4MC4zMzU1MzQ1MDM5NQEOAAAABQAAAAEzAQAAAAEwAgAAAAoxMDAwMTUxMDU0AwAAAAYxMDQwNzYEAAAAATMGAAAAATAHAAAAAzE2MAgAAAABMAkAAAABMQoAAAABMAsAAAALMTI4Mjg3MDM0NTEMAAAAATENAAAACTQvMjEvMjAyMhAAAAAJNC8yMC8yMDIyZWT/GvAi2gjp6XYb8CLaCClDSVEuWFRSQTpTQVAuSVFfUkVWRU5VRV9FU1QuRlkyMDIxLi4uLlVTRAEAAAAL7gEAAgAAAA8zMTQyMi4wMjg4OTgwMDgBDgAAAAUAAAABMwEAAAABMAIAAAAKMTAwMDE1MTA1MwMAAAAGMTAwMTgwBAAAAAEzBgAAAAEwBwAAAAMxNjAIAAAAATAJAAAAATEKAAAAATALAAAACzEyNzE0NTYzMjU5DAAAAAExDQAAAAk0LzIxLzIwMjIQAAAACjEyLzMxLzIwMjFlZP8a8CLaCOnpdhvwItoIK0NJUS5YVFJBOlNBUC5JUV9DQVNIX09QRVJfRVNULkZZMjAyMS4uLi5VU0QBAAAAC+4BAAIAAAAQNzE0Ny4xMjQ2MTMwNzcxNgEOAAAABQAAAAEzAQAAAAEwAgAAAAoxMDAwMTUxMDUzAwAAAAYxMDQwNzYEAAAAATMGAAAAATAHAAAAAzE2MAgAAAABMAkAAAABMQoAAAABMAsAAAALMTI3MTA1Mzg0NzYMAAAAATENAAAACTQvMjEvMjAyMhAAAAAKMTIvMzEvMjAyMWVk/xrwItoINsR2G/Ai2gg3Q0lRLihJTlZBTElEIElERU5USUZJRVIpLklRX0NBU0hfT1BFUl9FU1QuRlky</t>
  </si>
  <si>
    <t>MDIxLi4uLlVTRAUAAAAAAAAACAAAABQoSW52YWxpZCBJZGVudGlmaWVyKWVk/xrwItoIy6J2G/Ai2gg5Q0lRLihJTlZBTElEIElERU5USUZJRVIpLklRX05JX1JFUE9SVEVEX0VTVC5GWTIwMjEuLi4uVVNEBQAAAAAAAAAIAAAAFChJbnZhbGlkIElkZW50aWZpZXIpZWT/GvAi2gg2xHYb8CLaCDRDSVEuKElOVkFMSUQgSURFTlRJRklFUikuSVFfRUJJVERBX0VTVC5GWTIwMjIuLi4uVVNEBQAAAAAAAAAIAAAAFChJbnZhbGlkIElkZW50aWZpZXIpZWT/GvAi2gjLonYb8CLaCDlDSVEuKElOVkFMSUQgSURFTlRJRklFUikuSVFfTklfUkVQT1JURURfRVNULkZZMjAyMi4uLi5VU0QFAAAAAAAAAAgAAAAUKEludmFsaWQgSWRlbnRpZmllcillZP8a8CLaCMuidhvwItoINENJUS4oSU5WQUxJRCBJREVOVElGSUVSKS5JUV9FQklUREFfRVNULkZZMjAyMS4uLi5VU0QFAAAAAAAAAAgAAAAUKEludmFsaWQgSWRlbnRpZmllcillZP8a8CLaCMuidhvwItoINUNJUS4oSU5WQUxJRCBJREVOVElGSUVSKS5JUV9SRVZFTlVFX0VTVC5GWTIwMjIuLi4uVVNEBQAAAAAAAAAIAAAAFChJbnZhbGlkIElkZW50aWZpZXIpZWT/GvAi2gjLonYb8CLaCDdDSVEuKElOVkFMSUQgSURFTlRJRklFUikuSVFfQ0FTSF9PUEVSX0VTVC5GWTIwMjIuLi4uVVNEBQAAAAAAAAAIAAAAFChJbnZhbGlkIElkZW50aWZpZXIpZWT/GvAi2ggQd3Yb</t>
  </si>
  <si>
    <t>8CLaCDVDSVEuKElOVkFMSUQgSURFTlRJRklFUikuSVFfUkVWRU5VRV9FU1QuRlkyMDIxLi4uLlVTRAUAAAAAAAAACAAAABQoSW52YWxpZCBJZGVudGlmaWVyKWVk/xrwItoIEHd2G/Ai2gg=</t>
  </si>
  <si>
    <t>Acquired by Elon Musk</t>
  </si>
  <si>
    <t>Acquired by Broadcom</t>
  </si>
  <si>
    <t>Note: Twitter was taken private by Elon Musk and VMWare was acquired by Broadcom</t>
  </si>
  <si>
    <t>See note below.</t>
  </si>
  <si>
    <t>Comps Data (Capital IQ)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</si>
</sst>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7" formatCode="&quot;$&quot;#,##0.00_);\(&quot;$&quot;#,##0.00\)"/>
    <numFmt numFmtId="164" formatCode="&quot;$&quot;#,##0;\-&quot;$&quot;#,##0"/>
    <numFmt numFmtId="165" formatCode="&quot;$&quot;#,##0.00;\-&quot;$&quot;#,##0.00"/>
    <numFmt numFmtId="166" formatCode="_-* #,##0.00_-;\-* #,##0.00_-;_-* &quot;-&quot;??_-;_-@_-"/>
    <numFmt numFmtId="167" formatCode="0.0\x"/>
    <numFmt numFmtId="168" formatCode="&quot;$&quot;#,##0"/>
    <numFmt numFmtId="169" formatCode="#,##0.0_ ;\-#,##0.0\ "/>
    <numFmt numFmtId="170" formatCode="#,##0.0_)_%;\(#,##0.0\)_%;#,##0.0_)_%;@_)_%"/>
    <numFmt numFmtId="171" formatCode="0.0%"/>
    <numFmt numFmtId="172" formatCode="_-* #,##0.0_-;\-* #,##0.0_-;_-* &quot;-&quot;??_-;_-@_-"/>
    <numFmt numFmtId="173" formatCode="0.0"/>
    <numFmt numFmtId="178" formatCode="#,##0_)\⁽\³\⁾;\(#,##0\)\⁽\³\⁾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rgb="FFFFFFFF"/>
      <name val="Arial Narrow"/>
      <family val="2"/>
    </font>
    <font>
      <i/>
      <sz val="12"/>
      <color theme="0"/>
      <name val="Arial Narrow"/>
      <family val="2"/>
    </font>
    <font>
      <i/>
      <sz val="10"/>
      <color theme="0"/>
      <name val="Arial Narrow"/>
      <family val="2"/>
    </font>
    <font>
      <b/>
      <u val="singleAccounting"/>
      <sz val="11"/>
      <name val="Arial Narrow"/>
      <family val="2"/>
    </font>
    <font>
      <b/>
      <u val="singleAccounting"/>
      <vertAlign val="superscript"/>
      <sz val="1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8"/>
      <name val="Arial Narrow"/>
      <family val="2"/>
    </font>
    <font>
      <sz val="11"/>
      <color rgb="FF0000FF"/>
      <name val="Arial Narrow"/>
      <family val="2"/>
    </font>
    <font>
      <sz val="8"/>
      <color theme="0"/>
      <name val="Arial Narrow"/>
      <family val="2"/>
    </font>
    <font>
      <i/>
      <sz val="11"/>
      <color theme="0"/>
      <name val="Arial Narrow"/>
      <family val="2"/>
    </font>
    <font>
      <b/>
      <sz val="12"/>
      <color theme="0"/>
      <name val="Arial Narrow"/>
      <family val="2"/>
    </font>
    <font>
      <u val="singleAccounting"/>
      <sz val="11"/>
      <name val="Arial Narrow"/>
      <family val="2"/>
    </font>
    <font>
      <i/>
      <sz val="11"/>
      <color theme="1"/>
      <name val="Arial Narrow"/>
      <family val="2"/>
    </font>
    <font>
      <u/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b/>
      <u/>
      <sz val="12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EB6105"/>
      <name val="Arial Narrow"/>
      <family val="2"/>
    </font>
    <font>
      <sz val="11"/>
      <color rgb="FF000000"/>
      <name val="Arial Narrow"/>
      <family val="2"/>
    </font>
    <font>
      <sz val="9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170" fontId="3" fillId="0" borderId="0"/>
    <xf numFmtId="0" fontId="3" fillId="0" borderId="0"/>
    <xf numFmtId="166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112">
    <xf numFmtId="0" fontId="0" fillId="0" borderId="0" xfId="0"/>
    <xf numFmtId="0" fontId="4" fillId="2" borderId="0" xfId="2" applyFont="1" applyFill="1"/>
    <xf numFmtId="0" fontId="4" fillId="0" borderId="0" xfId="2" applyFont="1"/>
    <xf numFmtId="0" fontId="5" fillId="0" borderId="0" xfId="2" applyFont="1" applyProtection="1">
      <protection locked="0"/>
    </xf>
    <xf numFmtId="0" fontId="6" fillId="0" borderId="0" xfId="2" applyFont="1" applyAlignment="1">
      <alignment horizontal="right"/>
    </xf>
    <xf numFmtId="0" fontId="4" fillId="0" borderId="1" xfId="2" applyFont="1" applyBorder="1"/>
    <xf numFmtId="0" fontId="8" fillId="0" borderId="0" xfId="3" applyFont="1"/>
    <xf numFmtId="0" fontId="9" fillId="3" borderId="0" xfId="2" applyFont="1" applyFill="1"/>
    <xf numFmtId="0" fontId="4" fillId="3" borderId="0" xfId="2" applyFont="1" applyFill="1"/>
    <xf numFmtId="0" fontId="4" fillId="4" borderId="0" xfId="2" applyFont="1" applyFill="1"/>
    <xf numFmtId="37" fontId="10" fillId="3" borderId="0" xfId="0" applyNumberFormat="1" applyFont="1" applyFill="1" applyAlignment="1">
      <alignment vertical="top"/>
    </xf>
    <xf numFmtId="0" fontId="7" fillId="0" borderId="0" xfId="0" applyFont="1"/>
    <xf numFmtId="0" fontId="11" fillId="3" borderId="0" xfId="0" applyFont="1" applyFill="1" applyAlignment="1">
      <alignment horizontal="left" vertical="center" readingOrder="1"/>
    </xf>
    <xf numFmtId="37" fontId="12" fillId="3" borderId="0" xfId="0" applyNumberFormat="1" applyFont="1" applyFill="1" applyAlignment="1">
      <alignment vertical="top"/>
    </xf>
    <xf numFmtId="37" fontId="13" fillId="3" borderId="0" xfId="0" applyNumberFormat="1" applyFont="1" applyFill="1" applyAlignment="1">
      <alignment vertical="top"/>
    </xf>
    <xf numFmtId="0" fontId="4" fillId="0" borderId="0" xfId="0" applyFont="1"/>
    <xf numFmtId="0" fontId="6" fillId="0" borderId="0" xfId="0" applyFont="1"/>
    <xf numFmtId="0" fontId="6" fillId="0" borderId="0" xfId="2" applyFont="1"/>
    <xf numFmtId="0" fontId="14" fillId="0" borderId="0" xfId="4" applyFont="1" applyAlignment="1">
      <alignment horizontal="centerContinuous"/>
    </xf>
    <xf numFmtId="0" fontId="14" fillId="0" borderId="0" xfId="4" applyFont="1" applyAlignment="1">
      <alignment horizontal="left"/>
    </xf>
    <xf numFmtId="0" fontId="14" fillId="0" borderId="0" xfId="4" applyFont="1" applyAlignment="1">
      <alignment horizontal="center"/>
    </xf>
    <xf numFmtId="0" fontId="16" fillId="0" borderId="0" xfId="2" applyFont="1"/>
    <xf numFmtId="0" fontId="16" fillId="0" borderId="0" xfId="2" applyFont="1" applyAlignment="1">
      <alignment vertical="center"/>
    </xf>
    <xf numFmtId="7" fontId="16" fillId="0" borderId="0" xfId="2" applyNumberFormat="1" applyFont="1" applyAlignment="1">
      <alignment vertical="center"/>
    </xf>
    <xf numFmtId="37" fontId="16" fillId="0" borderId="0" xfId="2" applyNumberFormat="1" applyFont="1" applyAlignment="1">
      <alignment vertical="center"/>
    </xf>
    <xf numFmtId="5" fontId="16" fillId="0" borderId="0" xfId="2" applyNumberFormat="1" applyFont="1" applyAlignment="1">
      <alignment vertical="center"/>
    </xf>
    <xf numFmtId="167" fontId="16" fillId="0" borderId="0" xfId="2" applyNumberFormat="1" applyFont="1" applyAlignment="1">
      <alignment vertical="center"/>
    </xf>
    <xf numFmtId="0" fontId="4" fillId="0" borderId="0" xfId="2" applyFont="1" applyAlignment="1">
      <alignment vertical="center"/>
    </xf>
    <xf numFmtId="7" fontId="4" fillId="0" borderId="0" xfId="2" applyNumberFormat="1" applyFont="1"/>
    <xf numFmtId="37" fontId="22" fillId="0" borderId="0" xfId="2" applyNumberFormat="1" applyFont="1" applyAlignment="1">
      <alignment vertical="center"/>
    </xf>
    <xf numFmtId="5" fontId="4" fillId="0" borderId="0" xfId="2" applyNumberFormat="1" applyFont="1" applyAlignment="1">
      <alignment vertical="center"/>
    </xf>
    <xf numFmtId="5" fontId="22" fillId="0" borderId="0" xfId="2" applyNumberFormat="1" applyFont="1" applyAlignment="1">
      <alignment vertical="center"/>
    </xf>
    <xf numFmtId="167" fontId="4" fillId="0" borderId="0" xfId="2" applyNumberFormat="1" applyFont="1" applyAlignment="1">
      <alignment vertical="center"/>
    </xf>
    <xf numFmtId="7" fontId="16" fillId="0" borderId="0" xfId="2" applyNumberFormat="1" applyFont="1"/>
    <xf numFmtId="5" fontId="16" fillId="0" borderId="0" xfId="2" applyNumberFormat="1" applyFont="1"/>
    <xf numFmtId="37" fontId="23" fillId="3" borderId="0" xfId="0" applyNumberFormat="1" applyFont="1" applyFill="1" applyAlignment="1">
      <alignment vertical="top"/>
    </xf>
    <xf numFmtId="37" fontId="24" fillId="3" borderId="0" xfId="0" applyNumberFormat="1" applyFont="1" applyFill="1" applyAlignment="1">
      <alignment vertical="top"/>
    </xf>
    <xf numFmtId="37" fontId="25" fillId="3" borderId="0" xfId="0" applyNumberFormat="1" applyFont="1" applyFill="1" applyAlignment="1">
      <alignment vertical="top"/>
    </xf>
    <xf numFmtId="0" fontId="4" fillId="5" borderId="0" xfId="0" applyFont="1" applyFill="1"/>
    <xf numFmtId="0" fontId="26" fillId="0" borderId="0" xfId="4" applyFont="1" applyAlignment="1">
      <alignment horizontal="left"/>
    </xf>
    <xf numFmtId="0" fontId="28" fillId="0" borderId="0" xfId="0" applyFont="1"/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5" borderId="2" xfId="0" applyFont="1" applyFill="1" applyBorder="1"/>
    <xf numFmtId="0" fontId="6" fillId="6" borderId="0" xfId="0" applyFont="1" applyFill="1"/>
    <xf numFmtId="0" fontId="4" fillId="6" borderId="0" xfId="0" applyFont="1" applyFill="1"/>
    <xf numFmtId="169" fontId="4" fillId="0" borderId="0" xfId="0" applyNumberFormat="1" applyFont="1" applyAlignment="1">
      <alignment horizontal="right"/>
    </xf>
    <xf numFmtId="0" fontId="4" fillId="5" borderId="0" xfId="0" applyFont="1" applyFill="1" applyAlignment="1">
      <alignment horizontal="right"/>
    </xf>
    <xf numFmtId="165" fontId="4" fillId="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169" fontId="4" fillId="5" borderId="0" xfId="0" applyNumberFormat="1" applyFont="1" applyFill="1" applyAlignment="1">
      <alignment horizontal="right"/>
    </xf>
    <xf numFmtId="169" fontId="4" fillId="0" borderId="2" xfId="0" applyNumberFormat="1" applyFont="1" applyBorder="1" applyAlignment="1">
      <alignment horizontal="right"/>
    </xf>
    <xf numFmtId="164" fontId="4" fillId="5" borderId="0" xfId="0" applyNumberFormat="1" applyFont="1" applyFill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167" fontId="4" fillId="0" borderId="0" xfId="0" applyNumberFormat="1" applyFont="1" applyAlignment="1">
      <alignment horizontal="right"/>
    </xf>
    <xf numFmtId="171" fontId="4" fillId="0" borderId="0" xfId="1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168" fontId="4" fillId="0" borderId="2" xfId="0" applyNumberFormat="1" applyFont="1" applyBorder="1" applyAlignment="1">
      <alignment horizontal="right"/>
    </xf>
    <xf numFmtId="169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9" fontId="4" fillId="5" borderId="2" xfId="0" applyNumberFormat="1" applyFont="1" applyFill="1" applyBorder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164" fontId="4" fillId="5" borderId="2" xfId="0" applyNumberFormat="1" applyFont="1" applyFill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19" fillId="0" borderId="0" xfId="2" applyFont="1" applyAlignment="1">
      <alignment horizontal="center"/>
    </xf>
    <xf numFmtId="0" fontId="20" fillId="0" borderId="0" xfId="2" applyFont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167" fontId="16" fillId="0" borderId="0" xfId="2" applyNumberFormat="1" applyFont="1" applyAlignment="1">
      <alignment horizontal="right" vertical="center"/>
    </xf>
    <xf numFmtId="171" fontId="16" fillId="0" borderId="0" xfId="1" applyNumberFormat="1" applyFont="1" applyAlignment="1">
      <alignment horizontal="right"/>
    </xf>
    <xf numFmtId="0" fontId="4" fillId="0" borderId="0" xfId="0" applyFont="1" applyAlignment="1">
      <alignment vertical="center"/>
    </xf>
    <xf numFmtId="0" fontId="26" fillId="0" borderId="0" xfId="4" applyFont="1" applyAlignment="1">
      <alignment horizontal="left" vertical="center"/>
    </xf>
    <xf numFmtId="0" fontId="4" fillId="0" borderId="2" xfId="0" applyFont="1" applyBorder="1" applyAlignment="1">
      <alignment vertical="center"/>
    </xf>
    <xf numFmtId="172" fontId="4" fillId="0" borderId="0" xfId="7" applyNumberFormat="1" applyFont="1" applyAlignment="1">
      <alignment horizontal="right" vertical="center"/>
    </xf>
    <xf numFmtId="172" fontId="4" fillId="0" borderId="2" xfId="7" applyNumberFormat="1" applyFont="1" applyBorder="1" applyAlignment="1">
      <alignment horizontal="right" vertical="center"/>
    </xf>
    <xf numFmtId="0" fontId="14" fillId="0" borderId="0" xfId="4" applyFont="1" applyAlignment="1">
      <alignment horizontal="center" vertical="center"/>
    </xf>
    <xf numFmtId="172" fontId="6" fillId="0" borderId="0" xfId="7" applyNumberFormat="1" applyFont="1" applyBorder="1" applyAlignment="1">
      <alignment horizontal="right"/>
    </xf>
    <xf numFmtId="169" fontId="4" fillId="0" borderId="0" xfId="0" applyNumberFormat="1" applyFont="1" applyAlignment="1">
      <alignment horizontal="right" vertical="center"/>
    </xf>
    <xf numFmtId="164" fontId="6" fillId="5" borderId="0" xfId="0" applyNumberFormat="1" applyFont="1" applyFill="1" applyAlignment="1">
      <alignment horizontal="right"/>
    </xf>
    <xf numFmtId="14" fontId="4" fillId="5" borderId="0" xfId="0" applyNumberFormat="1" applyFont="1" applyFill="1" applyAlignment="1">
      <alignment horizontal="right"/>
    </xf>
    <xf numFmtId="169" fontId="4" fillId="5" borderId="0" xfId="0" applyNumberFormat="1" applyFont="1" applyFill="1" applyAlignment="1">
      <alignment horizontal="right" vertical="center"/>
    </xf>
    <xf numFmtId="10" fontId="4" fillId="0" borderId="0" xfId="1" applyNumberFormat="1" applyFont="1"/>
    <xf numFmtId="0" fontId="16" fillId="0" borderId="0" xfId="2" applyFont="1" applyAlignment="1">
      <alignment horizontal="center"/>
    </xf>
    <xf numFmtId="0" fontId="16" fillId="0" borderId="0" xfId="2" applyFont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7" fillId="0" borderId="0" xfId="2" applyFont="1" applyAlignment="1">
      <alignment horizontal="centerContinuous" vertical="center"/>
    </xf>
    <xf numFmtId="0" fontId="20" fillId="0" borderId="0" xfId="2" quotePrefix="1" applyFont="1" applyAlignment="1">
      <alignment horizontal="center" vertical="center"/>
    </xf>
    <xf numFmtId="37" fontId="17" fillId="5" borderId="0" xfId="2" applyNumberFormat="1" applyFont="1" applyFill="1" applyAlignment="1">
      <alignment vertical="center"/>
    </xf>
    <xf numFmtId="5" fontId="17" fillId="5" borderId="0" xfId="2" applyNumberFormat="1" applyFont="1" applyFill="1" applyAlignment="1">
      <alignment vertical="center"/>
    </xf>
    <xf numFmtId="7" fontId="17" fillId="5" borderId="0" xfId="2" applyNumberFormat="1" applyFont="1" applyFill="1" applyAlignment="1">
      <alignment vertical="center"/>
    </xf>
    <xf numFmtId="0" fontId="17" fillId="5" borderId="0" xfId="2" applyFont="1" applyFill="1" applyAlignment="1">
      <alignment vertical="center"/>
    </xf>
    <xf numFmtId="167" fontId="17" fillId="5" borderId="0" xfId="2" applyNumberFormat="1" applyFont="1" applyFill="1" applyAlignment="1">
      <alignment vertical="center"/>
    </xf>
    <xf numFmtId="167" fontId="17" fillId="5" borderId="0" xfId="2" applyNumberFormat="1" applyFont="1" applyFill="1" applyAlignment="1">
      <alignment horizontal="right" vertical="center"/>
    </xf>
    <xf numFmtId="171" fontId="17" fillId="5" borderId="0" xfId="1" applyNumberFormat="1" applyFont="1" applyFill="1" applyAlignment="1">
      <alignment horizontal="right"/>
    </xf>
    <xf numFmtId="173" fontId="4" fillId="0" borderId="0" xfId="2" applyNumberFormat="1" applyFont="1"/>
    <xf numFmtId="14" fontId="7" fillId="0" borderId="0" xfId="0" applyNumberFormat="1" applyFont="1"/>
    <xf numFmtId="171" fontId="16" fillId="0" borderId="0" xfId="1" applyNumberFormat="1" applyFont="1" applyBorder="1" applyAlignment="1">
      <alignment horizontal="right"/>
    </xf>
    <xf numFmtId="0" fontId="6" fillId="4" borderId="0" xfId="2" applyFont="1" applyFill="1" applyAlignment="1">
      <alignment vertical="center"/>
    </xf>
    <xf numFmtId="167" fontId="6" fillId="4" borderId="0" xfId="2" applyNumberFormat="1" applyFont="1" applyFill="1" applyAlignment="1">
      <alignment vertical="center"/>
    </xf>
    <xf numFmtId="171" fontId="6" fillId="4" borderId="0" xfId="1" applyNumberFormat="1" applyFont="1" applyFill="1" applyBorder="1" applyAlignment="1">
      <alignment vertical="center"/>
    </xf>
    <xf numFmtId="0" fontId="29" fillId="0" borderId="0" xfId="8" quotePrefix="1" applyFill="1" applyProtection="1">
      <protection locked="0"/>
    </xf>
    <xf numFmtId="0" fontId="30" fillId="0" borderId="0" xfId="8" quotePrefix="1" applyFont="1" applyFill="1" applyProtection="1">
      <protection locked="0"/>
    </xf>
    <xf numFmtId="0" fontId="31" fillId="0" borderId="0" xfId="8" quotePrefix="1" applyFont="1" applyFill="1" applyProtection="1">
      <protection locked="0"/>
    </xf>
    <xf numFmtId="0" fontId="32" fillId="0" borderId="0" xfId="0" applyFont="1"/>
    <xf numFmtId="0" fontId="27" fillId="0" borderId="0" xfId="2" applyFont="1"/>
    <xf numFmtId="178" fontId="33" fillId="0" borderId="0" xfId="2" applyNumberFormat="1" applyFont="1" applyFill="1" applyBorder="1" applyAlignment="1">
      <alignment vertical="center"/>
    </xf>
    <xf numFmtId="7" fontId="33" fillId="0" borderId="0" xfId="2" applyNumberFormat="1" applyFont="1" applyFill="1" applyBorder="1" applyAlignment="1">
      <alignment vertical="center"/>
    </xf>
    <xf numFmtId="37" fontId="33" fillId="0" borderId="0" xfId="2" applyNumberFormat="1" applyFont="1" applyFill="1" applyBorder="1" applyAlignment="1">
      <alignment vertical="center"/>
    </xf>
    <xf numFmtId="5" fontId="33" fillId="0" borderId="0" xfId="2" applyNumberFormat="1" applyFont="1" applyFill="1" applyBorder="1" applyAlignment="1">
      <alignment vertical="center"/>
    </xf>
    <xf numFmtId="0" fontId="34" fillId="0" borderId="0" xfId="2" applyFont="1"/>
  </cellXfs>
  <cellStyles count="9">
    <cellStyle name="=C:\WINNT\SYSTEM32\COMMAND.COM 2" xfId="6" xr:uid="{17513744-6964-4139-9C1D-FFBE53C9FC48}"/>
    <cellStyle name="Comma" xfId="7" builtinId="3"/>
    <cellStyle name="Hyperlink" xfId="8" builtinId="8"/>
    <cellStyle name="Hyperlink 2 2" xfId="3" xr:uid="{D41391FD-38C6-4CED-8615-B36C7A15082E}"/>
    <cellStyle name="Normal" xfId="0" builtinId="0"/>
    <cellStyle name="Normal 2 2 2" xfId="2" xr:uid="{A79F478B-C262-45F9-A6CF-4A76329AC37A}"/>
    <cellStyle name="Normal_Master Junior Database v2" xfId="4" xr:uid="{C07A771D-9E73-4959-8A12-069E112B0CDB}"/>
    <cellStyle name="Number 2" xfId="5" xr:uid="{8ED61268-C0E5-4926-817F-2630F06D617C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251C8-72D1-4C64-8F7A-5FC6C8102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B403-E7BE-4597-A27E-47AEAABDCE7D}">
  <dimension ref="A1:BZ1"/>
  <sheetViews>
    <sheetView workbookViewId="0"/>
  </sheetViews>
  <sheetFormatPr defaultRowHeight="14.4" x14ac:dyDescent="0.55000000000000004"/>
  <sheetData>
    <row r="1" spans="1:78" x14ac:dyDescent="0.55000000000000004">
      <c r="A1">
        <v>78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  <c r="U1" t="s">
        <v>194</v>
      </c>
      <c r="V1" t="s">
        <v>195</v>
      </c>
      <c r="W1" t="s">
        <v>196</v>
      </c>
      <c r="X1" t="s">
        <v>197</v>
      </c>
      <c r="Y1" t="s">
        <v>198</v>
      </c>
      <c r="Z1" t="s">
        <v>199</v>
      </c>
      <c r="AA1" t="s">
        <v>200</v>
      </c>
      <c r="AB1" t="s">
        <v>201</v>
      </c>
      <c r="AC1" t="s">
        <v>202</v>
      </c>
      <c r="AD1" t="s">
        <v>203</v>
      </c>
      <c r="AE1" t="s">
        <v>204</v>
      </c>
      <c r="AF1" t="s">
        <v>205</v>
      </c>
      <c r="AG1" t="s">
        <v>206</v>
      </c>
      <c r="AH1" t="s">
        <v>207</v>
      </c>
      <c r="AI1" t="s">
        <v>208</v>
      </c>
      <c r="AJ1" t="s">
        <v>209</v>
      </c>
      <c r="AK1" t="s">
        <v>210</v>
      </c>
      <c r="AL1" t="s">
        <v>211</v>
      </c>
      <c r="AM1" t="s">
        <v>212</v>
      </c>
      <c r="AN1" t="s">
        <v>213</v>
      </c>
      <c r="AO1" t="s">
        <v>214</v>
      </c>
      <c r="AP1" t="s">
        <v>215</v>
      </c>
      <c r="AQ1" t="s">
        <v>216</v>
      </c>
      <c r="AR1" t="s">
        <v>217</v>
      </c>
      <c r="AS1" t="s">
        <v>218</v>
      </c>
      <c r="AT1" t="s">
        <v>219</v>
      </c>
      <c r="AU1" t="s">
        <v>220</v>
      </c>
      <c r="AV1" t="s">
        <v>221</v>
      </c>
      <c r="AW1" t="s">
        <v>222</v>
      </c>
      <c r="AX1" t="s">
        <v>223</v>
      </c>
      <c r="AY1" t="s">
        <v>224</v>
      </c>
      <c r="AZ1" t="s">
        <v>225</v>
      </c>
      <c r="BA1" t="s">
        <v>226</v>
      </c>
      <c r="BB1" t="s">
        <v>227</v>
      </c>
      <c r="BC1" t="s">
        <v>228</v>
      </c>
      <c r="BD1" t="s">
        <v>229</v>
      </c>
      <c r="BE1" t="s">
        <v>230</v>
      </c>
      <c r="BF1" t="s">
        <v>231</v>
      </c>
      <c r="BG1" t="s">
        <v>232</v>
      </c>
      <c r="BH1" t="s">
        <v>233</v>
      </c>
      <c r="BI1" t="s">
        <v>234</v>
      </c>
      <c r="BJ1" t="s">
        <v>235</v>
      </c>
      <c r="BK1" t="s">
        <v>236</v>
      </c>
      <c r="BL1" t="s">
        <v>237</v>
      </c>
      <c r="BM1" t="s">
        <v>238</v>
      </c>
      <c r="BN1" t="s">
        <v>239</v>
      </c>
      <c r="BO1" t="s">
        <v>240</v>
      </c>
      <c r="BP1" t="s">
        <v>241</v>
      </c>
      <c r="BQ1" t="s">
        <v>242</v>
      </c>
      <c r="BR1" t="s">
        <v>243</v>
      </c>
      <c r="BS1" t="s">
        <v>244</v>
      </c>
      <c r="BT1" t="s">
        <v>245</v>
      </c>
      <c r="BU1" t="s">
        <v>246</v>
      </c>
      <c r="BV1" t="s">
        <v>247</v>
      </c>
      <c r="BW1" t="s">
        <v>248</v>
      </c>
      <c r="BX1" t="s">
        <v>249</v>
      </c>
      <c r="BY1" t="s">
        <v>250</v>
      </c>
      <c r="BZ1" t="s">
        <v>251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76BF-4593-430B-BD6B-92A1C19E131F}">
  <dimension ref="A1:Z79"/>
  <sheetViews>
    <sheetView showGridLines="0" zoomScaleNormal="100" workbookViewId="0"/>
  </sheetViews>
  <sheetFormatPr defaultColWidth="11.68359375" defaultRowHeight="14.1" x14ac:dyDescent="0.5"/>
  <cols>
    <col min="1" max="1" width="5.68359375" style="15" customWidth="1"/>
    <col min="2" max="2" width="50.68359375" style="15" customWidth="1"/>
    <col min="3" max="6" width="15.68359375" style="15" customWidth="1"/>
    <col min="7" max="7" width="50.68359375" style="15" customWidth="1"/>
    <col min="8" max="9" width="15.68359375" style="15" customWidth="1"/>
    <col min="10" max="16384" width="11.68359375" style="15"/>
  </cols>
  <sheetData>
    <row r="1" spans="1:9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</row>
    <row r="2" spans="1:9" s="2" customFormat="1" ht="17.399999999999999" x14ac:dyDescent="0.5">
      <c r="A2" s="12" t="str">
        <f>_xll.ciqfunctions.udf.CIQ($E$10, "IQ_COMPANY_NAME")</f>
        <v>Target Corporation</v>
      </c>
      <c r="B2" s="12"/>
      <c r="C2" s="12"/>
      <c r="D2" s="12"/>
      <c r="E2" s="12"/>
      <c r="F2" s="12"/>
      <c r="G2" s="12"/>
      <c r="H2" s="12"/>
      <c r="I2" s="12"/>
    </row>
    <row r="3" spans="1:9" s="11" customFormat="1" ht="15" x14ac:dyDescent="0.5">
      <c r="A3" s="36" t="s">
        <v>102</v>
      </c>
      <c r="B3" s="14"/>
      <c r="C3" s="14"/>
      <c r="D3" s="14"/>
      <c r="E3" s="13"/>
      <c r="F3" s="13"/>
      <c r="G3" s="13"/>
      <c r="H3" s="13"/>
      <c r="I3" s="13"/>
    </row>
    <row r="4" spans="1:9" x14ac:dyDescent="0.5">
      <c r="B4" s="15" t="str">
        <f>'Comps Data (Capital IQ))'!$AG$2</f>
        <v>Currency</v>
      </c>
      <c r="C4" s="15" t="str">
        <f>'Comps Data (Capital IQ))'!$AH$2</f>
        <v>USD</v>
      </c>
    </row>
    <row r="6" spans="1:9" ht="15" x14ac:dyDescent="0.5">
      <c r="B6" s="37" t="str">
        <f>_xll.ciqfunctions.udf.CIQ($E$10, "IQ_COMPANY_NAME")</f>
        <v>Target Corporation</v>
      </c>
      <c r="C6" s="13"/>
      <c r="D6" s="13"/>
      <c r="E6" s="13"/>
      <c r="F6" s="13"/>
      <c r="G6" s="13"/>
      <c r="H6" s="13"/>
      <c r="I6" s="13"/>
    </row>
    <row r="8" spans="1:9" x14ac:dyDescent="0.5">
      <c r="B8" s="44" t="s">
        <v>24</v>
      </c>
      <c r="C8" s="44"/>
      <c r="D8" s="44"/>
      <c r="E8" s="44"/>
      <c r="G8" s="44" t="s">
        <v>43</v>
      </c>
      <c r="H8" s="45"/>
      <c r="I8" s="45"/>
    </row>
    <row r="9" spans="1:9" ht="5.25" customHeight="1" x14ac:dyDescent="0.5"/>
    <row r="10" spans="1:9" ht="16.8" x14ac:dyDescent="0.95">
      <c r="B10" s="15" t="s">
        <v>35</v>
      </c>
      <c r="E10" s="47" t="str">
        <f>_xll.ciqfunctions.udf.CIQ("NYSE:TGT", "IQ_COMPANY_TICKER")</f>
        <v>NYSE:TGT</v>
      </c>
      <c r="G10" s="39" t="s">
        <v>41</v>
      </c>
      <c r="H10" s="20" t="s">
        <v>26</v>
      </c>
      <c r="I10" s="20" t="s">
        <v>27</v>
      </c>
    </row>
    <row r="11" spans="1:9" x14ac:dyDescent="0.5">
      <c r="B11" s="15" t="s">
        <v>71</v>
      </c>
      <c r="E11" s="48">
        <f>_xll.ciqfunctions.udf.CIQ(E10, "IQ_LASTSALEPRICE", E12,$C$4)</f>
        <v>187.55</v>
      </c>
      <c r="G11" s="15" t="s">
        <v>25</v>
      </c>
      <c r="H11" s="52">
        <f>_xll.ciqfunctions.udf.CIQ($E$10, "IQ_REVENUE_EST", "FY2021",,,,$C$4)</f>
        <v>92600.040420000005</v>
      </c>
      <c r="I11" s="52">
        <f>_xll.ciqfunctions.udf.CIQ($E$10, "IQ_REVENUE_EST", "FY2022",,,,$C$4)</f>
        <v>106336.68332</v>
      </c>
    </row>
    <row r="12" spans="1:9" x14ac:dyDescent="0.5">
      <c r="B12" s="15" t="s">
        <v>36</v>
      </c>
      <c r="E12" s="81">
        <f>'Comps Data (Capital IQ))'!$AH$3</f>
        <v>44275</v>
      </c>
      <c r="G12" s="15" t="s">
        <v>11</v>
      </c>
      <c r="H12" s="52">
        <f>_xll.ciqfunctions.udf.CIQ($E$10, "IQ_EBITDA_EST", "FY2021",,,,$C$4)</f>
        <v>8872.8074300000007</v>
      </c>
      <c r="I12" s="52">
        <f>_xll.ciqfunctions.udf.CIQ($E$10, "IQ_EBITDA_EST", "FY2022",,,,$C$4)</f>
        <v>11294.03363</v>
      </c>
    </row>
    <row r="13" spans="1:9" x14ac:dyDescent="0.5">
      <c r="E13" s="49"/>
      <c r="G13" s="15" t="s">
        <v>12</v>
      </c>
      <c r="H13" s="52">
        <f>_xll.ciqfunctions.udf.CIQ($E$10, "IQ_NI_REPORTED_EST", "FY2021",,,,$C$4)</f>
        <v>4417.3888900000002</v>
      </c>
      <c r="I13" s="52">
        <f>_xll.ciqfunctions.udf.CIQ($E$10, "IQ_NI_REPORTED_EST", "FY2022",,,,$C$4)</f>
        <v>6692.8571400000001</v>
      </c>
    </row>
    <row r="14" spans="1:9" x14ac:dyDescent="0.5">
      <c r="B14" s="40" t="s">
        <v>37</v>
      </c>
      <c r="E14" s="49"/>
      <c r="G14" s="15" t="s">
        <v>28</v>
      </c>
      <c r="H14" s="52">
        <f>_xll.ciqfunctions.udf.CIQ($E$10, "IQ_CASH_OPER_EST", "FY2021",,,,$C$4)</f>
        <v>7645.15</v>
      </c>
      <c r="I14" s="52">
        <f>_xll.ciqfunctions.udf.CIQ($E$10, "IQ_CASH_OPER_EST", "FY2022",,,,$C$4)</f>
        <v>8391.1749999999993</v>
      </c>
    </row>
    <row r="15" spans="1:9" x14ac:dyDescent="0.5">
      <c r="B15" s="15" t="s">
        <v>72</v>
      </c>
      <c r="E15" s="82">
        <f>_xll.ciqfunctions.udf.CIQ(E10, "IQ_TOTAL_OUTSTANDING_BS_DATE", , E12)</f>
        <v>500.87713000000002</v>
      </c>
      <c r="H15" s="49"/>
      <c r="I15" s="49"/>
    </row>
    <row r="16" spans="1:9" ht="16.5" customHeight="1" x14ac:dyDescent="0.5">
      <c r="B16" s="72" t="s">
        <v>82</v>
      </c>
      <c r="C16" s="72"/>
      <c r="D16" s="72"/>
      <c r="E16" s="75">
        <f>+E64</f>
        <v>7.891</v>
      </c>
      <c r="H16" s="49"/>
      <c r="I16" s="49"/>
    </row>
    <row r="17" spans="2:9" ht="16.5" customHeight="1" x14ac:dyDescent="0.5">
      <c r="B17" s="72" t="s">
        <v>73</v>
      </c>
      <c r="C17" s="72"/>
      <c r="D17" s="72"/>
      <c r="E17" s="75">
        <f>+F51</f>
        <v>1.7418007997867238</v>
      </c>
      <c r="G17" s="73" t="s">
        <v>42</v>
      </c>
      <c r="H17" s="77" t="s">
        <v>26</v>
      </c>
      <c r="I17" s="77" t="s">
        <v>27</v>
      </c>
    </row>
    <row r="18" spans="2:9" ht="16.5" customHeight="1" x14ac:dyDescent="0.5">
      <c r="B18" s="74" t="s">
        <v>74</v>
      </c>
      <c r="C18" s="74"/>
      <c r="D18" s="74"/>
      <c r="E18" s="76">
        <f>+E76</f>
        <v>0</v>
      </c>
      <c r="G18" s="15" t="s">
        <v>25</v>
      </c>
      <c r="H18" s="55">
        <f>IFERROR($E$32/H11,"-")</f>
        <v>1.105227784537721</v>
      </c>
      <c r="I18" s="55">
        <f>IFERROR($E$32/I11,"-")</f>
        <v>0.9624537302288696</v>
      </c>
    </row>
    <row r="19" spans="2:9" x14ac:dyDescent="0.5">
      <c r="B19" s="72" t="s">
        <v>81</v>
      </c>
      <c r="E19" s="79">
        <f>SUM(E15:E18)</f>
        <v>510.50993079978679</v>
      </c>
      <c r="G19" s="15" t="s">
        <v>11</v>
      </c>
      <c r="H19" s="55">
        <f>IFERROR($E$32/H12,"-")</f>
        <v>11.534583425699346</v>
      </c>
      <c r="I19" s="55">
        <f>IFERROR($E$32/I12,"-")</f>
        <v>9.0617879204508807</v>
      </c>
    </row>
    <row r="20" spans="2:9" x14ac:dyDescent="0.5">
      <c r="E20" s="49"/>
      <c r="G20" s="15" t="s">
        <v>12</v>
      </c>
      <c r="H20" s="55">
        <f>IFERROR($E$21/H13,"-")</f>
        <v>21.674826442889888</v>
      </c>
      <c r="I20" s="55">
        <f>IFERROR($E$21/I13,"-")</f>
        <v>14.305719593097427</v>
      </c>
    </row>
    <row r="21" spans="2:9" x14ac:dyDescent="0.5">
      <c r="B21" s="16" t="s">
        <v>38</v>
      </c>
      <c r="C21" s="16"/>
      <c r="D21" s="16"/>
      <c r="E21" s="64">
        <f>+E11*E19</f>
        <v>95746.137521500015</v>
      </c>
      <c r="G21" s="15" t="s">
        <v>28</v>
      </c>
      <c r="H21" s="55">
        <f>IFERROR($E$21/H14,"-")</f>
        <v>12.523774879694972</v>
      </c>
      <c r="I21" s="55">
        <f>IFERROR($E$21/I14,"-")</f>
        <v>11.410337351026527</v>
      </c>
    </row>
    <row r="22" spans="2:9" x14ac:dyDescent="0.5">
      <c r="E22" s="49"/>
      <c r="H22" s="49"/>
      <c r="I22" s="49"/>
    </row>
    <row r="23" spans="2:9" x14ac:dyDescent="0.5">
      <c r="B23" s="15" t="s">
        <v>76</v>
      </c>
      <c r="E23" s="52">
        <f>_xll.ciqfunctions.udf.CIQ(E10, "IQ_CASH_EQUIV", , E12, , , $C$4)</f>
        <v>8511</v>
      </c>
      <c r="G23" s="15" t="s">
        <v>45</v>
      </c>
      <c r="H23" s="49"/>
      <c r="I23" s="55">
        <f>IFERROR(E29/E34,"-")</f>
        <v>1.0463296398891966</v>
      </c>
    </row>
    <row r="24" spans="2:9" x14ac:dyDescent="0.5">
      <c r="E24" s="49"/>
      <c r="G24" s="15" t="s">
        <v>77</v>
      </c>
      <c r="H24" s="49"/>
      <c r="I24" s="56">
        <f>IFERROR(E29/(E29+E34),"-")</f>
        <v>0.51132018003993362</v>
      </c>
    </row>
    <row r="25" spans="2:9" x14ac:dyDescent="0.5">
      <c r="B25" s="15" t="s">
        <v>86</v>
      </c>
      <c r="E25" s="80">
        <f>_xll.ciqfunctions.udf.CIQ(E10, "IQ_TOTAL_DEBT", , E12, , , $C$4)</f>
        <v>15109</v>
      </c>
      <c r="G25" s="15" t="s">
        <v>78</v>
      </c>
      <c r="I25" s="56">
        <f>IFERROR(E29/(E29+E21),"-")</f>
        <v>0.13629499126343744</v>
      </c>
    </row>
    <row r="26" spans="2:9" x14ac:dyDescent="0.5">
      <c r="B26" s="15" t="s">
        <v>89</v>
      </c>
      <c r="E26" s="80">
        <f>_xll.ciqfunctions.udf.CIQ(E10, "IQ_CONVERT", , E12, , , $C$4)</f>
        <v>0</v>
      </c>
      <c r="I26" s="56"/>
    </row>
    <row r="27" spans="2:9" x14ac:dyDescent="0.5">
      <c r="B27" s="15" t="s">
        <v>88</v>
      </c>
      <c r="E27" s="65">
        <f>+E25-E26</f>
        <v>15109</v>
      </c>
    </row>
    <row r="28" spans="2:9" x14ac:dyDescent="0.5">
      <c r="B28" s="41" t="s">
        <v>90</v>
      </c>
      <c r="C28" s="41"/>
      <c r="D28" s="41"/>
      <c r="E28" s="53">
        <f>+E79</f>
        <v>0</v>
      </c>
    </row>
    <row r="29" spans="2:9" x14ac:dyDescent="0.5">
      <c r="B29" s="16" t="s">
        <v>87</v>
      </c>
      <c r="C29" s="16"/>
      <c r="D29" s="16"/>
      <c r="E29" s="64">
        <f>+E27+E28</f>
        <v>15109</v>
      </c>
    </row>
    <row r="30" spans="2:9" x14ac:dyDescent="0.5">
      <c r="B30" s="16"/>
      <c r="C30" s="16"/>
      <c r="D30" s="16"/>
      <c r="E30" s="54"/>
    </row>
    <row r="31" spans="2:9" x14ac:dyDescent="0.5">
      <c r="B31" s="15" t="s">
        <v>10</v>
      </c>
      <c r="E31" s="65">
        <f>+E29-E23</f>
        <v>6598</v>
      </c>
    </row>
    <row r="32" spans="2:9" x14ac:dyDescent="0.5">
      <c r="B32" s="16" t="s">
        <v>40</v>
      </c>
      <c r="C32" s="16"/>
      <c r="D32" s="16"/>
      <c r="E32" s="64">
        <f>+E21+E31</f>
        <v>102344.13752150002</v>
      </c>
    </row>
    <row r="33" spans="2:26" x14ac:dyDescent="0.5">
      <c r="E33" s="49"/>
    </row>
    <row r="34" spans="2:26" x14ac:dyDescent="0.5">
      <c r="B34" s="15" t="s">
        <v>44</v>
      </c>
      <c r="E34" s="52">
        <f>_xll.ciqfunctions.udf.CIQ(E10, "IQ_TOTAL_EQUITY", , E12, , , $C$4)</f>
        <v>14440</v>
      </c>
    </row>
    <row r="36" spans="2:26" x14ac:dyDescent="0.5">
      <c r="B36" s="44" t="s">
        <v>46</v>
      </c>
      <c r="C36" s="44"/>
      <c r="D36" s="44"/>
      <c r="E36" s="44"/>
      <c r="F36" s="44"/>
    </row>
    <row r="37" spans="2:26" ht="5.25" customHeight="1" x14ac:dyDescent="0.5"/>
    <row r="38" spans="2:26" x14ac:dyDescent="0.5">
      <c r="B38" s="42"/>
      <c r="C38" s="42" t="s">
        <v>49</v>
      </c>
      <c r="D38" s="42" t="s">
        <v>48</v>
      </c>
      <c r="E38" s="42" t="s">
        <v>49</v>
      </c>
      <c r="F38" s="42"/>
    </row>
    <row r="39" spans="2:26" ht="16.8" x14ac:dyDescent="0.95">
      <c r="B39" s="19" t="s">
        <v>47</v>
      </c>
      <c r="C39" s="20" t="s">
        <v>51</v>
      </c>
      <c r="D39" s="20" t="s">
        <v>8</v>
      </c>
      <c r="E39" s="20" t="s">
        <v>91</v>
      </c>
      <c r="F39" s="20" t="s">
        <v>50</v>
      </c>
    </row>
    <row r="40" spans="2:26" s="66" customFormat="1" ht="10.199999999999999" x14ac:dyDescent="0.35">
      <c r="C40" s="66" t="s">
        <v>21</v>
      </c>
      <c r="D40" s="67" t="s">
        <v>16</v>
      </c>
      <c r="E40" s="66" t="s">
        <v>21</v>
      </c>
      <c r="F40" s="67" t="s">
        <v>20</v>
      </c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9"/>
      <c r="S40" s="67"/>
      <c r="T40" s="67"/>
      <c r="U40" s="67"/>
      <c r="V40" s="67"/>
      <c r="W40" s="67"/>
      <c r="X40" s="67"/>
      <c r="Y40" s="67"/>
      <c r="Z40" s="67"/>
    </row>
    <row r="41" spans="2:26" x14ac:dyDescent="0.5">
      <c r="B41" s="38" t="s">
        <v>97</v>
      </c>
      <c r="C41" s="50">
        <v>2.4780000000000002</v>
      </c>
      <c r="D41" s="48">
        <v>55.72</v>
      </c>
      <c r="E41" s="46">
        <f>+IF(D41&lt;$E$11,C41,0)</f>
        <v>2.4780000000000002</v>
      </c>
      <c r="F41" s="57">
        <f>+D41*E41</f>
        <v>138.07416000000001</v>
      </c>
    </row>
    <row r="42" spans="2:26" x14ac:dyDescent="0.5">
      <c r="B42" s="38"/>
      <c r="C42" s="50"/>
      <c r="D42" s="48"/>
      <c r="E42" s="46">
        <f t="shared" ref="E42:E46" si="0">+IF(D42&lt;$E$11,C42,0)</f>
        <v>0</v>
      </c>
      <c r="F42" s="57">
        <f t="shared" ref="F42:F46" si="1">+D42*E42</f>
        <v>0</v>
      </c>
    </row>
    <row r="43" spans="2:26" x14ac:dyDescent="0.5">
      <c r="B43" s="38"/>
      <c r="C43" s="50"/>
      <c r="D43" s="48"/>
      <c r="E43" s="46">
        <f t="shared" si="0"/>
        <v>0</v>
      </c>
      <c r="F43" s="57">
        <f t="shared" si="1"/>
        <v>0</v>
      </c>
    </row>
    <row r="44" spans="2:26" x14ac:dyDescent="0.5">
      <c r="B44" s="38"/>
      <c r="C44" s="50"/>
      <c r="D44" s="48"/>
      <c r="E44" s="46">
        <f t="shared" si="0"/>
        <v>0</v>
      </c>
      <c r="F44" s="57">
        <f t="shared" si="1"/>
        <v>0</v>
      </c>
    </row>
    <row r="45" spans="2:26" x14ac:dyDescent="0.5">
      <c r="B45" s="38"/>
      <c r="C45" s="50"/>
      <c r="D45" s="48"/>
      <c r="E45" s="46">
        <f t="shared" si="0"/>
        <v>0</v>
      </c>
      <c r="F45" s="57">
        <f t="shared" si="1"/>
        <v>0</v>
      </c>
    </row>
    <row r="46" spans="2:26" x14ac:dyDescent="0.5">
      <c r="B46" s="43"/>
      <c r="C46" s="61"/>
      <c r="D46" s="62"/>
      <c r="E46" s="51">
        <f t="shared" si="0"/>
        <v>0</v>
      </c>
      <c r="F46" s="58">
        <f t="shared" si="1"/>
        <v>0</v>
      </c>
    </row>
    <row r="47" spans="2:26" x14ac:dyDescent="0.5">
      <c r="B47" s="16" t="s">
        <v>52</v>
      </c>
      <c r="C47" s="54"/>
      <c r="D47" s="54"/>
      <c r="E47" s="59">
        <f>SUM(E41:E46)</f>
        <v>2.4780000000000002</v>
      </c>
      <c r="F47" s="60">
        <f>SUM(F41:F46)</f>
        <v>138.07416000000001</v>
      </c>
    </row>
    <row r="48" spans="2:26" x14ac:dyDescent="0.5">
      <c r="C48" s="49"/>
      <c r="D48" s="49"/>
      <c r="E48" s="49"/>
      <c r="F48" s="49"/>
    </row>
    <row r="49" spans="2:6" x14ac:dyDescent="0.5">
      <c r="B49" s="15" t="s">
        <v>53</v>
      </c>
      <c r="C49" s="49"/>
      <c r="D49" s="49"/>
      <c r="E49" s="49"/>
      <c r="F49" s="46">
        <f>+E47</f>
        <v>2.4780000000000002</v>
      </c>
    </row>
    <row r="50" spans="2:6" x14ac:dyDescent="0.5">
      <c r="B50" s="15" t="s">
        <v>54</v>
      </c>
      <c r="C50" s="49"/>
      <c r="D50" s="49"/>
      <c r="E50" s="49"/>
      <c r="F50" s="46">
        <f>IF(ISERR($F47/E11),"-",$F47/E11)</f>
        <v>0.73619920021327645</v>
      </c>
    </row>
    <row r="51" spans="2:6" x14ac:dyDescent="0.5">
      <c r="B51" s="15" t="s">
        <v>79</v>
      </c>
      <c r="C51" s="49"/>
      <c r="D51" s="49"/>
      <c r="E51" s="49"/>
      <c r="F51" s="46">
        <f>+IF(ISERR(F49-F50),"-",F49-F50)</f>
        <v>1.7418007997867238</v>
      </c>
    </row>
    <row r="52" spans="2:6" x14ac:dyDescent="0.5">
      <c r="C52" s="49"/>
      <c r="D52" s="49"/>
      <c r="E52" s="49"/>
      <c r="F52" s="46"/>
    </row>
    <row r="53" spans="2:6" x14ac:dyDescent="0.5">
      <c r="B53" s="44" t="s">
        <v>80</v>
      </c>
      <c r="C53" s="44"/>
      <c r="D53" s="44"/>
      <c r="E53" s="44"/>
      <c r="F53" s="46"/>
    </row>
    <row r="54" spans="2:6" ht="5.55" customHeight="1" x14ac:dyDescent="0.5">
      <c r="B54" s="16"/>
      <c r="D54" s="49"/>
      <c r="E54" s="16"/>
      <c r="F54" s="46"/>
    </row>
    <row r="55" spans="2:6" x14ac:dyDescent="0.5">
      <c r="B55" s="16"/>
      <c r="D55" s="49"/>
      <c r="E55" s="42" t="s">
        <v>83</v>
      </c>
      <c r="F55" s="46"/>
    </row>
    <row r="56" spans="2:6" x14ac:dyDescent="0.5">
      <c r="B56" s="16"/>
      <c r="D56" s="49"/>
      <c r="E56" s="42" t="s">
        <v>49</v>
      </c>
      <c r="F56" s="46"/>
    </row>
    <row r="57" spans="2:6" ht="16.8" x14ac:dyDescent="0.95">
      <c r="B57" s="19" t="s">
        <v>47</v>
      </c>
      <c r="C57" s="19" t="s">
        <v>84</v>
      </c>
      <c r="D57" s="19" t="s">
        <v>84</v>
      </c>
      <c r="E57" s="20" t="s">
        <v>51</v>
      </c>
      <c r="F57" s="46"/>
    </row>
    <row r="58" spans="2:6" x14ac:dyDescent="0.5">
      <c r="E58" s="66" t="s">
        <v>21</v>
      </c>
      <c r="F58" s="46"/>
    </row>
    <row r="59" spans="2:6" x14ac:dyDescent="0.5">
      <c r="B59" s="38" t="s">
        <v>95</v>
      </c>
      <c r="C59" s="38"/>
      <c r="D59" s="38"/>
      <c r="E59" s="50">
        <v>4.3159999999999998</v>
      </c>
      <c r="F59" s="46"/>
    </row>
    <row r="60" spans="2:6" x14ac:dyDescent="0.5">
      <c r="B60" s="38" t="s">
        <v>108</v>
      </c>
      <c r="C60" s="38"/>
      <c r="D60" s="38"/>
      <c r="E60" s="50">
        <v>3.5750000000000002</v>
      </c>
      <c r="F60" s="46"/>
    </row>
    <row r="61" spans="2:6" x14ac:dyDescent="0.5">
      <c r="B61" s="38"/>
      <c r="C61" s="38"/>
      <c r="D61" s="38"/>
      <c r="E61" s="50"/>
      <c r="F61" s="46"/>
    </row>
    <row r="62" spans="2:6" x14ac:dyDescent="0.5">
      <c r="B62" s="38"/>
      <c r="C62" s="38"/>
      <c r="D62" s="38"/>
      <c r="E62" s="50"/>
      <c r="F62" s="46"/>
    </row>
    <row r="63" spans="2:6" x14ac:dyDescent="0.5">
      <c r="B63" s="43"/>
      <c r="C63" s="43"/>
      <c r="D63" s="43"/>
      <c r="E63" s="43"/>
      <c r="F63" s="46"/>
    </row>
    <row r="64" spans="2:6" x14ac:dyDescent="0.5">
      <c r="B64" s="16" t="s">
        <v>52</v>
      </c>
      <c r="D64" s="49"/>
      <c r="E64" s="78">
        <f>SUM(E59:E63)</f>
        <v>7.891</v>
      </c>
      <c r="F64" s="46"/>
    </row>
    <row r="66" spans="2:5" x14ac:dyDescent="0.5">
      <c r="B66" s="44" t="s">
        <v>39</v>
      </c>
      <c r="C66" s="44"/>
      <c r="D66" s="44"/>
      <c r="E66" s="44"/>
    </row>
    <row r="67" spans="2:5" ht="5.25" customHeight="1" x14ac:dyDescent="0.5"/>
    <row r="68" spans="2:5" x14ac:dyDescent="0.5">
      <c r="B68" s="42"/>
      <c r="C68" s="42" t="s">
        <v>56</v>
      </c>
      <c r="D68" s="42" t="s">
        <v>57</v>
      </c>
      <c r="E68" s="42" t="s">
        <v>9</v>
      </c>
    </row>
    <row r="69" spans="2:5" ht="16.8" x14ac:dyDescent="0.95">
      <c r="B69" s="19" t="s">
        <v>55</v>
      </c>
      <c r="C69" s="20" t="s">
        <v>23</v>
      </c>
      <c r="D69" s="20" t="s">
        <v>8</v>
      </c>
      <c r="E69" s="20" t="s">
        <v>58</v>
      </c>
    </row>
    <row r="70" spans="2:5" x14ac:dyDescent="0.5">
      <c r="C70" s="66" t="s">
        <v>21</v>
      </c>
      <c r="D70" s="67" t="s">
        <v>16</v>
      </c>
      <c r="E70" s="66" t="s">
        <v>21</v>
      </c>
    </row>
    <row r="71" spans="2:5" x14ac:dyDescent="0.5">
      <c r="B71" s="38"/>
      <c r="C71" s="52"/>
      <c r="D71" s="48"/>
      <c r="E71" s="46">
        <f>IF(ISNUMBER($D71),IF($E$11&gt;$D71,$C71/$D71,0),0)</f>
        <v>0</v>
      </c>
    </row>
    <row r="72" spans="2:5" x14ac:dyDescent="0.5">
      <c r="B72" s="38"/>
      <c r="C72" s="52"/>
      <c r="D72" s="48"/>
      <c r="E72" s="46">
        <f t="shared" ref="E72:E75" si="2">IF(ISNUMBER($D72),IF($E$11&gt;$D72,$C72/$D72,0),0)</f>
        <v>0</v>
      </c>
    </row>
    <row r="73" spans="2:5" x14ac:dyDescent="0.5">
      <c r="B73" s="38"/>
      <c r="C73" s="52"/>
      <c r="D73" s="48"/>
      <c r="E73" s="46">
        <f t="shared" si="2"/>
        <v>0</v>
      </c>
    </row>
    <row r="74" spans="2:5" x14ac:dyDescent="0.5">
      <c r="B74" s="38"/>
      <c r="C74" s="52"/>
      <c r="D74" s="48"/>
      <c r="E74" s="46">
        <f t="shared" si="2"/>
        <v>0</v>
      </c>
    </row>
    <row r="75" spans="2:5" x14ac:dyDescent="0.5">
      <c r="B75" s="43"/>
      <c r="C75" s="63"/>
      <c r="D75" s="62"/>
      <c r="E75" s="51">
        <f t="shared" si="2"/>
        <v>0</v>
      </c>
    </row>
    <row r="76" spans="2:5" x14ac:dyDescent="0.5">
      <c r="B76" s="16" t="s">
        <v>52</v>
      </c>
      <c r="C76" s="64">
        <f>SUM(C71:C75)</f>
        <v>0</v>
      </c>
      <c r="D76" s="54"/>
      <c r="E76" s="59">
        <f>SUM(E71:E75)</f>
        <v>0</v>
      </c>
    </row>
    <row r="77" spans="2:5" x14ac:dyDescent="0.5">
      <c r="C77" s="49"/>
      <c r="D77" s="49"/>
      <c r="E77" s="49"/>
    </row>
    <row r="78" spans="2:5" x14ac:dyDescent="0.5">
      <c r="B78" s="15" t="s">
        <v>59</v>
      </c>
      <c r="C78" s="49"/>
      <c r="D78" s="49"/>
      <c r="E78" s="65">
        <f>SUMIF(D71:D75,"&lt;"&amp;$E$11,C71:C75)</f>
        <v>0</v>
      </c>
    </row>
    <row r="79" spans="2:5" x14ac:dyDescent="0.5">
      <c r="B79" s="15" t="s">
        <v>60</v>
      </c>
      <c r="C79" s="49"/>
      <c r="D79" s="49"/>
      <c r="E79" s="65">
        <f>+C76-E78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7486-51B1-4A39-8EA6-7476B40DB96E}">
  <dimension ref="A1:Z79"/>
  <sheetViews>
    <sheetView showGridLines="0" zoomScaleNormal="100" workbookViewId="0"/>
  </sheetViews>
  <sheetFormatPr defaultColWidth="11.68359375" defaultRowHeight="14.1" x14ac:dyDescent="0.5"/>
  <cols>
    <col min="1" max="1" width="5.68359375" style="15" customWidth="1"/>
    <col min="2" max="2" width="50.68359375" style="15" customWidth="1"/>
    <col min="3" max="6" width="15.68359375" style="15" customWidth="1"/>
    <col min="7" max="7" width="50.68359375" style="15" customWidth="1"/>
    <col min="8" max="9" width="15.68359375" style="15" customWidth="1"/>
    <col min="10" max="16384" width="11.68359375" style="15"/>
  </cols>
  <sheetData>
    <row r="1" spans="1:9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</row>
    <row r="2" spans="1:9" s="2" customFormat="1" ht="17.399999999999999" x14ac:dyDescent="0.5">
      <c r="A2" s="12" t="str">
        <f>_xll.ciqfunctions.udf.CIQ($E$10, "IQ_COMPANY_NAME")</f>
        <v>Alibaba Group Holding Limited</v>
      </c>
      <c r="B2" s="12"/>
      <c r="C2" s="12"/>
      <c r="D2" s="12"/>
      <c r="E2" s="12"/>
      <c r="F2" s="12"/>
      <c r="G2" s="12"/>
      <c r="H2" s="12"/>
      <c r="I2" s="12"/>
    </row>
    <row r="3" spans="1:9" s="11" customFormat="1" ht="15" x14ac:dyDescent="0.5">
      <c r="A3" s="36" t="s">
        <v>102</v>
      </c>
      <c r="B3" s="14"/>
      <c r="C3" s="14"/>
      <c r="D3" s="14"/>
      <c r="E3" s="13"/>
      <c r="F3" s="13"/>
      <c r="G3" s="13"/>
      <c r="H3" s="13"/>
      <c r="I3" s="13"/>
    </row>
    <row r="4" spans="1:9" x14ac:dyDescent="0.5">
      <c r="B4" s="15" t="str">
        <f>'Comps Data (Capital IQ))'!$AG$2</f>
        <v>Currency</v>
      </c>
      <c r="C4" s="15" t="str">
        <f>'Comps Data (Capital IQ))'!$AH$2</f>
        <v>USD</v>
      </c>
    </row>
    <row r="6" spans="1:9" ht="15" x14ac:dyDescent="0.5">
      <c r="B6" s="37" t="str">
        <f>_xll.ciqfunctions.udf.CIQ($E$10, "IQ_COMPANY_NAME")</f>
        <v>Alibaba Group Holding Limited</v>
      </c>
      <c r="C6" s="13"/>
      <c r="D6" s="13"/>
      <c r="E6" s="13"/>
      <c r="F6" s="13"/>
      <c r="G6" s="13"/>
      <c r="H6" s="13"/>
      <c r="I6" s="13"/>
    </row>
    <row r="8" spans="1:9" x14ac:dyDescent="0.5">
      <c r="B8" s="44" t="s">
        <v>24</v>
      </c>
      <c r="C8" s="44"/>
      <c r="D8" s="44"/>
      <c r="E8" s="44"/>
      <c r="G8" s="44" t="s">
        <v>43</v>
      </c>
      <c r="H8" s="45"/>
      <c r="I8" s="45"/>
    </row>
    <row r="9" spans="1:9" ht="5.25" customHeight="1" x14ac:dyDescent="0.5"/>
    <row r="10" spans="1:9" ht="16.8" x14ac:dyDescent="0.95">
      <c r="B10" s="15" t="s">
        <v>35</v>
      </c>
      <c r="E10" s="47" t="str">
        <f>_xll.ciqfunctions.udf.CIQ("NYSE:BABA", "IQ_COMPANY_TICKER")</f>
        <v>NYSE:BABA</v>
      </c>
      <c r="G10" s="39" t="s">
        <v>41</v>
      </c>
      <c r="H10" s="20" t="s">
        <v>26</v>
      </c>
      <c r="I10" s="20" t="s">
        <v>27</v>
      </c>
    </row>
    <row r="11" spans="1:9" x14ac:dyDescent="0.5">
      <c r="B11" s="15" t="s">
        <v>71</v>
      </c>
      <c r="E11" s="48">
        <f>_xll.ciqfunctions.udf.CIQ(E10, "IQ_LASTSALEPRICE", E12,$C$4)</f>
        <v>239.79</v>
      </c>
      <c r="G11" s="15" t="s">
        <v>25</v>
      </c>
      <c r="H11" s="52">
        <f>_xll.ciqfunctions.udf.CIQ($E$10, "IQ_REVENUE_EST", "FY2021",,,,$C$4)</f>
        <v>107918.11225000001</v>
      </c>
      <c r="I11" s="52">
        <f>_xll.ciqfunctions.udf.CIQ($E$10, "IQ_REVENUE_EST", "FY2022",,,,$C$4)</f>
        <v>134077.46238000001</v>
      </c>
    </row>
    <row r="12" spans="1:9" x14ac:dyDescent="0.5">
      <c r="B12" s="15" t="s">
        <v>36</v>
      </c>
      <c r="E12" s="81">
        <f>'Comps Data (Capital IQ))'!$AH$3</f>
        <v>44275</v>
      </c>
      <c r="G12" s="15" t="s">
        <v>11</v>
      </c>
      <c r="H12" s="52">
        <f>_xll.ciqfunctions.udf.CIQ($E$10, "IQ_EBITDA_EST", "FY2021",,,,$C$4)</f>
        <v>30513.316750000002</v>
      </c>
      <c r="I12" s="52">
        <f>_xll.ciqfunctions.udf.CIQ($E$10, "IQ_EBITDA_EST", "FY2022",,,,$C$4)</f>
        <v>23750.186519999999</v>
      </c>
    </row>
    <row r="13" spans="1:9" x14ac:dyDescent="0.5">
      <c r="E13" s="49"/>
      <c r="G13" s="15" t="s">
        <v>12</v>
      </c>
      <c r="H13" s="52">
        <f>_xll.ciqfunctions.udf.CIQ($E$10, "IQ_NI_REPORTED_EST", "FY2021",,,,$C$4)</f>
        <v>25320.347860000002</v>
      </c>
      <c r="I13" s="52">
        <f>_xll.ciqfunctions.udf.CIQ($E$10, "IQ_NI_REPORTED_EST", "FY2022",,,,$C$4)</f>
        <v>12693.443590000001</v>
      </c>
    </row>
    <row r="14" spans="1:9" x14ac:dyDescent="0.5">
      <c r="B14" s="40" t="s">
        <v>37</v>
      </c>
      <c r="E14" s="49"/>
      <c r="G14" s="15" t="s">
        <v>28</v>
      </c>
      <c r="H14" s="52">
        <f>_xll.ciqfunctions.udf.CIQ($E$10, "IQ_CASH_OPER_EST", "FY2021",,,,$C$4)</f>
        <v>38326.536480000002</v>
      </c>
      <c r="I14" s="52">
        <f>_xll.ciqfunctions.udf.CIQ($E$10, "IQ_CASH_OPER_EST", "FY2022",,,,$C$4)</f>
        <v>25868.579379999999</v>
      </c>
    </row>
    <row r="15" spans="1:9" x14ac:dyDescent="0.5">
      <c r="B15" s="15" t="s">
        <v>72</v>
      </c>
      <c r="E15" s="82">
        <f>_xll.ciqfunctions.udf.CIQ(E10, "IQ_TOTAL_OUTSTANDING_BS_DATE", , E12)</f>
        <v>2705.375</v>
      </c>
      <c r="H15" s="49"/>
      <c r="I15" s="49"/>
    </row>
    <row r="16" spans="1:9" ht="16.5" customHeight="1" x14ac:dyDescent="0.5">
      <c r="B16" s="72" t="s">
        <v>82</v>
      </c>
      <c r="C16" s="72"/>
      <c r="D16" s="72"/>
      <c r="E16" s="75">
        <f>+E64</f>
        <v>53.984254</v>
      </c>
      <c r="H16" s="49"/>
      <c r="I16" s="49"/>
    </row>
    <row r="17" spans="2:9" ht="16.5" customHeight="1" x14ac:dyDescent="0.5">
      <c r="B17" s="72" t="s">
        <v>73</v>
      </c>
      <c r="C17" s="72"/>
      <c r="D17" s="72"/>
      <c r="E17" s="75">
        <f>+F51</f>
        <v>20.325594019517077</v>
      </c>
      <c r="G17" s="73" t="s">
        <v>42</v>
      </c>
      <c r="H17" s="77" t="s">
        <v>26</v>
      </c>
      <c r="I17" s="77" t="s">
        <v>27</v>
      </c>
    </row>
    <row r="18" spans="2:9" ht="16.5" customHeight="1" x14ac:dyDescent="0.5">
      <c r="B18" s="74" t="s">
        <v>74</v>
      </c>
      <c r="C18" s="74"/>
      <c r="D18" s="74"/>
      <c r="E18" s="76">
        <f>+E76</f>
        <v>0</v>
      </c>
      <c r="G18" s="15" t="s">
        <v>25</v>
      </c>
      <c r="H18" s="55">
        <f>IFERROR($E$32/H11,"-")</f>
        <v>5.9434536460454064</v>
      </c>
      <c r="I18" s="55">
        <f>IFERROR($E$32/I11,"-")</f>
        <v>4.7838487270048216</v>
      </c>
    </row>
    <row r="19" spans="2:9" x14ac:dyDescent="0.5">
      <c r="B19" s="72" t="s">
        <v>81</v>
      </c>
      <c r="E19" s="79">
        <f>SUM(E15:E18)</f>
        <v>2779.6848480195172</v>
      </c>
      <c r="G19" s="15" t="s">
        <v>11</v>
      </c>
      <c r="H19" s="55">
        <f>IFERROR($E$32/H12,"-")</f>
        <v>21.020536803053371</v>
      </c>
      <c r="I19" s="55">
        <f>IFERROR($E$32/I12,"-")</f>
        <v>27.006368863102299</v>
      </c>
    </row>
    <row r="20" spans="2:9" x14ac:dyDescent="0.5">
      <c r="E20" s="49"/>
      <c r="G20" s="15" t="s">
        <v>12</v>
      </c>
      <c r="H20" s="55">
        <f>IFERROR($E$21/H13,"-")</f>
        <v>26.324307761962949</v>
      </c>
      <c r="I20" s="55">
        <f>IFERROR($E$21/I13,"-")</f>
        <v>52.510622903914438</v>
      </c>
    </row>
    <row r="21" spans="2:9" x14ac:dyDescent="0.5">
      <c r="B21" s="16" t="s">
        <v>38</v>
      </c>
      <c r="C21" s="16"/>
      <c r="D21" s="16"/>
      <c r="E21" s="64">
        <f>+E11*E19</f>
        <v>666540.62970659998</v>
      </c>
      <c r="G21" s="15" t="s">
        <v>28</v>
      </c>
      <c r="H21" s="55">
        <f>IFERROR($E$21/H14,"-")</f>
        <v>17.391100029464493</v>
      </c>
      <c r="I21" s="55">
        <f>IFERROR($E$21/I14,"-")</f>
        <v>25.766418012963186</v>
      </c>
    </row>
    <row r="22" spans="2:9" x14ac:dyDescent="0.5">
      <c r="E22" s="49"/>
      <c r="H22" s="49"/>
      <c r="I22" s="49"/>
    </row>
    <row r="23" spans="2:9" x14ac:dyDescent="0.5">
      <c r="B23" s="15" t="s">
        <v>76</v>
      </c>
      <c r="E23" s="52">
        <f>_xll.ciqfunctions.udf.CIQ(E10, "IQ_CASH_EQUIV", , E12, , , $C$4)</f>
        <v>47810.709739999998</v>
      </c>
      <c r="G23" s="15" t="s">
        <v>45</v>
      </c>
      <c r="H23" s="49"/>
      <c r="I23" s="55">
        <f>IFERROR(E29/E34,"-")</f>
        <v>0.1378559303512687</v>
      </c>
    </row>
    <row r="24" spans="2:9" x14ac:dyDescent="0.5">
      <c r="E24" s="49"/>
      <c r="G24" s="15" t="s">
        <v>77</v>
      </c>
      <c r="H24" s="49"/>
      <c r="I24" s="56">
        <f>IFERROR(E29/(E29+E34),"-")</f>
        <v>0.12115411685617444</v>
      </c>
    </row>
    <row r="25" spans="2:9" x14ac:dyDescent="0.5">
      <c r="B25" s="15" t="s">
        <v>86</v>
      </c>
      <c r="E25" s="80">
        <f>_xll.ciqfunctions.udf.CIQ(E10, "IQ_TOTAL_DEBT", , E12, , , $C$4)</f>
        <v>22676.377759999999</v>
      </c>
      <c r="G25" s="15" t="s">
        <v>78</v>
      </c>
      <c r="I25" s="56">
        <f>IFERROR(E29/(E29+E21),"-")</f>
        <v>3.2901651460043112E-2</v>
      </c>
    </row>
    <row r="26" spans="2:9" x14ac:dyDescent="0.5">
      <c r="B26" s="15" t="s">
        <v>89</v>
      </c>
      <c r="E26" s="80">
        <f>_xll.ciqfunctions.udf.CIQ(E10, "IQ_CONVERT", , E12, , , $C$4)</f>
        <v>0</v>
      </c>
      <c r="I26" s="56"/>
    </row>
    <row r="27" spans="2:9" x14ac:dyDescent="0.5">
      <c r="B27" s="15" t="s">
        <v>88</v>
      </c>
      <c r="E27" s="65">
        <f>(+E25-E26)</f>
        <v>22676.377759999999</v>
      </c>
    </row>
    <row r="28" spans="2:9" x14ac:dyDescent="0.5">
      <c r="B28" s="41" t="s">
        <v>90</v>
      </c>
      <c r="C28" s="41"/>
      <c r="D28" s="41"/>
      <c r="E28" s="53">
        <f>+E79</f>
        <v>0</v>
      </c>
    </row>
    <row r="29" spans="2:9" x14ac:dyDescent="0.5">
      <c r="B29" s="16" t="s">
        <v>87</v>
      </c>
      <c r="C29" s="16"/>
      <c r="D29" s="16"/>
      <c r="E29" s="64">
        <f>+E27+E28</f>
        <v>22676.377759999999</v>
      </c>
    </row>
    <row r="30" spans="2:9" x14ac:dyDescent="0.5">
      <c r="B30" s="16"/>
      <c r="C30" s="16"/>
      <c r="D30" s="16"/>
      <c r="E30" s="54"/>
    </row>
    <row r="31" spans="2:9" x14ac:dyDescent="0.5">
      <c r="B31" s="15" t="s">
        <v>10</v>
      </c>
      <c r="E31" s="65">
        <f>+E29-E23</f>
        <v>-25134.331979999999</v>
      </c>
    </row>
    <row r="32" spans="2:9" x14ac:dyDescent="0.5">
      <c r="B32" s="16" t="s">
        <v>40</v>
      </c>
      <c r="C32" s="16"/>
      <c r="D32" s="16"/>
      <c r="E32" s="64">
        <f>+E21+E31</f>
        <v>641406.29772659997</v>
      </c>
    </row>
    <row r="33" spans="2:26" x14ac:dyDescent="0.5">
      <c r="E33" s="49"/>
    </row>
    <row r="34" spans="2:26" x14ac:dyDescent="0.5">
      <c r="B34" s="15" t="s">
        <v>44</v>
      </c>
      <c r="E34" s="52">
        <f>_xll.ciqfunctions.udf.CIQ(E10, "IQ_TOTAL_EQUITY", , E12, , , $C$4)</f>
        <v>164493.30618000001</v>
      </c>
    </row>
    <row r="36" spans="2:26" x14ac:dyDescent="0.5">
      <c r="B36" s="44" t="s">
        <v>46</v>
      </c>
      <c r="C36" s="44"/>
      <c r="D36" s="44"/>
      <c r="E36" s="44"/>
      <c r="F36" s="44"/>
    </row>
    <row r="37" spans="2:26" ht="5.25" customHeight="1" x14ac:dyDescent="0.5"/>
    <row r="38" spans="2:26" x14ac:dyDescent="0.5">
      <c r="B38" s="42"/>
      <c r="C38" s="42" t="s">
        <v>49</v>
      </c>
      <c r="D38" s="42" t="s">
        <v>48</v>
      </c>
      <c r="E38" s="42" t="s">
        <v>49</v>
      </c>
      <c r="F38" s="42"/>
    </row>
    <row r="39" spans="2:26" ht="16.8" x14ac:dyDescent="0.95">
      <c r="B39" s="19" t="s">
        <v>47</v>
      </c>
      <c r="C39" s="20" t="s">
        <v>51</v>
      </c>
      <c r="D39" s="20" t="s">
        <v>8</v>
      </c>
      <c r="E39" s="20" t="s">
        <v>91</v>
      </c>
      <c r="F39" s="20" t="s">
        <v>50</v>
      </c>
    </row>
    <row r="40" spans="2:26" s="66" customFormat="1" ht="10.199999999999999" x14ac:dyDescent="0.35">
      <c r="C40" s="66" t="s">
        <v>21</v>
      </c>
      <c r="D40" s="67" t="s">
        <v>16</v>
      </c>
      <c r="E40" s="66" t="s">
        <v>21</v>
      </c>
      <c r="F40" s="67" t="s">
        <v>20</v>
      </c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9"/>
      <c r="S40" s="67"/>
      <c r="T40" s="67"/>
      <c r="U40" s="67"/>
      <c r="V40" s="67"/>
      <c r="W40" s="67"/>
      <c r="X40" s="67"/>
      <c r="Y40" s="67"/>
      <c r="Z40" s="67"/>
    </row>
    <row r="41" spans="2:26" x14ac:dyDescent="0.5">
      <c r="B41" s="38" t="s">
        <v>97</v>
      </c>
      <c r="C41" s="50">
        <v>6.3933030000000004</v>
      </c>
      <c r="D41" s="48">
        <v>87.81</v>
      </c>
      <c r="E41" s="46">
        <f>+IF(D41&lt;$E$11,C41,0)</f>
        <v>6.3933030000000004</v>
      </c>
      <c r="F41" s="57">
        <f>+D41*E41</f>
        <v>561.39593643000001</v>
      </c>
    </row>
    <row r="42" spans="2:26" x14ac:dyDescent="0.5">
      <c r="B42" s="38" t="s">
        <v>116</v>
      </c>
      <c r="C42" s="50">
        <v>18</v>
      </c>
      <c r="D42" s="48">
        <v>23</v>
      </c>
      <c r="E42" s="46">
        <f t="shared" ref="E42:E46" si="0">+IF(D42&lt;$E$11,C42,0)</f>
        <v>18</v>
      </c>
      <c r="F42" s="57">
        <f t="shared" ref="F42:F46" si="1">+D42*E42</f>
        <v>414</v>
      </c>
    </row>
    <row r="43" spans="2:26" x14ac:dyDescent="0.5">
      <c r="B43" s="38"/>
      <c r="C43" s="50"/>
      <c r="D43" s="48"/>
      <c r="E43" s="46">
        <f t="shared" si="0"/>
        <v>0</v>
      </c>
      <c r="F43" s="57">
        <f t="shared" si="1"/>
        <v>0</v>
      </c>
    </row>
    <row r="44" spans="2:26" x14ac:dyDescent="0.5">
      <c r="B44" s="38"/>
      <c r="C44" s="50"/>
      <c r="D44" s="48"/>
      <c r="E44" s="46">
        <f t="shared" si="0"/>
        <v>0</v>
      </c>
      <c r="F44" s="57">
        <f t="shared" si="1"/>
        <v>0</v>
      </c>
    </row>
    <row r="45" spans="2:26" x14ac:dyDescent="0.5">
      <c r="B45" s="38"/>
      <c r="C45" s="50"/>
      <c r="D45" s="48"/>
      <c r="E45" s="46">
        <f t="shared" si="0"/>
        <v>0</v>
      </c>
      <c r="F45" s="57">
        <f t="shared" si="1"/>
        <v>0</v>
      </c>
    </row>
    <row r="46" spans="2:26" x14ac:dyDescent="0.5">
      <c r="B46" s="43"/>
      <c r="C46" s="61"/>
      <c r="D46" s="62"/>
      <c r="E46" s="51">
        <f t="shared" si="0"/>
        <v>0</v>
      </c>
      <c r="F46" s="58">
        <f t="shared" si="1"/>
        <v>0</v>
      </c>
    </row>
    <row r="47" spans="2:26" x14ac:dyDescent="0.5">
      <c r="B47" s="16" t="s">
        <v>52</v>
      </c>
      <c r="C47" s="54"/>
      <c r="D47" s="54"/>
      <c r="E47" s="59">
        <f>SUM(E41:E46)</f>
        <v>24.393303</v>
      </c>
      <c r="F47" s="60">
        <f>SUM(F41:F46)</f>
        <v>975.39593643000001</v>
      </c>
    </row>
    <row r="48" spans="2:26" x14ac:dyDescent="0.5">
      <c r="C48" s="49"/>
      <c r="D48" s="49"/>
      <c r="E48" s="49"/>
      <c r="F48" s="49"/>
    </row>
    <row r="49" spans="2:6" x14ac:dyDescent="0.5">
      <c r="B49" s="15" t="s">
        <v>53</v>
      </c>
      <c r="C49" s="49"/>
      <c r="D49" s="49"/>
      <c r="E49" s="49"/>
      <c r="F49" s="46">
        <f>+E47</f>
        <v>24.393303</v>
      </c>
    </row>
    <row r="50" spans="2:6" x14ac:dyDescent="0.5">
      <c r="B50" s="15" t="s">
        <v>54</v>
      </c>
      <c r="C50" s="49"/>
      <c r="D50" s="49"/>
      <c r="E50" s="49"/>
      <c r="F50" s="46">
        <f>IF(ISERR($F47/E11),"-",$F47/E11)</f>
        <v>4.067708980482923</v>
      </c>
    </row>
    <row r="51" spans="2:6" x14ac:dyDescent="0.5">
      <c r="B51" s="15" t="s">
        <v>79</v>
      </c>
      <c r="C51" s="49"/>
      <c r="D51" s="49"/>
      <c r="E51" s="49"/>
      <c r="F51" s="46">
        <f>+IF(ISERR(F49-F50),"-",F49-F50)</f>
        <v>20.325594019517077</v>
      </c>
    </row>
    <row r="52" spans="2:6" x14ac:dyDescent="0.5">
      <c r="C52" s="49"/>
      <c r="D52" s="49"/>
      <c r="E52" s="49"/>
      <c r="F52" s="46"/>
    </row>
    <row r="53" spans="2:6" x14ac:dyDescent="0.5">
      <c r="B53" s="44" t="s">
        <v>80</v>
      </c>
      <c r="C53" s="44"/>
      <c r="D53" s="44"/>
      <c r="E53" s="44"/>
      <c r="F53" s="46"/>
    </row>
    <row r="54" spans="2:6" ht="5.55" customHeight="1" x14ac:dyDescent="0.5">
      <c r="B54" s="16"/>
      <c r="D54" s="49"/>
      <c r="E54" s="16"/>
      <c r="F54" s="46"/>
    </row>
    <row r="55" spans="2:6" x14ac:dyDescent="0.5">
      <c r="B55" s="16"/>
      <c r="D55" s="49"/>
      <c r="E55" s="42" t="s">
        <v>83</v>
      </c>
      <c r="F55" s="46"/>
    </row>
    <row r="56" spans="2:6" x14ac:dyDescent="0.5">
      <c r="B56" s="16"/>
      <c r="D56" s="49"/>
      <c r="E56" s="42" t="s">
        <v>49</v>
      </c>
      <c r="F56" s="46"/>
    </row>
    <row r="57" spans="2:6" ht="16.8" x14ac:dyDescent="0.95">
      <c r="B57" s="19" t="s">
        <v>47</v>
      </c>
      <c r="C57" s="19" t="s">
        <v>84</v>
      </c>
      <c r="D57" s="19" t="s">
        <v>84</v>
      </c>
      <c r="E57" s="20" t="s">
        <v>51</v>
      </c>
      <c r="F57" s="46"/>
    </row>
    <row r="58" spans="2:6" x14ac:dyDescent="0.5">
      <c r="E58" s="66" t="s">
        <v>21</v>
      </c>
      <c r="F58" s="46"/>
    </row>
    <row r="59" spans="2:6" x14ac:dyDescent="0.5">
      <c r="B59" s="38" t="s">
        <v>95</v>
      </c>
      <c r="C59" s="38"/>
      <c r="D59" s="38"/>
      <c r="E59" s="50">
        <v>53.984254</v>
      </c>
      <c r="F59" s="46"/>
    </row>
    <row r="60" spans="2:6" x14ac:dyDescent="0.5">
      <c r="B60" s="38"/>
      <c r="C60" s="38"/>
      <c r="D60" s="38"/>
      <c r="E60" s="50"/>
      <c r="F60" s="46"/>
    </row>
    <row r="61" spans="2:6" x14ac:dyDescent="0.5">
      <c r="B61" s="38"/>
      <c r="C61" s="38"/>
      <c r="D61" s="38"/>
      <c r="E61" s="50"/>
      <c r="F61" s="46"/>
    </row>
    <row r="62" spans="2:6" x14ac:dyDescent="0.5">
      <c r="B62" s="38"/>
      <c r="C62" s="38"/>
      <c r="D62" s="38"/>
      <c r="E62" s="50"/>
      <c r="F62" s="46"/>
    </row>
    <row r="63" spans="2:6" x14ac:dyDescent="0.5">
      <c r="B63" s="43"/>
      <c r="C63" s="43"/>
      <c r="D63" s="43"/>
      <c r="E63" s="43"/>
      <c r="F63" s="46"/>
    </row>
    <row r="64" spans="2:6" x14ac:dyDescent="0.5">
      <c r="B64" s="16" t="s">
        <v>52</v>
      </c>
      <c r="D64" s="49"/>
      <c r="E64" s="78">
        <f>SUM(E59:E63)</f>
        <v>53.984254</v>
      </c>
      <c r="F64" s="46"/>
    </row>
    <row r="66" spans="2:5" x14ac:dyDescent="0.5">
      <c r="B66" s="44" t="s">
        <v>39</v>
      </c>
      <c r="C66" s="44"/>
      <c r="D66" s="44"/>
      <c r="E66" s="44"/>
    </row>
    <row r="67" spans="2:5" ht="5.25" customHeight="1" x14ac:dyDescent="0.5"/>
    <row r="68" spans="2:5" x14ac:dyDescent="0.5">
      <c r="B68" s="42"/>
      <c r="C68" s="42" t="s">
        <v>56</v>
      </c>
      <c r="D68" s="42" t="s">
        <v>57</v>
      </c>
      <c r="E68" s="42" t="s">
        <v>9</v>
      </c>
    </row>
    <row r="69" spans="2:5" ht="16.8" x14ac:dyDescent="0.95">
      <c r="B69" s="19" t="s">
        <v>55</v>
      </c>
      <c r="C69" s="20" t="s">
        <v>23</v>
      </c>
      <c r="D69" s="20" t="s">
        <v>8</v>
      </c>
      <c r="E69" s="20" t="s">
        <v>58</v>
      </c>
    </row>
    <row r="70" spans="2:5" x14ac:dyDescent="0.5">
      <c r="C70" s="66" t="s">
        <v>21</v>
      </c>
      <c r="D70" s="67" t="s">
        <v>16</v>
      </c>
      <c r="E70" s="66" t="s">
        <v>21</v>
      </c>
    </row>
    <row r="71" spans="2:5" x14ac:dyDescent="0.5">
      <c r="B71" s="38"/>
      <c r="C71" s="52"/>
      <c r="D71" s="48"/>
      <c r="E71" s="46">
        <f>IF(ISNUMBER($D71),IF($E$11&gt;$D71,$C71/$D71,0),0)</f>
        <v>0</v>
      </c>
    </row>
    <row r="72" spans="2:5" x14ac:dyDescent="0.5">
      <c r="B72" s="38"/>
      <c r="C72" s="52"/>
      <c r="D72" s="48"/>
      <c r="E72" s="46">
        <f t="shared" ref="E72:E75" si="2">IF(ISNUMBER($D72),IF($E$11&gt;$D72,$C72/$D72,0),0)</f>
        <v>0</v>
      </c>
    </row>
    <row r="73" spans="2:5" x14ac:dyDescent="0.5">
      <c r="B73" s="38"/>
      <c r="C73" s="52"/>
      <c r="D73" s="48"/>
      <c r="E73" s="46">
        <f t="shared" si="2"/>
        <v>0</v>
      </c>
    </row>
    <row r="74" spans="2:5" x14ac:dyDescent="0.5">
      <c r="B74" s="38"/>
      <c r="C74" s="52"/>
      <c r="D74" s="48"/>
      <c r="E74" s="46">
        <f t="shared" si="2"/>
        <v>0</v>
      </c>
    </row>
    <row r="75" spans="2:5" x14ac:dyDescent="0.5">
      <c r="B75" s="43"/>
      <c r="C75" s="63"/>
      <c r="D75" s="62"/>
      <c r="E75" s="51">
        <f t="shared" si="2"/>
        <v>0</v>
      </c>
    </row>
    <row r="76" spans="2:5" x14ac:dyDescent="0.5">
      <c r="B76" s="16" t="s">
        <v>52</v>
      </c>
      <c r="C76" s="64">
        <f>SUM(C71:C75)</f>
        <v>0</v>
      </c>
      <c r="D76" s="54"/>
      <c r="E76" s="59">
        <f>SUM(E71:E75)</f>
        <v>0</v>
      </c>
    </row>
    <row r="77" spans="2:5" x14ac:dyDescent="0.5">
      <c r="C77" s="49"/>
      <c r="D77" s="49"/>
      <c r="E77" s="49"/>
    </row>
    <row r="78" spans="2:5" x14ac:dyDescent="0.5">
      <c r="B78" s="15" t="s">
        <v>59</v>
      </c>
      <c r="C78" s="49"/>
      <c r="D78" s="49"/>
      <c r="E78" s="65">
        <f>SUMIF(D71:D75,"&lt;"&amp;$E$11,C71:C75)</f>
        <v>0</v>
      </c>
    </row>
    <row r="79" spans="2:5" x14ac:dyDescent="0.5">
      <c r="B79" s="15" t="s">
        <v>60</v>
      </c>
      <c r="C79" s="49"/>
      <c r="D79" s="49"/>
      <c r="E79" s="65">
        <f>+C76-E78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4030-66A7-4643-9D42-BD682BC2EDB3}">
  <dimension ref="A1:Z79"/>
  <sheetViews>
    <sheetView showGridLines="0" zoomScaleNormal="100" workbookViewId="0"/>
  </sheetViews>
  <sheetFormatPr defaultColWidth="11.68359375" defaultRowHeight="14.1" x14ac:dyDescent="0.5"/>
  <cols>
    <col min="1" max="1" width="5.68359375" style="15" customWidth="1"/>
    <col min="2" max="2" width="50.68359375" style="15" customWidth="1"/>
    <col min="3" max="6" width="15.68359375" style="15" customWidth="1"/>
    <col min="7" max="7" width="50.68359375" style="15" customWidth="1"/>
    <col min="8" max="9" width="15.68359375" style="15" customWidth="1"/>
    <col min="10" max="16384" width="11.68359375" style="15"/>
  </cols>
  <sheetData>
    <row r="1" spans="1:9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</row>
    <row r="2" spans="1:9" s="2" customFormat="1" ht="17.399999999999999" x14ac:dyDescent="0.5">
      <c r="A2" s="12" t="str">
        <f>_xll.ciqfunctions.udf.CIQ($E$10, "IQ_COMPANY_NAME")</f>
        <v>eBay Inc.</v>
      </c>
      <c r="B2" s="12"/>
      <c r="C2" s="12"/>
      <c r="D2" s="12"/>
      <c r="E2" s="12"/>
      <c r="F2" s="12"/>
      <c r="G2" s="12"/>
      <c r="H2" s="12"/>
      <c r="I2" s="12"/>
    </row>
    <row r="3" spans="1:9" s="11" customFormat="1" ht="15" x14ac:dyDescent="0.5">
      <c r="A3" s="36" t="s">
        <v>102</v>
      </c>
      <c r="B3" s="14"/>
      <c r="C3" s="14"/>
      <c r="D3" s="14"/>
      <c r="E3" s="13"/>
      <c r="F3" s="13"/>
      <c r="G3" s="13"/>
      <c r="H3" s="13"/>
      <c r="I3" s="13"/>
    </row>
    <row r="4" spans="1:9" x14ac:dyDescent="0.5">
      <c r="B4" s="15" t="str">
        <f>'Comps Data (Capital IQ))'!$AG$2</f>
        <v>Currency</v>
      </c>
      <c r="C4" s="15" t="str">
        <f>'Comps Data (Capital IQ))'!$AH$2</f>
        <v>USD</v>
      </c>
    </row>
    <row r="6" spans="1:9" ht="15" x14ac:dyDescent="0.5">
      <c r="B6" s="37" t="str">
        <f>_xll.ciqfunctions.udf.CIQ($E$10, "IQ_COMPANY_NAME")</f>
        <v>eBay Inc.</v>
      </c>
      <c r="C6" s="13"/>
      <c r="D6" s="13"/>
      <c r="E6" s="13"/>
      <c r="F6" s="13"/>
      <c r="G6" s="13"/>
      <c r="H6" s="13"/>
      <c r="I6" s="13"/>
    </row>
    <row r="8" spans="1:9" x14ac:dyDescent="0.5">
      <c r="B8" s="44" t="s">
        <v>24</v>
      </c>
      <c r="C8" s="44"/>
      <c r="D8" s="44"/>
      <c r="E8" s="44"/>
      <c r="G8" s="44" t="s">
        <v>43</v>
      </c>
      <c r="H8" s="45"/>
      <c r="I8" s="45"/>
    </row>
    <row r="9" spans="1:9" ht="5.25" customHeight="1" x14ac:dyDescent="0.5"/>
    <row r="10" spans="1:9" ht="16.8" x14ac:dyDescent="0.95">
      <c r="B10" s="15" t="s">
        <v>35</v>
      </c>
      <c r="E10" s="47" t="str">
        <f>_xll.ciqfunctions.udf.CIQ("NasdaqGS:EBAY", "IQ_COMPANY_TICKER")</f>
        <v>NasdaqGS:EBAY</v>
      </c>
      <c r="G10" s="39" t="s">
        <v>41</v>
      </c>
      <c r="H10" s="20" t="s">
        <v>26</v>
      </c>
      <c r="I10" s="20" t="s">
        <v>27</v>
      </c>
    </row>
    <row r="11" spans="1:9" x14ac:dyDescent="0.5">
      <c r="B11" s="15" t="s">
        <v>71</v>
      </c>
      <c r="E11" s="48">
        <f>_xll.ciqfunctions.udf.CIQ(E10, "IQ_LASTSALEPRICE", E12,$C$4)</f>
        <v>59.73</v>
      </c>
      <c r="G11" s="15" t="s">
        <v>25</v>
      </c>
      <c r="H11" s="52">
        <f>_xll.ciqfunctions.udf.CIQ($E$10, "IQ_REVENUE_EST", "FY2021",,,,$C$4)</f>
        <v>10413.179529999999</v>
      </c>
      <c r="I11" s="52">
        <f>_xll.ciqfunctions.udf.CIQ($E$10, "IQ_REVENUE_EST", "FY2022",,,,$C$4)</f>
        <v>9751.7414000000008</v>
      </c>
    </row>
    <row r="12" spans="1:9" x14ac:dyDescent="0.5">
      <c r="B12" s="15" t="s">
        <v>36</v>
      </c>
      <c r="E12" s="81">
        <f>'Comps Data (Capital IQ))'!$AH$3</f>
        <v>44275</v>
      </c>
      <c r="G12" s="15" t="s">
        <v>11</v>
      </c>
      <c r="H12" s="52">
        <f>_xll.ciqfunctions.udf.CIQ($E$10, "IQ_EBITDA_EST", "FY2021",,,,$C$4)</f>
        <v>3966.21333</v>
      </c>
      <c r="I12" s="52">
        <f>_xll.ciqfunctions.udf.CIQ($E$10, "IQ_EBITDA_EST", "FY2022",,,,$C$4)</f>
        <v>3350.5628099999999</v>
      </c>
    </row>
    <row r="13" spans="1:9" x14ac:dyDescent="0.5">
      <c r="E13" s="49"/>
      <c r="G13" s="15" t="s">
        <v>12</v>
      </c>
      <c r="H13" s="52">
        <f>_xll.ciqfunctions.udf.CIQ($E$10, "IQ_NI_REPORTED_EST", "FY2021",,,,$C$4)</f>
        <v>1648.46</v>
      </c>
      <c r="I13" s="52">
        <f>_xll.ciqfunctions.udf.CIQ($E$10, "IQ_NI_REPORTED_EST", "FY2022",,,,$C$4)</f>
        <v>-1504.42563</v>
      </c>
    </row>
    <row r="14" spans="1:9" x14ac:dyDescent="0.5">
      <c r="B14" s="40" t="s">
        <v>37</v>
      </c>
      <c r="E14" s="49"/>
      <c r="G14" s="15" t="s">
        <v>28</v>
      </c>
      <c r="H14" s="52">
        <f>_xll.ciqfunctions.udf.CIQ($E$10, "IQ_CASH_OPER_EST", "FY2021",,,,$C$4)</f>
        <v>3064.1374999999998</v>
      </c>
      <c r="I14" s="52">
        <f>_xll.ciqfunctions.udf.CIQ($E$10, "IQ_CASH_OPER_EST", "FY2022",,,,$C$4)</f>
        <v>2471.6285699999999</v>
      </c>
    </row>
    <row r="15" spans="1:9" x14ac:dyDescent="0.5">
      <c r="B15" s="15" t="s">
        <v>72</v>
      </c>
      <c r="E15" s="82">
        <f>_xll.ciqfunctions.udf.CIQ(E10, "IQ_TOTAL_OUTSTANDING_BS_DATE", , E12)</f>
        <v>684</v>
      </c>
      <c r="H15" s="49"/>
      <c r="I15" s="49"/>
    </row>
    <row r="16" spans="1:9" ht="16.5" customHeight="1" x14ac:dyDescent="0.5">
      <c r="B16" s="72" t="s">
        <v>82</v>
      </c>
      <c r="C16" s="72"/>
      <c r="D16" s="72"/>
      <c r="E16" s="75">
        <f>+E64</f>
        <v>30</v>
      </c>
      <c r="H16" s="49"/>
      <c r="I16" s="49"/>
    </row>
    <row r="17" spans="2:9" ht="16.5" customHeight="1" x14ac:dyDescent="0.5">
      <c r="B17" s="72" t="s">
        <v>73</v>
      </c>
      <c r="C17" s="72"/>
      <c r="D17" s="72"/>
      <c r="E17" s="75">
        <f>+F51</f>
        <v>0</v>
      </c>
      <c r="G17" s="73" t="s">
        <v>42</v>
      </c>
      <c r="H17" s="77" t="s">
        <v>26</v>
      </c>
      <c r="I17" s="77" t="s">
        <v>27</v>
      </c>
    </row>
    <row r="18" spans="2:9" ht="16.5" customHeight="1" x14ac:dyDescent="0.5">
      <c r="B18" s="74" t="s">
        <v>74</v>
      </c>
      <c r="C18" s="74"/>
      <c r="D18" s="74"/>
      <c r="E18" s="76">
        <f>+E76</f>
        <v>0</v>
      </c>
      <c r="G18" s="15" t="s">
        <v>25</v>
      </c>
      <c r="H18" s="55">
        <f>IFERROR($E$32/H11,"-")</f>
        <v>4.7788689186270092</v>
      </c>
      <c r="I18" s="55">
        <f>IFERROR($E$32/I11,"-")</f>
        <v>5.1030085764989623</v>
      </c>
    </row>
    <row r="19" spans="2:9" x14ac:dyDescent="0.5">
      <c r="B19" s="72" t="s">
        <v>81</v>
      </c>
      <c r="E19" s="79">
        <f>SUM(E15:E18)</f>
        <v>714</v>
      </c>
      <c r="G19" s="15" t="s">
        <v>11</v>
      </c>
      <c r="H19" s="55">
        <f>IFERROR($E$32/H12,"-")</f>
        <v>12.546783508490705</v>
      </c>
      <c r="I19" s="55">
        <f>IFERROR($E$32/I12,"-")</f>
        <v>14.852197323828113</v>
      </c>
    </row>
    <row r="20" spans="2:9" x14ac:dyDescent="0.5">
      <c r="E20" s="49"/>
      <c r="G20" s="15" t="s">
        <v>12</v>
      </c>
      <c r="H20" s="55">
        <f>IFERROR($E$21/H13,"-")</f>
        <v>25.870946216468703</v>
      </c>
      <c r="I20" s="55">
        <f>IFERROR($E$21/I13,"-")</f>
        <v>-28.347841960124011</v>
      </c>
    </row>
    <row r="21" spans="2:9" x14ac:dyDescent="0.5">
      <c r="B21" s="16" t="s">
        <v>38</v>
      </c>
      <c r="C21" s="16"/>
      <c r="D21" s="16"/>
      <c r="E21" s="64">
        <f>+E11*E19</f>
        <v>42647.22</v>
      </c>
      <c r="G21" s="15" t="s">
        <v>28</v>
      </c>
      <c r="H21" s="55">
        <f>IFERROR($E$21/H14,"-")</f>
        <v>13.918180891033774</v>
      </c>
      <c r="I21" s="55">
        <f>IFERROR($E$21/I14,"-")</f>
        <v>17.254704253560234</v>
      </c>
    </row>
    <row r="22" spans="2:9" x14ac:dyDescent="0.5">
      <c r="E22" s="49"/>
      <c r="H22" s="49"/>
      <c r="I22" s="49"/>
    </row>
    <row r="23" spans="2:9" x14ac:dyDescent="0.5">
      <c r="B23" s="15" t="s">
        <v>76</v>
      </c>
      <c r="E23" s="52">
        <f>_xll.ciqfunctions.udf.CIQ(E10, "IQ_CASH_EQUIV", , E12, , , $C$4)</f>
        <v>1101</v>
      </c>
      <c r="G23" s="15" t="s">
        <v>45</v>
      </c>
      <c r="H23" s="49"/>
      <c r="I23" s="55">
        <f>IFERROR(E29/E34,"-")</f>
        <v>2.3074978938500421</v>
      </c>
    </row>
    <row r="24" spans="2:9" x14ac:dyDescent="0.5">
      <c r="E24" s="49"/>
      <c r="G24" s="15" t="s">
        <v>77</v>
      </c>
      <c r="H24" s="49"/>
      <c r="I24" s="56">
        <f>IFERROR(E29/(E29+E34),"-")</f>
        <v>0.69765664798777383</v>
      </c>
    </row>
    <row r="25" spans="2:9" x14ac:dyDescent="0.5">
      <c r="B25" s="15" t="s">
        <v>86</v>
      </c>
      <c r="E25" s="80">
        <f>_xll.ciqfunctions.udf.CIQ(E10, "IQ_TOTAL_DEBT", , E12, , , $C$4)</f>
        <v>8217</v>
      </c>
      <c r="G25" s="15" t="s">
        <v>78</v>
      </c>
      <c r="I25" s="56">
        <f>IFERROR(E29/(E29+E21),"-")</f>
        <v>0.1615477441706567</v>
      </c>
    </row>
    <row r="26" spans="2:9" x14ac:dyDescent="0.5">
      <c r="B26" s="15" t="s">
        <v>89</v>
      </c>
      <c r="E26" s="80">
        <f>_xll.ciqfunctions.udf.CIQ(E10, "IQ_CONVERT", , E12, , , $C$4)</f>
        <v>0</v>
      </c>
      <c r="I26" s="56"/>
    </row>
    <row r="27" spans="2:9" x14ac:dyDescent="0.5">
      <c r="B27" s="15" t="s">
        <v>88</v>
      </c>
      <c r="E27" s="65">
        <f>+E25-E26</f>
        <v>8217</v>
      </c>
    </row>
    <row r="28" spans="2:9" x14ac:dyDescent="0.5">
      <c r="B28" s="41" t="s">
        <v>90</v>
      </c>
      <c r="C28" s="41"/>
      <c r="D28" s="41"/>
      <c r="E28" s="53">
        <f>+E79</f>
        <v>0</v>
      </c>
    </row>
    <row r="29" spans="2:9" x14ac:dyDescent="0.5">
      <c r="B29" s="16" t="s">
        <v>87</v>
      </c>
      <c r="C29" s="16"/>
      <c r="D29" s="16"/>
      <c r="E29" s="64">
        <f>+E27+E28</f>
        <v>8217</v>
      </c>
    </row>
    <row r="30" spans="2:9" x14ac:dyDescent="0.5">
      <c r="B30" s="16"/>
      <c r="C30" s="16"/>
      <c r="D30" s="16"/>
      <c r="E30" s="54"/>
    </row>
    <row r="31" spans="2:9" x14ac:dyDescent="0.5">
      <c r="B31" s="15" t="s">
        <v>10</v>
      </c>
      <c r="E31" s="65">
        <f>+E29-E23</f>
        <v>7116</v>
      </c>
    </row>
    <row r="32" spans="2:9" x14ac:dyDescent="0.5">
      <c r="B32" s="16" t="s">
        <v>40</v>
      </c>
      <c r="C32" s="16"/>
      <c r="D32" s="16"/>
      <c r="E32" s="64">
        <f>+E21+E31</f>
        <v>49763.22</v>
      </c>
    </row>
    <row r="33" spans="2:26" x14ac:dyDescent="0.5">
      <c r="E33" s="49"/>
    </row>
    <row r="34" spans="2:26" x14ac:dyDescent="0.5">
      <c r="B34" s="15" t="s">
        <v>44</v>
      </c>
      <c r="E34" s="52">
        <f>_xll.ciqfunctions.udf.CIQ(E10, "IQ_TOTAL_EQUITY", , E12, , , $C$4)</f>
        <v>3561</v>
      </c>
    </row>
    <row r="36" spans="2:26" x14ac:dyDescent="0.5">
      <c r="B36" s="44" t="s">
        <v>46</v>
      </c>
      <c r="C36" s="44"/>
      <c r="D36" s="44"/>
      <c r="E36" s="44"/>
      <c r="F36" s="44"/>
    </row>
    <row r="37" spans="2:26" ht="5.25" customHeight="1" x14ac:dyDescent="0.5"/>
    <row r="38" spans="2:26" x14ac:dyDescent="0.5">
      <c r="B38" s="42"/>
      <c r="C38" s="42" t="s">
        <v>49</v>
      </c>
      <c r="D38" s="42" t="s">
        <v>48</v>
      </c>
      <c r="E38" s="42" t="s">
        <v>49</v>
      </c>
      <c r="F38" s="42"/>
    </row>
    <row r="39" spans="2:26" ht="16.8" x14ac:dyDescent="0.95">
      <c r="B39" s="19" t="s">
        <v>47</v>
      </c>
      <c r="C39" s="20" t="s">
        <v>51</v>
      </c>
      <c r="D39" s="20" t="s">
        <v>8</v>
      </c>
      <c r="E39" s="20" t="s">
        <v>91</v>
      </c>
      <c r="F39" s="20" t="s">
        <v>50</v>
      </c>
    </row>
    <row r="40" spans="2:26" s="66" customFormat="1" ht="10.199999999999999" x14ac:dyDescent="0.35">
      <c r="C40" s="66" t="s">
        <v>21</v>
      </c>
      <c r="D40" s="67" t="s">
        <v>16</v>
      </c>
      <c r="E40" s="66" t="s">
        <v>21</v>
      </c>
      <c r="F40" s="67" t="s">
        <v>20</v>
      </c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9"/>
      <c r="S40" s="67"/>
      <c r="T40" s="67"/>
      <c r="U40" s="67"/>
      <c r="V40" s="67"/>
      <c r="W40" s="67"/>
      <c r="X40" s="67"/>
      <c r="Y40" s="67"/>
      <c r="Z40" s="67"/>
    </row>
    <row r="41" spans="2:26" x14ac:dyDescent="0.5">
      <c r="B41" s="38"/>
      <c r="C41" s="50"/>
      <c r="D41" s="48"/>
      <c r="E41" s="46">
        <f>+IF(D41&lt;$E$11,C41,0)</f>
        <v>0</v>
      </c>
      <c r="F41" s="57">
        <f>+D41*E41</f>
        <v>0</v>
      </c>
    </row>
    <row r="42" spans="2:26" x14ac:dyDescent="0.5">
      <c r="B42" s="38"/>
      <c r="C42" s="50"/>
      <c r="D42" s="48"/>
      <c r="E42" s="46">
        <f t="shared" ref="E42:E46" si="0">+IF(D42&lt;$E$11,C42,0)</f>
        <v>0</v>
      </c>
      <c r="F42" s="57">
        <f t="shared" ref="F42:F46" si="1">+D42*E42</f>
        <v>0</v>
      </c>
    </row>
    <row r="43" spans="2:26" x14ac:dyDescent="0.5">
      <c r="B43" s="38"/>
      <c r="C43" s="50"/>
      <c r="D43" s="48"/>
      <c r="E43" s="46">
        <f t="shared" si="0"/>
        <v>0</v>
      </c>
      <c r="F43" s="57">
        <f t="shared" si="1"/>
        <v>0</v>
      </c>
    </row>
    <row r="44" spans="2:26" x14ac:dyDescent="0.5">
      <c r="B44" s="38"/>
      <c r="C44" s="50"/>
      <c r="D44" s="48"/>
      <c r="E44" s="46">
        <f t="shared" si="0"/>
        <v>0</v>
      </c>
      <c r="F44" s="57">
        <f t="shared" si="1"/>
        <v>0</v>
      </c>
    </row>
    <row r="45" spans="2:26" x14ac:dyDescent="0.5">
      <c r="B45" s="38"/>
      <c r="C45" s="50"/>
      <c r="D45" s="48"/>
      <c r="E45" s="46">
        <f t="shared" si="0"/>
        <v>0</v>
      </c>
      <c r="F45" s="57">
        <f t="shared" si="1"/>
        <v>0</v>
      </c>
    </row>
    <row r="46" spans="2:26" x14ac:dyDescent="0.5">
      <c r="B46" s="43"/>
      <c r="C46" s="61"/>
      <c r="D46" s="62"/>
      <c r="E46" s="51">
        <f t="shared" si="0"/>
        <v>0</v>
      </c>
      <c r="F46" s="58">
        <f t="shared" si="1"/>
        <v>0</v>
      </c>
    </row>
    <row r="47" spans="2:26" x14ac:dyDescent="0.5">
      <c r="B47" s="16" t="s">
        <v>52</v>
      </c>
      <c r="C47" s="54"/>
      <c r="D47" s="54"/>
      <c r="E47" s="59">
        <f>SUM(E41:E46)</f>
        <v>0</v>
      </c>
      <c r="F47" s="60">
        <f>SUM(F41:F46)</f>
        <v>0</v>
      </c>
    </row>
    <row r="48" spans="2:26" x14ac:dyDescent="0.5">
      <c r="C48" s="49"/>
      <c r="D48" s="49"/>
      <c r="E48" s="49"/>
      <c r="F48" s="49"/>
    </row>
    <row r="49" spans="2:6" x14ac:dyDescent="0.5">
      <c r="B49" s="15" t="s">
        <v>53</v>
      </c>
      <c r="C49" s="49"/>
      <c r="D49" s="49"/>
      <c r="E49" s="49"/>
      <c r="F49" s="46">
        <f>+E47</f>
        <v>0</v>
      </c>
    </row>
    <row r="50" spans="2:6" x14ac:dyDescent="0.5">
      <c r="B50" s="15" t="s">
        <v>54</v>
      </c>
      <c r="C50" s="49"/>
      <c r="D50" s="49"/>
      <c r="E50" s="49"/>
      <c r="F50" s="46">
        <f>IF(ISERR($F47/E11),"-",$F47/E11)</f>
        <v>0</v>
      </c>
    </row>
    <row r="51" spans="2:6" x14ac:dyDescent="0.5">
      <c r="B51" s="15" t="s">
        <v>79</v>
      </c>
      <c r="C51" s="49"/>
      <c r="D51" s="49"/>
      <c r="E51" s="49"/>
      <c r="F51" s="46">
        <f>+IF(ISERR(F49-F50),"-",F49-F50)</f>
        <v>0</v>
      </c>
    </row>
    <row r="52" spans="2:6" x14ac:dyDescent="0.5">
      <c r="C52" s="49"/>
      <c r="D52" s="49"/>
      <c r="E52" s="49"/>
      <c r="F52" s="46"/>
    </row>
    <row r="53" spans="2:6" x14ac:dyDescent="0.5">
      <c r="B53" s="44" t="s">
        <v>80</v>
      </c>
      <c r="C53" s="44"/>
      <c r="D53" s="44"/>
      <c r="E53" s="44"/>
      <c r="F53" s="46"/>
    </row>
    <row r="54" spans="2:6" ht="5.55" customHeight="1" x14ac:dyDescent="0.5">
      <c r="B54" s="16"/>
      <c r="D54" s="49"/>
      <c r="E54" s="16"/>
      <c r="F54" s="46"/>
    </row>
    <row r="55" spans="2:6" x14ac:dyDescent="0.5">
      <c r="B55" s="16"/>
      <c r="D55" s="49"/>
      <c r="E55" s="42" t="s">
        <v>83</v>
      </c>
      <c r="F55" s="46"/>
    </row>
    <row r="56" spans="2:6" x14ac:dyDescent="0.5">
      <c r="B56" s="16"/>
      <c r="D56" s="49"/>
      <c r="E56" s="42" t="s">
        <v>49</v>
      </c>
      <c r="F56" s="46"/>
    </row>
    <row r="57" spans="2:6" ht="16.8" x14ac:dyDescent="0.95">
      <c r="B57" s="19" t="s">
        <v>47</v>
      </c>
      <c r="C57" s="19" t="s">
        <v>84</v>
      </c>
      <c r="D57" s="19" t="s">
        <v>84</v>
      </c>
      <c r="E57" s="20" t="s">
        <v>51</v>
      </c>
      <c r="F57" s="46"/>
    </row>
    <row r="58" spans="2:6" x14ac:dyDescent="0.5">
      <c r="E58" s="66" t="s">
        <v>21</v>
      </c>
      <c r="F58" s="46"/>
    </row>
    <row r="59" spans="2:6" x14ac:dyDescent="0.5">
      <c r="B59" s="38" t="s">
        <v>95</v>
      </c>
      <c r="C59" s="38"/>
      <c r="D59" s="38"/>
      <c r="E59" s="50">
        <v>30</v>
      </c>
      <c r="F59" s="46"/>
    </row>
    <row r="60" spans="2:6" x14ac:dyDescent="0.5">
      <c r="B60" s="38"/>
      <c r="C60" s="38"/>
      <c r="D60" s="38"/>
      <c r="E60" s="50"/>
      <c r="F60" s="46"/>
    </row>
    <row r="61" spans="2:6" x14ac:dyDescent="0.5">
      <c r="B61" s="38"/>
      <c r="C61" s="38"/>
      <c r="D61" s="38"/>
      <c r="E61" s="50"/>
      <c r="F61" s="46"/>
    </row>
    <row r="62" spans="2:6" x14ac:dyDescent="0.5">
      <c r="B62" s="38"/>
      <c r="C62" s="38"/>
      <c r="D62" s="38"/>
      <c r="E62" s="50"/>
      <c r="F62" s="46"/>
    </row>
    <row r="63" spans="2:6" x14ac:dyDescent="0.5">
      <c r="B63" s="43"/>
      <c r="C63" s="43"/>
      <c r="D63" s="43"/>
      <c r="E63" s="43"/>
      <c r="F63" s="46"/>
    </row>
    <row r="64" spans="2:6" x14ac:dyDescent="0.5">
      <c r="B64" s="16" t="s">
        <v>52</v>
      </c>
      <c r="D64" s="49"/>
      <c r="E64" s="78">
        <f>SUM(E59:E63)</f>
        <v>30</v>
      </c>
      <c r="F64" s="46"/>
    </row>
    <row r="66" spans="2:5" x14ac:dyDescent="0.5">
      <c r="B66" s="44" t="s">
        <v>39</v>
      </c>
      <c r="C66" s="44"/>
      <c r="D66" s="44"/>
      <c r="E66" s="44"/>
    </row>
    <row r="67" spans="2:5" ht="5.25" customHeight="1" x14ac:dyDescent="0.5"/>
    <row r="68" spans="2:5" x14ac:dyDescent="0.5">
      <c r="B68" s="42"/>
      <c r="C68" s="42" t="s">
        <v>56</v>
      </c>
      <c r="D68" s="42" t="s">
        <v>57</v>
      </c>
      <c r="E68" s="42" t="s">
        <v>9</v>
      </c>
    </row>
    <row r="69" spans="2:5" ht="16.8" x14ac:dyDescent="0.95">
      <c r="B69" s="19" t="s">
        <v>55</v>
      </c>
      <c r="C69" s="20" t="s">
        <v>23</v>
      </c>
      <c r="D69" s="20" t="s">
        <v>8</v>
      </c>
      <c r="E69" s="20" t="s">
        <v>58</v>
      </c>
    </row>
    <row r="70" spans="2:5" x14ac:dyDescent="0.5">
      <c r="C70" s="66" t="s">
        <v>21</v>
      </c>
      <c r="D70" s="67" t="s">
        <v>16</v>
      </c>
      <c r="E70" s="66" t="s">
        <v>21</v>
      </c>
    </row>
    <row r="71" spans="2:5" x14ac:dyDescent="0.5">
      <c r="B71" s="38"/>
      <c r="C71" s="52"/>
      <c r="D71" s="48"/>
      <c r="E71" s="46">
        <f>IF(ISNUMBER($D71),IF($E$11&gt;$D71,$C71/$D71,0),0)</f>
        <v>0</v>
      </c>
    </row>
    <row r="72" spans="2:5" x14ac:dyDescent="0.5">
      <c r="B72" s="38"/>
      <c r="C72" s="52"/>
      <c r="D72" s="48"/>
      <c r="E72" s="46">
        <f t="shared" ref="E72:E75" si="2">IF(ISNUMBER($D72),IF($E$11&gt;$D72,$C72/$D72,0),0)</f>
        <v>0</v>
      </c>
    </row>
    <row r="73" spans="2:5" x14ac:dyDescent="0.5">
      <c r="B73" s="38"/>
      <c r="C73" s="52"/>
      <c r="D73" s="48"/>
      <c r="E73" s="46">
        <f t="shared" si="2"/>
        <v>0</v>
      </c>
    </row>
    <row r="74" spans="2:5" x14ac:dyDescent="0.5">
      <c r="B74" s="38"/>
      <c r="C74" s="52"/>
      <c r="D74" s="48"/>
      <c r="E74" s="46">
        <f t="shared" si="2"/>
        <v>0</v>
      </c>
    </row>
    <row r="75" spans="2:5" x14ac:dyDescent="0.5">
      <c r="B75" s="43"/>
      <c r="C75" s="63"/>
      <c r="D75" s="62"/>
      <c r="E75" s="51">
        <f t="shared" si="2"/>
        <v>0</v>
      </c>
    </row>
    <row r="76" spans="2:5" x14ac:dyDescent="0.5">
      <c r="B76" s="16" t="s">
        <v>52</v>
      </c>
      <c r="C76" s="64">
        <f>SUM(C71:C75)</f>
        <v>0</v>
      </c>
      <c r="D76" s="54"/>
      <c r="E76" s="59">
        <f>SUM(E71:E75)</f>
        <v>0</v>
      </c>
    </row>
    <row r="77" spans="2:5" x14ac:dyDescent="0.5">
      <c r="C77" s="49"/>
      <c r="D77" s="49"/>
      <c r="E77" s="49"/>
    </row>
    <row r="78" spans="2:5" x14ac:dyDescent="0.5">
      <c r="B78" s="15" t="s">
        <v>59</v>
      </c>
      <c r="C78" s="49"/>
      <c r="D78" s="49"/>
      <c r="E78" s="65">
        <f>SUMIF(D71:D75,"&lt;"&amp;$E$11,C71:C75)</f>
        <v>0</v>
      </c>
    </row>
    <row r="79" spans="2:5" x14ac:dyDescent="0.5">
      <c r="B79" s="15" t="s">
        <v>60</v>
      </c>
      <c r="C79" s="49"/>
      <c r="D79" s="49"/>
      <c r="E79" s="65">
        <f>+C76-E78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142B8-86C9-4E38-8960-51B0ED8D1530}">
  <dimension ref="A1:Z79"/>
  <sheetViews>
    <sheetView showGridLines="0" zoomScaleNormal="100" workbookViewId="0"/>
  </sheetViews>
  <sheetFormatPr defaultColWidth="11.68359375" defaultRowHeight="14.1" x14ac:dyDescent="0.5"/>
  <cols>
    <col min="1" max="1" width="5.68359375" style="15" customWidth="1"/>
    <col min="2" max="2" width="50.68359375" style="15" customWidth="1"/>
    <col min="3" max="6" width="15.68359375" style="15" customWidth="1"/>
    <col min="7" max="7" width="50.68359375" style="15" customWidth="1"/>
    <col min="8" max="9" width="15.68359375" style="15" customWidth="1"/>
    <col min="10" max="16384" width="11.68359375" style="15"/>
  </cols>
  <sheetData>
    <row r="1" spans="1:9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</row>
    <row r="2" spans="1:9" s="2" customFormat="1" ht="17.399999999999999" x14ac:dyDescent="0.5">
      <c r="A2" s="12" t="str">
        <f>_xll.ciqfunctions.udf.CIQ($E$10, "IQ_COMPANY_NAME")</f>
        <v>Etsy, Inc.</v>
      </c>
      <c r="B2" s="12"/>
      <c r="C2" s="12"/>
      <c r="D2" s="12"/>
      <c r="E2" s="12"/>
      <c r="F2" s="12"/>
      <c r="G2" s="12"/>
      <c r="H2" s="12"/>
      <c r="I2" s="12"/>
    </row>
    <row r="3" spans="1:9" s="11" customFormat="1" ht="15" x14ac:dyDescent="0.5">
      <c r="A3" s="36" t="s">
        <v>102</v>
      </c>
      <c r="B3" s="14"/>
      <c r="C3" s="14"/>
      <c r="D3" s="14"/>
      <c r="E3" s="13"/>
      <c r="F3" s="13"/>
      <c r="G3" s="13"/>
      <c r="H3" s="13"/>
      <c r="I3" s="13"/>
    </row>
    <row r="4" spans="1:9" x14ac:dyDescent="0.5">
      <c r="B4" s="15" t="str">
        <f>'Comps Data (Capital IQ))'!$AG$2</f>
        <v>Currency</v>
      </c>
      <c r="C4" s="15" t="str">
        <f>'Comps Data (Capital IQ))'!$AH$2</f>
        <v>USD</v>
      </c>
    </row>
    <row r="6" spans="1:9" ht="15" x14ac:dyDescent="0.5">
      <c r="B6" s="37" t="str">
        <f>_xll.ciqfunctions.udf.CIQ($E$10, "IQ_COMPANY_NAME")</f>
        <v>Etsy, Inc.</v>
      </c>
      <c r="C6" s="13"/>
      <c r="D6" s="13"/>
      <c r="E6" s="13"/>
      <c r="F6" s="13"/>
      <c r="G6" s="13"/>
      <c r="H6" s="13"/>
      <c r="I6" s="13"/>
    </row>
    <row r="8" spans="1:9" x14ac:dyDescent="0.5">
      <c r="B8" s="44" t="s">
        <v>24</v>
      </c>
      <c r="C8" s="44"/>
      <c r="D8" s="44"/>
      <c r="E8" s="44"/>
      <c r="G8" s="44" t="s">
        <v>43</v>
      </c>
      <c r="H8" s="45"/>
      <c r="I8" s="45"/>
    </row>
    <row r="9" spans="1:9" ht="5.25" customHeight="1" x14ac:dyDescent="0.5"/>
    <row r="10" spans="1:9" ht="16.8" x14ac:dyDescent="0.95">
      <c r="B10" s="15" t="s">
        <v>35</v>
      </c>
      <c r="E10" s="47" t="str">
        <f>_xll.ciqfunctions.udf.CIQ("NasdaqGS:ETSY", "IQ_COMPANY_TICKER")</f>
        <v>NasdaqGS:ETSY</v>
      </c>
      <c r="G10" s="39" t="s">
        <v>41</v>
      </c>
      <c r="H10" s="20" t="s">
        <v>26</v>
      </c>
      <c r="I10" s="20" t="s">
        <v>27</v>
      </c>
    </row>
    <row r="11" spans="1:9" x14ac:dyDescent="0.5">
      <c r="B11" s="15" t="s">
        <v>71</v>
      </c>
      <c r="E11" s="48">
        <f>_xll.ciqfunctions.udf.CIQ(E10, "IQ_LASTSALEPRICE", E12)</f>
        <v>215.41</v>
      </c>
      <c r="G11" s="15" t="s">
        <v>25</v>
      </c>
      <c r="H11" s="52">
        <f>_xll.ciqfunctions.udf.CIQ($E$10, "IQ_REVENUE_EST", "FY2021", $E$12)</f>
        <v>2165.5370200000002</v>
      </c>
      <c r="I11" s="52">
        <f>_xll.ciqfunctions.udf.CIQ($E$10, "IQ_REVENUE_EST", "FY2022", $E$12)</f>
        <v>2578.8431099999998</v>
      </c>
    </row>
    <row r="12" spans="1:9" x14ac:dyDescent="0.5">
      <c r="B12" s="15" t="s">
        <v>36</v>
      </c>
      <c r="E12" s="81">
        <f>'Comps Data (Capital IQ))'!$AH$3</f>
        <v>44275</v>
      </c>
      <c r="G12" s="15" t="s">
        <v>11</v>
      </c>
      <c r="H12" s="52">
        <f>_xll.ciqfunctions.udf.CIQ($E$10, "IQ_EBITDA_EST", "FY2021", $E$12)</f>
        <v>649.72310000000004</v>
      </c>
      <c r="I12" s="52">
        <f>_xll.ciqfunctions.udf.CIQ($E$10, "IQ_EBITDA_EST", "FY2022", $E$12)</f>
        <v>786.47409000000005</v>
      </c>
    </row>
    <row r="13" spans="1:9" x14ac:dyDescent="0.5">
      <c r="E13" s="49"/>
      <c r="G13" s="15" t="s">
        <v>12</v>
      </c>
      <c r="H13" s="52">
        <f>_xll.ciqfunctions.udf.CIQ($E$10, "IQ_NI_REPORTED_EST", "FY2021", $E$12)</f>
        <v>443.44204000000002</v>
      </c>
      <c r="I13" s="52">
        <f>_xll.ciqfunctions.udf.CIQ($E$10, "IQ_NI_REPORTED_EST", "FY2022", $E$12)</f>
        <v>547.65554999999995</v>
      </c>
    </row>
    <row r="14" spans="1:9" x14ac:dyDescent="0.5">
      <c r="B14" s="40" t="s">
        <v>37</v>
      </c>
      <c r="E14" s="49"/>
      <c r="G14" s="15" t="s">
        <v>28</v>
      </c>
      <c r="H14" s="52">
        <f>_xll.ciqfunctions.udf.CIQ($E$10, "IQ_CASH_OPER_EST", "FY2021", $E$12)</f>
        <v>620.60207000000003</v>
      </c>
      <c r="I14" s="52">
        <f>_xll.ciqfunctions.udf.CIQ($E$10, "IQ_CASH_OPER_EST", "FY2022", $E$12)</f>
        <v>730.79529000000002</v>
      </c>
    </row>
    <row r="15" spans="1:9" x14ac:dyDescent="0.5">
      <c r="B15" s="15" t="s">
        <v>72</v>
      </c>
      <c r="E15" s="82">
        <f>_xll.ciqfunctions.udf.CIQ(E10, "IQ_TOTAL_OUTSTANDING_BS_DATE", , E12)</f>
        <v>125.83593</v>
      </c>
      <c r="H15" s="49"/>
      <c r="I15" s="49"/>
    </row>
    <row r="16" spans="1:9" ht="16.5" customHeight="1" x14ac:dyDescent="0.5">
      <c r="B16" s="72" t="s">
        <v>82</v>
      </c>
      <c r="C16" s="72"/>
      <c r="D16" s="72"/>
      <c r="E16" s="75">
        <f>+E64</f>
        <v>3.582281</v>
      </c>
      <c r="H16" s="49"/>
      <c r="I16" s="49"/>
    </row>
    <row r="17" spans="2:9" ht="16.5" customHeight="1" x14ac:dyDescent="0.5">
      <c r="B17" s="72" t="s">
        <v>73</v>
      </c>
      <c r="C17" s="72"/>
      <c r="D17" s="72"/>
      <c r="E17" s="75">
        <f>+F51</f>
        <v>3.342366360707488</v>
      </c>
      <c r="G17" s="73" t="s">
        <v>42</v>
      </c>
      <c r="H17" s="77" t="s">
        <v>26</v>
      </c>
      <c r="I17" s="77" t="s">
        <v>27</v>
      </c>
    </row>
    <row r="18" spans="2:9" ht="16.5" customHeight="1" x14ac:dyDescent="0.5">
      <c r="B18" s="74" t="s">
        <v>74</v>
      </c>
      <c r="C18" s="74"/>
      <c r="D18" s="74"/>
      <c r="E18" s="76">
        <f>+E76</f>
        <v>11.8739174411</v>
      </c>
      <c r="G18" s="15" t="s">
        <v>25</v>
      </c>
      <c r="H18" s="55">
        <f>IFERROR($E$32/H11,"-")</f>
        <v>13.71726054595795</v>
      </c>
      <c r="I18" s="55">
        <f>IFERROR($E$32/I11,"-")</f>
        <v>11.518822300615781</v>
      </c>
    </row>
    <row r="19" spans="2:9" x14ac:dyDescent="0.5">
      <c r="B19" s="72" t="s">
        <v>81</v>
      </c>
      <c r="E19" s="79">
        <f>SUM(E15:E18)</f>
        <v>144.63449480180751</v>
      </c>
      <c r="G19" s="15" t="s">
        <v>11</v>
      </c>
      <c r="H19" s="55">
        <f>IFERROR($E$32/H12,"-")</f>
        <v>45.719838997962903</v>
      </c>
      <c r="I19" s="55">
        <f>IFERROR($E$32/I12,"-")</f>
        <v>37.770138778834216</v>
      </c>
    </row>
    <row r="20" spans="2:9" x14ac:dyDescent="0.5">
      <c r="E20" s="49"/>
      <c r="G20" s="15" t="s">
        <v>12</v>
      </c>
      <c r="H20" s="55">
        <f>IFERROR($E$21/H13,"-")</f>
        <v>70.258824637504716</v>
      </c>
      <c r="I20" s="55">
        <f>IFERROR($E$21/I13,"-")</f>
        <v>56.889255527963435</v>
      </c>
    </row>
    <row r="21" spans="2:9" x14ac:dyDescent="0.5">
      <c r="B21" s="16" t="s">
        <v>38</v>
      </c>
      <c r="C21" s="16"/>
      <c r="D21" s="16"/>
      <c r="E21" s="64">
        <f>+E11*E19</f>
        <v>31155.716525257354</v>
      </c>
      <c r="G21" s="15" t="s">
        <v>28</v>
      </c>
      <c r="H21" s="55">
        <f>IFERROR($E$21/H14,"-")</f>
        <v>50.20240510196389</v>
      </c>
      <c r="I21" s="55">
        <f>IFERROR($E$21/I14,"-")</f>
        <v>42.632618123821452</v>
      </c>
    </row>
    <row r="22" spans="2:9" x14ac:dyDescent="0.5">
      <c r="E22" s="49"/>
      <c r="H22" s="49"/>
      <c r="I22" s="49"/>
    </row>
    <row r="23" spans="2:9" x14ac:dyDescent="0.5">
      <c r="B23" s="15" t="s">
        <v>76</v>
      </c>
      <c r="E23" s="52">
        <f>_xll.ciqfunctions.udf.CIQ(E10, "IQ_CASH_EQUIV", , E12)</f>
        <v>1244.0989999999999</v>
      </c>
      <c r="G23" s="15" t="s">
        <v>45</v>
      </c>
      <c r="H23" s="49"/>
      <c r="I23" s="55">
        <f>IFERROR(E29/E34,"-")</f>
        <v>-0.27798400913763571</v>
      </c>
    </row>
    <row r="24" spans="2:9" x14ac:dyDescent="0.5">
      <c r="E24" s="49"/>
      <c r="G24" s="15" t="s">
        <v>77</v>
      </c>
      <c r="H24" s="49"/>
      <c r="I24" s="56">
        <f>IFERROR(E29/(E29+E34),"-")</f>
        <v>-0.38501087601344686</v>
      </c>
    </row>
    <row r="25" spans="2:9" x14ac:dyDescent="0.5">
      <c r="B25" s="15" t="s">
        <v>86</v>
      </c>
      <c r="E25" s="80">
        <f>_xll.ciqfunctions.udf.CIQ(E10, "IQ_TOTAL_DEBT", , E12)</f>
        <v>1137.5329999999999</v>
      </c>
      <c r="G25" s="15" t="s">
        <v>78</v>
      </c>
      <c r="I25" s="56">
        <f>IFERROR(E29/(E29+E21),"-")</f>
        <v>-6.6683824762556482E-3</v>
      </c>
    </row>
    <row r="26" spans="2:9" x14ac:dyDescent="0.5">
      <c r="B26" s="15" t="s">
        <v>89</v>
      </c>
      <c r="E26" s="80">
        <f>_xll.ciqfunctions.udf.CIQ(E10, "IQ_CONVERT", , E12, , , "USD")</f>
        <v>1343.915</v>
      </c>
      <c r="I26" s="56"/>
    </row>
    <row r="27" spans="2:9" x14ac:dyDescent="0.5">
      <c r="B27" s="15" t="s">
        <v>88</v>
      </c>
      <c r="E27" s="65">
        <f>+E25-E26</f>
        <v>-206.38200000000006</v>
      </c>
    </row>
    <row r="28" spans="2:9" x14ac:dyDescent="0.5">
      <c r="B28" s="41" t="s">
        <v>90</v>
      </c>
      <c r="C28" s="41"/>
      <c r="D28" s="41"/>
      <c r="E28" s="53">
        <f>+E79</f>
        <v>0</v>
      </c>
    </row>
    <row r="29" spans="2:9" x14ac:dyDescent="0.5">
      <c r="B29" s="16" t="s">
        <v>87</v>
      </c>
      <c r="C29" s="16"/>
      <c r="D29" s="16"/>
      <c r="E29" s="64">
        <f>+E27+E28</f>
        <v>-206.38200000000006</v>
      </c>
    </row>
    <row r="30" spans="2:9" x14ac:dyDescent="0.5">
      <c r="B30" s="16"/>
      <c r="C30" s="16"/>
      <c r="D30" s="16"/>
      <c r="E30" s="54"/>
    </row>
    <row r="31" spans="2:9" x14ac:dyDescent="0.5">
      <c r="B31" s="15" t="s">
        <v>10</v>
      </c>
      <c r="E31" s="65">
        <f>+E29-E23</f>
        <v>-1450.481</v>
      </c>
    </row>
    <row r="32" spans="2:9" x14ac:dyDescent="0.5">
      <c r="B32" s="16" t="s">
        <v>40</v>
      </c>
      <c r="C32" s="16"/>
      <c r="D32" s="16"/>
      <c r="E32" s="64">
        <f>+E21+E31</f>
        <v>29705.235525257354</v>
      </c>
    </row>
    <row r="33" spans="2:26" x14ac:dyDescent="0.5">
      <c r="E33" s="49"/>
    </row>
    <row r="34" spans="2:26" x14ac:dyDescent="0.5">
      <c r="B34" s="15" t="s">
        <v>44</v>
      </c>
      <c r="E34" s="52">
        <f>_xll.ciqfunctions.udf.CIQ(E10, "IQ_TOTAL_EQUITY", , E12)</f>
        <v>742.42399999999998</v>
      </c>
    </row>
    <row r="36" spans="2:26" x14ac:dyDescent="0.5">
      <c r="B36" s="44" t="s">
        <v>46</v>
      </c>
      <c r="C36" s="44"/>
      <c r="D36" s="44"/>
      <c r="E36" s="44"/>
      <c r="F36" s="44"/>
    </row>
    <row r="37" spans="2:26" ht="5.25" customHeight="1" x14ac:dyDescent="0.5"/>
    <row r="38" spans="2:26" x14ac:dyDescent="0.5">
      <c r="B38" s="42"/>
      <c r="C38" s="42" t="s">
        <v>49</v>
      </c>
      <c r="D38" s="42" t="s">
        <v>48</v>
      </c>
      <c r="E38" s="42" t="s">
        <v>49</v>
      </c>
      <c r="F38" s="42"/>
    </row>
    <row r="39" spans="2:26" ht="16.8" x14ac:dyDescent="0.95">
      <c r="B39" s="19" t="s">
        <v>47</v>
      </c>
      <c r="C39" s="20" t="s">
        <v>51</v>
      </c>
      <c r="D39" s="20" t="s">
        <v>8</v>
      </c>
      <c r="E39" s="20" t="s">
        <v>91</v>
      </c>
      <c r="F39" s="20" t="s">
        <v>50</v>
      </c>
    </row>
    <row r="40" spans="2:26" s="66" customFormat="1" ht="10.199999999999999" x14ac:dyDescent="0.35">
      <c r="C40" s="66" t="s">
        <v>21</v>
      </c>
      <c r="D40" s="67" t="s">
        <v>16</v>
      </c>
      <c r="E40" s="66" t="s">
        <v>21</v>
      </c>
      <c r="F40" s="67" t="s">
        <v>20</v>
      </c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9"/>
      <c r="S40" s="67"/>
      <c r="T40" s="67"/>
      <c r="U40" s="67"/>
      <c r="V40" s="67"/>
      <c r="W40" s="67"/>
      <c r="X40" s="67"/>
      <c r="Y40" s="67"/>
      <c r="Z40" s="67"/>
    </row>
    <row r="41" spans="2:26" x14ac:dyDescent="0.5">
      <c r="B41" s="38" t="s">
        <v>97</v>
      </c>
      <c r="C41" s="50">
        <v>3.5582639999999999</v>
      </c>
      <c r="D41" s="48">
        <v>13.07</v>
      </c>
      <c r="E41" s="46">
        <f>+IF(D41&lt;$E$11,C41,0)</f>
        <v>3.5582639999999999</v>
      </c>
      <c r="F41" s="57">
        <f>+D41*E41</f>
        <v>46.506510480000003</v>
      </c>
    </row>
    <row r="42" spans="2:26" x14ac:dyDescent="0.5">
      <c r="B42" s="38"/>
      <c r="C42" s="50"/>
      <c r="D42" s="48"/>
      <c r="E42" s="46">
        <f t="shared" ref="E42:E46" si="0">+IF(D42&lt;$E$11,C42,0)</f>
        <v>0</v>
      </c>
      <c r="F42" s="57">
        <f t="shared" ref="F42:F46" si="1">+D42*E42</f>
        <v>0</v>
      </c>
    </row>
    <row r="43" spans="2:26" x14ac:dyDescent="0.5">
      <c r="B43" s="38"/>
      <c r="C43" s="50"/>
      <c r="D43" s="48"/>
      <c r="E43" s="46">
        <f t="shared" si="0"/>
        <v>0</v>
      </c>
      <c r="F43" s="57">
        <f t="shared" si="1"/>
        <v>0</v>
      </c>
    </row>
    <row r="44" spans="2:26" x14ac:dyDescent="0.5">
      <c r="B44" s="38"/>
      <c r="C44" s="50"/>
      <c r="D44" s="48"/>
      <c r="E44" s="46">
        <f t="shared" si="0"/>
        <v>0</v>
      </c>
      <c r="F44" s="57">
        <f t="shared" si="1"/>
        <v>0</v>
      </c>
    </row>
    <row r="45" spans="2:26" x14ac:dyDescent="0.5">
      <c r="B45" s="38"/>
      <c r="C45" s="50"/>
      <c r="D45" s="48"/>
      <c r="E45" s="46">
        <f t="shared" si="0"/>
        <v>0</v>
      </c>
      <c r="F45" s="57">
        <f t="shared" si="1"/>
        <v>0</v>
      </c>
    </row>
    <row r="46" spans="2:26" x14ac:dyDescent="0.5">
      <c r="B46" s="43"/>
      <c r="C46" s="61"/>
      <c r="D46" s="62"/>
      <c r="E46" s="51">
        <f t="shared" si="0"/>
        <v>0</v>
      </c>
      <c r="F46" s="58">
        <f t="shared" si="1"/>
        <v>0</v>
      </c>
    </row>
    <row r="47" spans="2:26" x14ac:dyDescent="0.5">
      <c r="B47" s="16" t="s">
        <v>52</v>
      </c>
      <c r="C47" s="54"/>
      <c r="D47" s="54"/>
      <c r="E47" s="59">
        <f>SUM(E41:E46)</f>
        <v>3.5582639999999999</v>
      </c>
      <c r="F47" s="60">
        <f>SUM(F41:F46)</f>
        <v>46.506510480000003</v>
      </c>
    </row>
    <row r="48" spans="2:26" x14ac:dyDescent="0.5">
      <c r="C48" s="49"/>
      <c r="D48" s="49"/>
      <c r="E48" s="49"/>
      <c r="F48" s="49"/>
    </row>
    <row r="49" spans="2:6" x14ac:dyDescent="0.5">
      <c r="B49" s="15" t="s">
        <v>53</v>
      </c>
      <c r="C49" s="49"/>
      <c r="D49" s="49"/>
      <c r="E49" s="49"/>
      <c r="F49" s="46">
        <f>+E47</f>
        <v>3.5582639999999999</v>
      </c>
    </row>
    <row r="50" spans="2:6" x14ac:dyDescent="0.5">
      <c r="B50" s="15" t="s">
        <v>54</v>
      </c>
      <c r="C50" s="49"/>
      <c r="D50" s="49"/>
      <c r="E50" s="49"/>
      <c r="F50" s="46">
        <f>IF(ISERR($F47/E11),"-",$F47/E11)</f>
        <v>0.21589763929251196</v>
      </c>
    </row>
    <row r="51" spans="2:6" x14ac:dyDescent="0.5">
      <c r="B51" s="15" t="s">
        <v>79</v>
      </c>
      <c r="C51" s="49"/>
      <c r="D51" s="49"/>
      <c r="E51" s="49"/>
      <c r="F51" s="46">
        <f>+IF(ISERR(F49-F50),"-",F49-F50)</f>
        <v>3.342366360707488</v>
      </c>
    </row>
    <row r="52" spans="2:6" x14ac:dyDescent="0.5">
      <c r="C52" s="49"/>
      <c r="D52" s="49"/>
      <c r="E52" s="49"/>
      <c r="F52" s="46"/>
    </row>
    <row r="53" spans="2:6" x14ac:dyDescent="0.5">
      <c r="B53" s="44" t="s">
        <v>80</v>
      </c>
      <c r="C53" s="44"/>
      <c r="D53" s="44"/>
      <c r="E53" s="44"/>
      <c r="F53" s="46"/>
    </row>
    <row r="54" spans="2:6" ht="5.55" customHeight="1" x14ac:dyDescent="0.5">
      <c r="B54" s="16"/>
      <c r="D54" s="49"/>
      <c r="E54" s="16"/>
      <c r="F54" s="46"/>
    </row>
    <row r="55" spans="2:6" x14ac:dyDescent="0.5">
      <c r="B55" s="16"/>
      <c r="D55" s="49"/>
      <c r="E55" s="42" t="s">
        <v>83</v>
      </c>
      <c r="F55" s="46"/>
    </row>
    <row r="56" spans="2:6" x14ac:dyDescent="0.5">
      <c r="B56" s="16"/>
      <c r="D56" s="49"/>
      <c r="E56" s="42" t="s">
        <v>49</v>
      </c>
      <c r="F56" s="46"/>
    </row>
    <row r="57" spans="2:6" ht="16.8" x14ac:dyDescent="0.95">
      <c r="B57" s="19" t="s">
        <v>47</v>
      </c>
      <c r="C57" s="19" t="s">
        <v>84</v>
      </c>
      <c r="D57" s="19" t="s">
        <v>84</v>
      </c>
      <c r="E57" s="20" t="s">
        <v>51</v>
      </c>
      <c r="F57" s="46"/>
    </row>
    <row r="58" spans="2:6" x14ac:dyDescent="0.5">
      <c r="E58" s="66" t="s">
        <v>21</v>
      </c>
      <c r="F58" s="46"/>
    </row>
    <row r="59" spans="2:6" x14ac:dyDescent="0.5">
      <c r="B59" s="38" t="s">
        <v>95</v>
      </c>
      <c r="C59" s="38"/>
      <c r="D59" s="38"/>
      <c r="E59" s="50">
        <v>3.582281</v>
      </c>
      <c r="F59" s="46"/>
    </row>
    <row r="60" spans="2:6" x14ac:dyDescent="0.5">
      <c r="B60" s="38"/>
      <c r="C60" s="38"/>
      <c r="D60" s="38"/>
      <c r="E60" s="50"/>
      <c r="F60" s="46"/>
    </row>
    <row r="61" spans="2:6" x14ac:dyDescent="0.5">
      <c r="B61" s="38"/>
      <c r="C61" s="38"/>
      <c r="D61" s="38"/>
      <c r="E61" s="50"/>
      <c r="F61" s="46"/>
    </row>
    <row r="62" spans="2:6" x14ac:dyDescent="0.5">
      <c r="B62" s="38"/>
      <c r="C62" s="38"/>
      <c r="D62" s="38"/>
      <c r="E62" s="50"/>
      <c r="F62" s="46"/>
    </row>
    <row r="63" spans="2:6" x14ac:dyDescent="0.5">
      <c r="B63" s="43"/>
      <c r="C63" s="43"/>
      <c r="D63" s="43"/>
      <c r="E63" s="43"/>
      <c r="F63" s="46"/>
    </row>
    <row r="64" spans="2:6" x14ac:dyDescent="0.5">
      <c r="B64" s="16" t="s">
        <v>52</v>
      </c>
      <c r="D64" s="49"/>
      <c r="E64" s="78">
        <f>SUM(E59:E63)</f>
        <v>3.582281</v>
      </c>
      <c r="F64" s="46"/>
    </row>
    <row r="66" spans="2:5" x14ac:dyDescent="0.5">
      <c r="B66" s="44" t="s">
        <v>39</v>
      </c>
      <c r="C66" s="44"/>
      <c r="D66" s="44"/>
      <c r="E66" s="44"/>
    </row>
    <row r="67" spans="2:5" ht="5.25" customHeight="1" x14ac:dyDescent="0.5"/>
    <row r="68" spans="2:5" x14ac:dyDescent="0.5">
      <c r="B68" s="42"/>
      <c r="C68" s="42" t="s">
        <v>56</v>
      </c>
      <c r="D68" s="42" t="s">
        <v>57</v>
      </c>
      <c r="E68" s="42" t="s">
        <v>9</v>
      </c>
    </row>
    <row r="69" spans="2:5" ht="16.8" x14ac:dyDescent="0.95">
      <c r="B69" s="19" t="s">
        <v>55</v>
      </c>
      <c r="C69" s="20" t="s">
        <v>23</v>
      </c>
      <c r="D69" s="20" t="s">
        <v>8</v>
      </c>
      <c r="E69" s="20" t="s">
        <v>58</v>
      </c>
    </row>
    <row r="70" spans="2:5" x14ac:dyDescent="0.5">
      <c r="C70" s="66" t="s">
        <v>21</v>
      </c>
      <c r="D70" s="67" t="s">
        <v>16</v>
      </c>
      <c r="E70" s="66" t="s">
        <v>21</v>
      </c>
    </row>
    <row r="71" spans="2:5" x14ac:dyDescent="0.5">
      <c r="B71" s="38" t="s">
        <v>113</v>
      </c>
      <c r="C71" s="52">
        <v>650</v>
      </c>
      <c r="D71" s="48">
        <f>1000/5.0007</f>
        <v>199.97200391945128</v>
      </c>
      <c r="E71" s="46">
        <f>IF(ISNUMBER($D71),IF($E$11&gt;$D71,$C71/$D71,0),0)</f>
        <v>3.2504550000000001</v>
      </c>
    </row>
    <row r="72" spans="2:5" x14ac:dyDescent="0.5">
      <c r="B72" s="38" t="s">
        <v>114</v>
      </c>
      <c r="C72" s="52">
        <v>650</v>
      </c>
      <c r="D72" s="48">
        <f>1000/11.404</f>
        <v>87.688530340231495</v>
      </c>
      <c r="E72" s="46">
        <f t="shared" ref="E72:E75" si="2">IF(ISNUMBER($D72),IF($E$11&gt;$D72,$C72/$D72,0),0)</f>
        <v>7.4126000000000003</v>
      </c>
    </row>
    <row r="73" spans="2:5" x14ac:dyDescent="0.5">
      <c r="B73" s="38" t="s">
        <v>115</v>
      </c>
      <c r="C73" s="52">
        <v>43.920999999999999</v>
      </c>
      <c r="D73" s="48">
        <f>1000/27.5691</f>
        <v>36.2724934800193</v>
      </c>
      <c r="E73" s="46">
        <f t="shared" si="2"/>
        <v>1.2108624411</v>
      </c>
    </row>
    <row r="74" spans="2:5" x14ac:dyDescent="0.5">
      <c r="B74" s="38"/>
      <c r="C74" s="52"/>
      <c r="D74" s="48"/>
      <c r="E74" s="46">
        <f t="shared" si="2"/>
        <v>0</v>
      </c>
    </row>
    <row r="75" spans="2:5" x14ac:dyDescent="0.5">
      <c r="B75" s="43"/>
      <c r="C75" s="63"/>
      <c r="D75" s="62"/>
      <c r="E75" s="51">
        <f t="shared" si="2"/>
        <v>0</v>
      </c>
    </row>
    <row r="76" spans="2:5" x14ac:dyDescent="0.5">
      <c r="B76" s="16" t="s">
        <v>52</v>
      </c>
      <c r="C76" s="64">
        <f>SUM(C71:C75)</f>
        <v>1343.921</v>
      </c>
      <c r="D76" s="54"/>
      <c r="E76" s="59">
        <f>SUM(E71:E75)</f>
        <v>11.8739174411</v>
      </c>
    </row>
    <row r="77" spans="2:5" x14ac:dyDescent="0.5">
      <c r="C77" s="49"/>
      <c r="D77" s="49"/>
      <c r="E77" s="49"/>
    </row>
    <row r="78" spans="2:5" x14ac:dyDescent="0.5">
      <c r="B78" s="15" t="s">
        <v>59</v>
      </c>
      <c r="C78" s="49"/>
      <c r="D78" s="49"/>
      <c r="E78" s="65">
        <f>SUMIF(D71:D75,"&lt;"&amp;$E$11,C71:C75)</f>
        <v>1343.921</v>
      </c>
    </row>
    <row r="79" spans="2:5" x14ac:dyDescent="0.5">
      <c r="B79" s="15" t="s">
        <v>60</v>
      </c>
      <c r="C79" s="49"/>
      <c r="D79" s="49"/>
      <c r="E79" s="65">
        <f>+C76-E78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39B0-A73C-4B0B-9DB4-6B6DEE386174}">
  <dimension ref="A1:Z79"/>
  <sheetViews>
    <sheetView showGridLines="0" zoomScaleNormal="100" workbookViewId="0">
      <selection activeCell="C10" sqref="C10"/>
    </sheetView>
  </sheetViews>
  <sheetFormatPr defaultColWidth="11.68359375" defaultRowHeight="14.1" x14ac:dyDescent="0.5"/>
  <cols>
    <col min="1" max="1" width="5.68359375" style="15" customWidth="1"/>
    <col min="2" max="2" width="50.68359375" style="15" customWidth="1"/>
    <col min="3" max="6" width="15.68359375" style="15" customWidth="1"/>
    <col min="7" max="7" width="50.68359375" style="15" customWidth="1"/>
    <col min="8" max="9" width="15.68359375" style="15" customWidth="1"/>
    <col min="10" max="16384" width="11.68359375" style="15"/>
  </cols>
  <sheetData>
    <row r="1" spans="1:9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</row>
    <row r="2" spans="1:9" s="2" customFormat="1" ht="17.399999999999999" x14ac:dyDescent="0.5">
      <c r="A2" s="12" t="str">
        <f>_xll.ciqfunctions.udf.CIQ($E$10, "IQ_COMPANY_NAME")</f>
        <v>Alphabet Inc.</v>
      </c>
      <c r="B2" s="12"/>
      <c r="C2" s="12"/>
      <c r="D2" s="12"/>
      <c r="E2" s="12"/>
      <c r="F2" s="12"/>
      <c r="G2" s="12"/>
      <c r="H2" s="12"/>
      <c r="I2" s="12"/>
    </row>
    <row r="3" spans="1:9" s="11" customFormat="1" ht="15" x14ac:dyDescent="0.5">
      <c r="A3" s="36" t="s">
        <v>102</v>
      </c>
      <c r="B3" s="14"/>
      <c r="C3" s="14"/>
      <c r="D3" s="14"/>
      <c r="E3" s="13"/>
      <c r="F3" s="13"/>
      <c r="G3" s="13"/>
      <c r="H3" s="13"/>
      <c r="I3" s="13"/>
    </row>
    <row r="4" spans="1:9" x14ac:dyDescent="0.5">
      <c r="B4" s="15" t="str">
        <f>'Comps Data (Capital IQ))'!$AG$2</f>
        <v>Currency</v>
      </c>
      <c r="C4" s="15" t="str">
        <f>'Comps Data (Capital IQ))'!$AH$2</f>
        <v>USD</v>
      </c>
    </row>
    <row r="6" spans="1:9" ht="15" x14ac:dyDescent="0.5">
      <c r="B6" s="37" t="str">
        <f>_xll.ciqfunctions.udf.CIQ($E$10, "IQ_COMPANY_NAME")</f>
        <v>Alphabet Inc.</v>
      </c>
      <c r="C6" s="13"/>
      <c r="D6" s="13"/>
      <c r="E6" s="13"/>
      <c r="F6" s="13"/>
      <c r="G6" s="13"/>
      <c r="H6" s="13"/>
      <c r="I6" s="13"/>
    </row>
    <row r="8" spans="1:9" x14ac:dyDescent="0.5">
      <c r="B8" s="44" t="s">
        <v>24</v>
      </c>
      <c r="C8" s="44"/>
      <c r="D8" s="44"/>
      <c r="E8" s="44"/>
      <c r="G8" s="44" t="s">
        <v>43</v>
      </c>
      <c r="H8" s="45"/>
      <c r="I8" s="45"/>
    </row>
    <row r="9" spans="1:9" ht="5.25" customHeight="1" x14ac:dyDescent="0.5"/>
    <row r="10" spans="1:9" ht="16.8" x14ac:dyDescent="0.95">
      <c r="B10" s="15" t="s">
        <v>35</v>
      </c>
      <c r="E10" s="47" t="str">
        <f>_xll.ciqfunctions.udf.CIQ("NasdaqGS:GOOGL", "IQ_COMPANY_TICKER")</f>
        <v>NasdaqGS:GOOGL</v>
      </c>
      <c r="G10" s="39" t="s">
        <v>41</v>
      </c>
      <c r="H10" s="20" t="s">
        <v>26</v>
      </c>
      <c r="I10" s="20" t="s">
        <v>27</v>
      </c>
    </row>
    <row r="11" spans="1:9" x14ac:dyDescent="0.5">
      <c r="B11" s="15" t="s">
        <v>71</v>
      </c>
      <c r="E11" s="48">
        <f>_xll.ciqfunctions.udf.CIQ(E10, "IQ_LASTSALEPRICE", E12,$C$4)</f>
        <v>101.348</v>
      </c>
      <c r="G11" s="15" t="s">
        <v>25</v>
      </c>
      <c r="H11" s="52">
        <f>_xll.ciqfunctions.udf.CIQ($E$10, "IQ_REVENUE_EST", "FY2021",,,,$C$4)</f>
        <v>254282.22631999999</v>
      </c>
      <c r="I11" s="52">
        <f>_xll.ciqfunctions.udf.CIQ($E$10, "IQ_REVENUE_EST", "FY2022",,,,$C$4)</f>
        <v>283287.37751999998</v>
      </c>
    </row>
    <row r="12" spans="1:9" x14ac:dyDescent="0.5">
      <c r="B12" s="15" t="s">
        <v>36</v>
      </c>
      <c r="E12" s="81">
        <f>'Comps Data (Capital IQ))'!$AH$3</f>
        <v>44275</v>
      </c>
      <c r="G12" s="15" t="s">
        <v>11</v>
      </c>
      <c r="H12" s="52">
        <f>_xll.ciqfunctions.udf.CIQ($E$10, "IQ_EBITDA_EST", "FY2021",,,,$C$4)</f>
        <v>105941.83779999999</v>
      </c>
      <c r="I12" s="52">
        <f>_xll.ciqfunctions.udf.CIQ($E$10, "IQ_EBITDA_EST", "FY2022",,,,$C$4)</f>
        <v>109861.71257</v>
      </c>
    </row>
    <row r="13" spans="1:9" x14ac:dyDescent="0.5">
      <c r="E13" s="49"/>
      <c r="G13" s="15" t="s">
        <v>12</v>
      </c>
      <c r="H13" s="52">
        <f>_xll.ciqfunctions.udf.CIQ($E$10, "IQ_NI_REPORTED_EST", "FY2021",,,,$C$4)</f>
        <v>73424.114650000003</v>
      </c>
      <c r="I13" s="52">
        <f>_xll.ciqfunctions.udf.CIQ($E$10, "IQ_NI_REPORTED_EST", "FY2022",,,,$C$4)</f>
        <v>62300.220419999998</v>
      </c>
    </row>
    <row r="14" spans="1:9" x14ac:dyDescent="0.5">
      <c r="B14" s="40" t="s">
        <v>37</v>
      </c>
      <c r="E14" s="49"/>
      <c r="G14" s="15" t="s">
        <v>28</v>
      </c>
      <c r="H14" s="52">
        <f>_xll.ciqfunctions.udf.CIQ($E$10, "IQ_CASH_OPER_EST", "FY2021",,,,$C$4)</f>
        <v>96813.467879999997</v>
      </c>
      <c r="I14" s="52">
        <f>_xll.ciqfunctions.udf.CIQ($E$10, "IQ_CASH_OPER_EST", "FY2022",,,,$C$4)</f>
        <v>94911.9</v>
      </c>
    </row>
    <row r="15" spans="1:9" x14ac:dyDescent="0.5">
      <c r="B15" s="15" t="s">
        <v>72</v>
      </c>
      <c r="E15" s="82">
        <f>_xll.ciqfunctions.udf.CIQ(E10, "IQ_TOTAL_OUTSTANDING_BS_DATE", , E12)</f>
        <v>13504.44</v>
      </c>
      <c r="H15" s="49"/>
      <c r="I15" s="49"/>
    </row>
    <row r="16" spans="1:9" ht="16.5" customHeight="1" x14ac:dyDescent="0.5">
      <c r="B16" s="72" t="s">
        <v>82</v>
      </c>
      <c r="C16" s="72"/>
      <c r="D16" s="72"/>
      <c r="E16" s="75">
        <f>+E64</f>
        <v>23.244693999999999</v>
      </c>
      <c r="H16" s="49"/>
      <c r="I16" s="49"/>
    </row>
    <row r="17" spans="2:9" ht="16.5" customHeight="1" x14ac:dyDescent="0.5">
      <c r="B17" s="72" t="s">
        <v>73</v>
      </c>
      <c r="C17" s="72"/>
      <c r="D17" s="72"/>
      <c r="E17" s="75">
        <f>+F51</f>
        <v>0</v>
      </c>
      <c r="G17" s="73" t="s">
        <v>42</v>
      </c>
      <c r="H17" s="77" t="s">
        <v>26</v>
      </c>
      <c r="I17" s="77" t="s">
        <v>27</v>
      </c>
    </row>
    <row r="18" spans="2:9" ht="16.5" customHeight="1" x14ac:dyDescent="0.5">
      <c r="B18" s="74" t="s">
        <v>74</v>
      </c>
      <c r="C18" s="74"/>
      <c r="D18" s="74"/>
      <c r="E18" s="76">
        <f>+E76</f>
        <v>0</v>
      </c>
      <c r="G18" s="15" t="s">
        <v>25</v>
      </c>
      <c r="H18" s="55">
        <f>IFERROR($E$32/H11,"-")</f>
        <v>5.3971951096590205</v>
      </c>
      <c r="I18" s="55">
        <f>IFERROR($E$32/I11,"-")</f>
        <v>4.844588560147268</v>
      </c>
    </row>
    <row r="19" spans="2:9" x14ac:dyDescent="0.5">
      <c r="B19" s="72" t="s">
        <v>81</v>
      </c>
      <c r="E19" s="79">
        <f>SUM(E15:E18)</f>
        <v>13527.684694000001</v>
      </c>
      <c r="G19" s="15" t="s">
        <v>11</v>
      </c>
      <c r="H19" s="55">
        <f>IFERROR($E$32/H12,"-")</f>
        <v>12.954379656490273</v>
      </c>
      <c r="I19" s="55">
        <f>IFERROR($E$32/I12,"-")</f>
        <v>12.492166344968092</v>
      </c>
    </row>
    <row r="20" spans="2:9" x14ac:dyDescent="0.5">
      <c r="E20" s="49"/>
      <c r="G20" s="15" t="s">
        <v>12</v>
      </c>
      <c r="H20" s="55">
        <f>IFERROR($E$21/H13,"-")</f>
        <v>18.672391147007342</v>
      </c>
      <c r="I20" s="55">
        <f>IFERROR($E$21/I13,"-")</f>
        <v>22.006403494639709</v>
      </c>
    </row>
    <row r="21" spans="2:9" x14ac:dyDescent="0.5">
      <c r="B21" s="16" t="s">
        <v>38</v>
      </c>
      <c r="C21" s="16"/>
      <c r="D21" s="16"/>
      <c r="E21" s="64">
        <f>+E11*E19</f>
        <v>1371003.7883675122</v>
      </c>
      <c r="G21" s="15" t="s">
        <v>28</v>
      </c>
      <c r="H21" s="55">
        <f>IFERROR($E$21/H14,"-")</f>
        <v>14.161292001923403</v>
      </c>
      <c r="I21" s="55">
        <f>IFERROR($E$21/I14,"-")</f>
        <v>14.445014675372764</v>
      </c>
    </row>
    <row r="22" spans="2:9" x14ac:dyDescent="0.5">
      <c r="E22" s="49"/>
      <c r="H22" s="49"/>
      <c r="I22" s="49"/>
    </row>
    <row r="23" spans="2:9" x14ac:dyDescent="0.5">
      <c r="B23" s="15" t="s">
        <v>76</v>
      </c>
      <c r="E23" s="52">
        <f>_xll.ciqfunctions.udf.CIQ(E10, "IQ_CASH_EQUIV", , E12, , , $C$4)</f>
        <v>26465</v>
      </c>
      <c r="G23" s="15" t="s">
        <v>45</v>
      </c>
      <c r="H23" s="49"/>
      <c r="I23" s="55">
        <f>IFERROR(E29/E34,"-")</f>
        <v>0.12524264864476239</v>
      </c>
    </row>
    <row r="24" spans="2:9" x14ac:dyDescent="0.5">
      <c r="E24" s="49"/>
      <c r="G24" s="15" t="s">
        <v>77</v>
      </c>
      <c r="H24" s="49"/>
      <c r="I24" s="56">
        <f>IFERROR(E29/(E29+E34),"-")</f>
        <v>0.11130279215385598</v>
      </c>
    </row>
    <row r="25" spans="2:9" x14ac:dyDescent="0.5">
      <c r="B25" s="15" t="s">
        <v>86</v>
      </c>
      <c r="E25" s="80">
        <f>_xll.ciqfunctions.udf.CIQ(E10, "IQ_TOTAL_DEBT", , E12, , , $C$4)</f>
        <v>27872</v>
      </c>
      <c r="G25" s="15" t="s">
        <v>78</v>
      </c>
      <c r="I25" s="56">
        <f>IFERROR(E29/(E29+E21),"-")</f>
        <v>1.992457102465589E-2</v>
      </c>
    </row>
    <row r="26" spans="2:9" x14ac:dyDescent="0.5">
      <c r="B26" s="15" t="s">
        <v>89</v>
      </c>
      <c r="E26" s="80">
        <f>_xll.ciqfunctions.udf.CIQ(E10, "IQ_CONVERT", , E12, , , $C$4)</f>
        <v>0</v>
      </c>
      <c r="I26" s="56"/>
    </row>
    <row r="27" spans="2:9" x14ac:dyDescent="0.5">
      <c r="B27" s="15" t="s">
        <v>88</v>
      </c>
      <c r="E27" s="65">
        <f>+E25-E26</f>
        <v>27872</v>
      </c>
    </row>
    <row r="28" spans="2:9" x14ac:dyDescent="0.5">
      <c r="B28" s="41" t="s">
        <v>90</v>
      </c>
      <c r="C28" s="41"/>
      <c r="D28" s="41"/>
      <c r="E28" s="53">
        <f>+E79</f>
        <v>0</v>
      </c>
    </row>
    <row r="29" spans="2:9" x14ac:dyDescent="0.5">
      <c r="B29" s="16" t="s">
        <v>87</v>
      </c>
      <c r="C29" s="16"/>
      <c r="D29" s="16"/>
      <c r="E29" s="64">
        <f>+E27+E28</f>
        <v>27872</v>
      </c>
    </row>
    <row r="30" spans="2:9" x14ac:dyDescent="0.5">
      <c r="B30" s="16"/>
      <c r="C30" s="16"/>
      <c r="D30" s="16"/>
      <c r="E30" s="54"/>
    </row>
    <row r="31" spans="2:9" x14ac:dyDescent="0.5">
      <c r="B31" s="15" t="s">
        <v>10</v>
      </c>
      <c r="E31" s="65">
        <f>+E29-E23</f>
        <v>1407</v>
      </c>
    </row>
    <row r="32" spans="2:9" x14ac:dyDescent="0.5">
      <c r="B32" s="16" t="s">
        <v>40</v>
      </c>
      <c r="C32" s="16"/>
      <c r="D32" s="16"/>
      <c r="E32" s="64">
        <f>+E21+E31</f>
        <v>1372410.7883675122</v>
      </c>
    </row>
    <row r="33" spans="2:26" x14ac:dyDescent="0.5">
      <c r="E33" s="49"/>
    </row>
    <row r="34" spans="2:26" x14ac:dyDescent="0.5">
      <c r="B34" s="15" t="s">
        <v>44</v>
      </c>
      <c r="E34" s="52">
        <f>_xll.ciqfunctions.udf.CIQ(E10, "IQ_TOTAL_EQUITY", , E12, , , $C$4)</f>
        <v>222544</v>
      </c>
    </row>
    <row r="36" spans="2:26" x14ac:dyDescent="0.5">
      <c r="B36" s="44" t="s">
        <v>46</v>
      </c>
      <c r="C36" s="44"/>
      <c r="D36" s="44"/>
      <c r="E36" s="44"/>
      <c r="F36" s="44"/>
    </row>
    <row r="37" spans="2:26" ht="5.25" customHeight="1" x14ac:dyDescent="0.5"/>
    <row r="38" spans="2:26" x14ac:dyDescent="0.5">
      <c r="B38" s="42"/>
      <c r="C38" s="42" t="s">
        <v>49</v>
      </c>
      <c r="D38" s="42" t="s">
        <v>48</v>
      </c>
      <c r="E38" s="42" t="s">
        <v>49</v>
      </c>
      <c r="F38" s="42"/>
    </row>
    <row r="39" spans="2:26" ht="16.8" x14ac:dyDescent="0.95">
      <c r="B39" s="19" t="s">
        <v>47</v>
      </c>
      <c r="C39" s="20" t="s">
        <v>51</v>
      </c>
      <c r="D39" s="20" t="s">
        <v>8</v>
      </c>
      <c r="E39" s="20" t="s">
        <v>91</v>
      </c>
      <c r="F39" s="20" t="s">
        <v>50</v>
      </c>
    </row>
    <row r="40" spans="2:26" s="66" customFormat="1" ht="10.199999999999999" x14ac:dyDescent="0.35">
      <c r="C40" s="66" t="s">
        <v>21</v>
      </c>
      <c r="D40" s="67" t="s">
        <v>16</v>
      </c>
      <c r="E40" s="66" t="s">
        <v>21</v>
      </c>
      <c r="F40" s="67" t="s">
        <v>20</v>
      </c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9"/>
      <c r="S40" s="67"/>
      <c r="T40" s="67"/>
      <c r="U40" s="67"/>
      <c r="V40" s="67"/>
      <c r="W40" s="67"/>
      <c r="X40" s="67"/>
      <c r="Y40" s="67"/>
      <c r="Z40" s="67"/>
    </row>
    <row r="41" spans="2:26" x14ac:dyDescent="0.5">
      <c r="B41" s="38"/>
      <c r="C41" s="50"/>
      <c r="D41" s="48"/>
      <c r="E41" s="46">
        <f>+IF(D41&lt;$E$11,C41,0)</f>
        <v>0</v>
      </c>
      <c r="F41" s="57">
        <f>+D41*E41</f>
        <v>0</v>
      </c>
    </row>
    <row r="42" spans="2:26" x14ac:dyDescent="0.5">
      <c r="B42" s="38"/>
      <c r="C42" s="50"/>
      <c r="D42" s="48"/>
      <c r="E42" s="46">
        <f t="shared" ref="E42:E46" si="0">+IF(D42&lt;$E$11,C42,0)</f>
        <v>0</v>
      </c>
      <c r="F42" s="57">
        <f t="shared" ref="F42:F46" si="1">+D42*E42</f>
        <v>0</v>
      </c>
    </row>
    <row r="43" spans="2:26" x14ac:dyDescent="0.5">
      <c r="B43" s="38"/>
      <c r="C43" s="50"/>
      <c r="D43" s="48"/>
      <c r="E43" s="46">
        <f t="shared" si="0"/>
        <v>0</v>
      </c>
      <c r="F43" s="57">
        <f t="shared" si="1"/>
        <v>0</v>
      </c>
    </row>
    <row r="44" spans="2:26" x14ac:dyDescent="0.5">
      <c r="B44" s="38"/>
      <c r="C44" s="50"/>
      <c r="D44" s="48"/>
      <c r="E44" s="46">
        <f t="shared" si="0"/>
        <v>0</v>
      </c>
      <c r="F44" s="57">
        <f t="shared" si="1"/>
        <v>0</v>
      </c>
    </row>
    <row r="45" spans="2:26" x14ac:dyDescent="0.5">
      <c r="B45" s="38"/>
      <c r="C45" s="50"/>
      <c r="D45" s="48"/>
      <c r="E45" s="46">
        <f t="shared" si="0"/>
        <v>0</v>
      </c>
      <c r="F45" s="57">
        <f t="shared" si="1"/>
        <v>0</v>
      </c>
    </row>
    <row r="46" spans="2:26" x14ac:dyDescent="0.5">
      <c r="B46" s="43"/>
      <c r="C46" s="61"/>
      <c r="D46" s="62"/>
      <c r="E46" s="51">
        <f t="shared" si="0"/>
        <v>0</v>
      </c>
      <c r="F46" s="58">
        <f t="shared" si="1"/>
        <v>0</v>
      </c>
    </row>
    <row r="47" spans="2:26" x14ac:dyDescent="0.5">
      <c r="B47" s="16" t="s">
        <v>52</v>
      </c>
      <c r="C47" s="54"/>
      <c r="D47" s="54"/>
      <c r="E47" s="59">
        <f>SUM(E41:E46)</f>
        <v>0</v>
      </c>
      <c r="F47" s="60">
        <f>SUM(F41:F46)</f>
        <v>0</v>
      </c>
    </row>
    <row r="48" spans="2:26" x14ac:dyDescent="0.5">
      <c r="C48" s="49"/>
      <c r="D48" s="49"/>
      <c r="E48" s="49"/>
      <c r="F48" s="49"/>
    </row>
    <row r="49" spans="2:6" x14ac:dyDescent="0.5">
      <c r="B49" s="15" t="s">
        <v>53</v>
      </c>
      <c r="C49" s="49"/>
      <c r="D49" s="49"/>
      <c r="E49" s="49"/>
      <c r="F49" s="46">
        <f>+E47</f>
        <v>0</v>
      </c>
    </row>
    <row r="50" spans="2:6" x14ac:dyDescent="0.5">
      <c r="B50" s="15" t="s">
        <v>54</v>
      </c>
      <c r="C50" s="49"/>
      <c r="D50" s="49"/>
      <c r="E50" s="49"/>
      <c r="F50" s="46">
        <f>IF(ISERR($F47/E11),"-",$F47/E11)</f>
        <v>0</v>
      </c>
    </row>
    <row r="51" spans="2:6" x14ac:dyDescent="0.5">
      <c r="B51" s="15" t="s">
        <v>79</v>
      </c>
      <c r="C51" s="49"/>
      <c r="D51" s="49"/>
      <c r="E51" s="49"/>
      <c r="F51" s="46">
        <f>+IF(ISERR(F49-F50),"-",F49-F50)</f>
        <v>0</v>
      </c>
    </row>
    <row r="52" spans="2:6" x14ac:dyDescent="0.5">
      <c r="C52" s="49"/>
      <c r="D52" s="49"/>
      <c r="E52" s="49"/>
      <c r="F52" s="46"/>
    </row>
    <row r="53" spans="2:6" x14ac:dyDescent="0.5">
      <c r="B53" s="44" t="s">
        <v>80</v>
      </c>
      <c r="C53" s="44"/>
      <c r="D53" s="44"/>
      <c r="E53" s="44"/>
      <c r="F53" s="46"/>
    </row>
    <row r="54" spans="2:6" ht="5.55" customHeight="1" x14ac:dyDescent="0.5">
      <c r="B54" s="16"/>
      <c r="D54" s="49"/>
      <c r="E54" s="16"/>
      <c r="F54" s="46"/>
    </row>
    <row r="55" spans="2:6" x14ac:dyDescent="0.5">
      <c r="B55" s="16"/>
      <c r="D55" s="49"/>
      <c r="E55" s="42" t="s">
        <v>83</v>
      </c>
      <c r="F55" s="46"/>
    </row>
    <row r="56" spans="2:6" x14ac:dyDescent="0.5">
      <c r="B56" s="16"/>
      <c r="D56" s="49"/>
      <c r="E56" s="42" t="s">
        <v>49</v>
      </c>
      <c r="F56" s="46"/>
    </row>
    <row r="57" spans="2:6" ht="16.8" x14ac:dyDescent="0.95">
      <c r="B57" s="19" t="s">
        <v>47</v>
      </c>
      <c r="C57" s="19" t="s">
        <v>84</v>
      </c>
      <c r="D57" s="19" t="s">
        <v>84</v>
      </c>
      <c r="E57" s="20" t="s">
        <v>51</v>
      </c>
      <c r="F57" s="46"/>
    </row>
    <row r="58" spans="2:6" x14ac:dyDescent="0.5">
      <c r="E58" s="66" t="s">
        <v>21</v>
      </c>
      <c r="F58" s="46"/>
    </row>
    <row r="59" spans="2:6" x14ac:dyDescent="0.5">
      <c r="B59" s="38" t="s">
        <v>95</v>
      </c>
      <c r="C59" s="38"/>
      <c r="D59" s="38"/>
      <c r="E59" s="50">
        <v>23.244693999999999</v>
      </c>
      <c r="F59" s="46"/>
    </row>
    <row r="60" spans="2:6" x14ac:dyDescent="0.5">
      <c r="B60" s="38"/>
      <c r="C60" s="38"/>
      <c r="D60" s="38"/>
      <c r="E60" s="38"/>
      <c r="F60" s="46"/>
    </row>
    <row r="61" spans="2:6" x14ac:dyDescent="0.5">
      <c r="B61" s="38"/>
      <c r="C61" s="38"/>
      <c r="D61" s="38"/>
      <c r="E61" s="38"/>
      <c r="F61" s="46"/>
    </row>
    <row r="62" spans="2:6" x14ac:dyDescent="0.5">
      <c r="B62" s="38"/>
      <c r="C62" s="38"/>
      <c r="D62" s="38"/>
      <c r="E62" s="38"/>
      <c r="F62" s="46"/>
    </row>
    <row r="63" spans="2:6" x14ac:dyDescent="0.5">
      <c r="B63" s="43"/>
      <c r="C63" s="43"/>
      <c r="D63" s="43"/>
      <c r="E63" s="43"/>
      <c r="F63" s="46"/>
    </row>
    <row r="64" spans="2:6" x14ac:dyDescent="0.5">
      <c r="B64" s="16" t="s">
        <v>52</v>
      </c>
      <c r="D64" s="49"/>
      <c r="E64" s="78">
        <f>SUM(E59:E63)</f>
        <v>23.244693999999999</v>
      </c>
      <c r="F64" s="46"/>
    </row>
    <row r="66" spans="2:5" x14ac:dyDescent="0.5">
      <c r="B66" s="44" t="s">
        <v>39</v>
      </c>
      <c r="C66" s="44"/>
      <c r="D66" s="44"/>
      <c r="E66" s="44"/>
    </row>
    <row r="67" spans="2:5" ht="5.25" customHeight="1" x14ac:dyDescent="0.5"/>
    <row r="68" spans="2:5" x14ac:dyDescent="0.5">
      <c r="B68" s="42"/>
      <c r="C68" s="42" t="s">
        <v>56</v>
      </c>
      <c r="D68" s="42" t="s">
        <v>57</v>
      </c>
      <c r="E68" s="42" t="s">
        <v>9</v>
      </c>
    </row>
    <row r="69" spans="2:5" ht="16.8" x14ac:dyDescent="0.95">
      <c r="B69" s="19" t="s">
        <v>55</v>
      </c>
      <c r="C69" s="20" t="s">
        <v>23</v>
      </c>
      <c r="D69" s="20" t="s">
        <v>8</v>
      </c>
      <c r="E69" s="20" t="s">
        <v>58</v>
      </c>
    </row>
    <row r="70" spans="2:5" x14ac:dyDescent="0.5">
      <c r="C70" s="66" t="s">
        <v>21</v>
      </c>
      <c r="D70" s="67" t="s">
        <v>16</v>
      </c>
      <c r="E70" s="66" t="s">
        <v>21</v>
      </c>
    </row>
    <row r="71" spans="2:5" x14ac:dyDescent="0.5">
      <c r="B71" s="38"/>
      <c r="C71" s="52"/>
      <c r="D71" s="48"/>
      <c r="E71" s="46">
        <f>IF(ISNUMBER($D71),IF($E$11&gt;$D71,$C71/$D71,0),0)</f>
        <v>0</v>
      </c>
    </row>
    <row r="72" spans="2:5" x14ac:dyDescent="0.5">
      <c r="B72" s="38"/>
      <c r="C72" s="52"/>
      <c r="D72" s="48"/>
      <c r="E72" s="46">
        <f t="shared" ref="E72:E75" si="2">IF(ISNUMBER($D72),IF($E$11&gt;$D72,$C72/$D72,0),0)</f>
        <v>0</v>
      </c>
    </row>
    <row r="73" spans="2:5" x14ac:dyDescent="0.5">
      <c r="B73" s="38"/>
      <c r="C73" s="52"/>
      <c r="D73" s="48"/>
      <c r="E73" s="46">
        <f t="shared" si="2"/>
        <v>0</v>
      </c>
    </row>
    <row r="74" spans="2:5" x14ac:dyDescent="0.5">
      <c r="B74" s="38"/>
      <c r="C74" s="52"/>
      <c r="D74" s="48"/>
      <c r="E74" s="46">
        <f t="shared" si="2"/>
        <v>0</v>
      </c>
    </row>
    <row r="75" spans="2:5" x14ac:dyDescent="0.5">
      <c r="B75" s="43"/>
      <c r="C75" s="63"/>
      <c r="D75" s="62"/>
      <c r="E75" s="51">
        <f t="shared" si="2"/>
        <v>0</v>
      </c>
    </row>
    <row r="76" spans="2:5" x14ac:dyDescent="0.5">
      <c r="B76" s="16" t="s">
        <v>52</v>
      </c>
      <c r="C76" s="64">
        <f>SUM(C71:C75)</f>
        <v>0</v>
      </c>
      <c r="D76" s="54"/>
      <c r="E76" s="59">
        <f>SUM(E71:E75)</f>
        <v>0</v>
      </c>
    </row>
    <row r="77" spans="2:5" x14ac:dyDescent="0.5">
      <c r="C77" s="49"/>
      <c r="D77" s="49"/>
      <c r="E77" s="49"/>
    </row>
    <row r="78" spans="2:5" x14ac:dyDescent="0.5">
      <c r="B78" s="15" t="s">
        <v>59</v>
      </c>
      <c r="C78" s="49"/>
      <c r="D78" s="49"/>
      <c r="E78" s="65">
        <f>SUMIF(D71:D75,"&lt;"&amp;$E$11,C71:C75)</f>
        <v>0</v>
      </c>
    </row>
    <row r="79" spans="2:5" x14ac:dyDescent="0.5">
      <c r="B79" s="15" t="s">
        <v>60</v>
      </c>
      <c r="C79" s="49"/>
      <c r="D79" s="49"/>
      <c r="E79" s="65">
        <f>+C76-E78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17DB-5480-4F7A-83B9-CF8EAD525315}">
  <dimension ref="A1:Z79"/>
  <sheetViews>
    <sheetView showGridLines="0" zoomScaleNormal="100" workbookViewId="0">
      <selection activeCell="C10" sqref="C10"/>
    </sheetView>
  </sheetViews>
  <sheetFormatPr defaultColWidth="11.68359375" defaultRowHeight="14.1" x14ac:dyDescent="0.5"/>
  <cols>
    <col min="1" max="1" width="5.68359375" style="15" customWidth="1"/>
    <col min="2" max="2" width="50.68359375" style="15" customWidth="1"/>
    <col min="3" max="6" width="15.68359375" style="15" customWidth="1"/>
    <col min="7" max="7" width="50.68359375" style="15" customWidth="1"/>
    <col min="8" max="9" width="15.68359375" style="15" customWidth="1"/>
    <col min="10" max="16384" width="11.68359375" style="15"/>
  </cols>
  <sheetData>
    <row r="1" spans="1:9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</row>
    <row r="2" spans="1:9" s="2" customFormat="1" ht="17.399999999999999" x14ac:dyDescent="0.5">
      <c r="A2" s="12" t="str">
        <f>_xll.ciqfunctions.udf.CIQ($E$10, "IQ_COMPANY_NAME")</f>
        <v>Meta Platforms, Inc.</v>
      </c>
      <c r="B2" s="12"/>
      <c r="C2" s="12"/>
      <c r="D2" s="12"/>
      <c r="E2" s="12"/>
      <c r="F2" s="12"/>
      <c r="G2" s="12"/>
      <c r="H2" s="12"/>
      <c r="I2" s="12"/>
    </row>
    <row r="3" spans="1:9" s="11" customFormat="1" ht="15" x14ac:dyDescent="0.5">
      <c r="A3" s="36" t="s">
        <v>102</v>
      </c>
      <c r="B3" s="14"/>
      <c r="C3" s="14"/>
      <c r="D3" s="14"/>
      <c r="E3" s="13"/>
      <c r="F3" s="13"/>
      <c r="G3" s="13"/>
      <c r="H3" s="13"/>
      <c r="I3" s="13"/>
    </row>
    <row r="4" spans="1:9" x14ac:dyDescent="0.5">
      <c r="B4" s="15" t="str">
        <f>'Comps Data (Capital IQ))'!$AG$2</f>
        <v>Currency</v>
      </c>
      <c r="C4" s="15" t="str">
        <f>'Comps Data (Capital IQ))'!$AH$2</f>
        <v>USD</v>
      </c>
    </row>
    <row r="6" spans="1:9" ht="15" x14ac:dyDescent="0.5">
      <c r="B6" s="37" t="str">
        <f>_xll.ciqfunctions.udf.CIQ($E$10, "IQ_COMPANY_NAME")</f>
        <v>Meta Platforms, Inc.</v>
      </c>
      <c r="C6" s="13"/>
      <c r="D6" s="13"/>
      <c r="E6" s="13"/>
      <c r="F6" s="13"/>
      <c r="G6" s="13"/>
      <c r="H6" s="13"/>
      <c r="I6" s="13"/>
    </row>
    <row r="8" spans="1:9" x14ac:dyDescent="0.5">
      <c r="B8" s="44" t="s">
        <v>24</v>
      </c>
      <c r="C8" s="44"/>
      <c r="D8" s="44"/>
      <c r="E8" s="44"/>
      <c r="G8" s="44" t="s">
        <v>43</v>
      </c>
      <c r="H8" s="45"/>
      <c r="I8" s="45"/>
    </row>
    <row r="9" spans="1:9" ht="5.25" customHeight="1" x14ac:dyDescent="0.5"/>
    <row r="10" spans="1:9" ht="16.8" x14ac:dyDescent="0.95">
      <c r="B10" s="15" t="s">
        <v>35</v>
      </c>
      <c r="E10" s="47" t="str">
        <f>_xll.ciqfunctions.udf.CIQ("NasdaqGS:Meta", "IQ_COMPANY_TICKER")</f>
        <v>NasdaqGS:META</v>
      </c>
      <c r="G10" s="39" t="s">
        <v>41</v>
      </c>
      <c r="H10" s="20" t="s">
        <v>26</v>
      </c>
      <c r="I10" s="20" t="s">
        <v>27</v>
      </c>
    </row>
    <row r="11" spans="1:9" x14ac:dyDescent="0.5">
      <c r="B11" s="15" t="s">
        <v>71</v>
      </c>
      <c r="E11" s="48">
        <f>_xll.ciqfunctions.udf.CIQ(E10, "IQ_LASTSALEPRICE", E12,$C$4)</f>
        <v>290.11</v>
      </c>
      <c r="G11" s="15" t="s">
        <v>25</v>
      </c>
      <c r="H11" s="52">
        <f>_xll.ciqfunctions.udf.CIQ($E$10, "IQ_REVENUE_EST", "FY2021",,,,$C$4)</f>
        <v>117691.44806</v>
      </c>
      <c r="I11" s="52">
        <f>_xll.ciqfunctions.udf.CIQ($E$10, "IQ_REVENUE_EST", "FY2022",,,,$C$4)</f>
        <v>116289.34909</v>
      </c>
    </row>
    <row r="12" spans="1:9" x14ac:dyDescent="0.5">
      <c r="B12" s="15" t="s">
        <v>36</v>
      </c>
      <c r="E12" s="81">
        <f>'Comps Data (Capital IQ))'!$AH$3</f>
        <v>44275</v>
      </c>
      <c r="G12" s="15" t="s">
        <v>11</v>
      </c>
      <c r="H12" s="52">
        <f>_xll.ciqfunctions.udf.CIQ($E$10, "IQ_EBITDA_EST", "FY2021",,,,$C$4)</f>
        <v>64516.959569999999</v>
      </c>
      <c r="I12" s="52">
        <f>_xll.ciqfunctions.udf.CIQ($E$10, "IQ_EBITDA_EST", "FY2022",,,,$C$4)</f>
        <v>51210.796600000001</v>
      </c>
    </row>
    <row r="13" spans="1:9" x14ac:dyDescent="0.5">
      <c r="E13" s="49"/>
      <c r="G13" s="15" t="s">
        <v>12</v>
      </c>
      <c r="H13" s="52">
        <f>_xll.ciqfunctions.udf.CIQ($E$10, "IQ_NI_REPORTED_EST", "FY2021",,,,$C$4)</f>
        <v>39935.261299999998</v>
      </c>
      <c r="I13" s="52">
        <f>_xll.ciqfunctions.udf.CIQ($E$10, "IQ_NI_REPORTED_EST", "FY2022",,,,$C$4)</f>
        <v>24672.064289999998</v>
      </c>
    </row>
    <row r="14" spans="1:9" x14ac:dyDescent="0.5">
      <c r="B14" s="40" t="s">
        <v>37</v>
      </c>
      <c r="E14" s="49"/>
      <c r="G14" s="15" t="s">
        <v>28</v>
      </c>
      <c r="H14" s="52">
        <f>_xll.ciqfunctions.udf.CIQ($E$10, "IQ_CASH_OPER_EST", "FY2021",,,,$C$4)</f>
        <v>55356.377780000003</v>
      </c>
      <c r="I14" s="52">
        <f>_xll.ciqfunctions.udf.CIQ($E$10, "IQ_CASH_OPER_EST", "FY2022",,,,$C$4)</f>
        <v>48474.747060000002</v>
      </c>
    </row>
    <row r="15" spans="1:9" x14ac:dyDescent="0.5">
      <c r="B15" s="15" t="s">
        <v>72</v>
      </c>
      <c r="E15" s="82">
        <f>_xll.ciqfunctions.udf.CIQ(E10, "IQ_TOTAL_OUTSTANDING_BS_DATE", , E12)</f>
        <v>2849</v>
      </c>
      <c r="H15" s="49"/>
      <c r="I15" s="49"/>
    </row>
    <row r="16" spans="1:9" ht="16.5" customHeight="1" x14ac:dyDescent="0.5">
      <c r="B16" s="72" t="s">
        <v>82</v>
      </c>
      <c r="C16" s="72"/>
      <c r="D16" s="72"/>
      <c r="E16" s="75">
        <f>+E64</f>
        <v>106.25700000000001</v>
      </c>
      <c r="H16" s="49"/>
      <c r="I16" s="49"/>
    </row>
    <row r="17" spans="2:9" ht="16.5" customHeight="1" x14ac:dyDescent="0.5">
      <c r="B17" s="72" t="s">
        <v>73</v>
      </c>
      <c r="C17" s="72"/>
      <c r="D17" s="72"/>
      <c r="E17" s="75">
        <f>+F51</f>
        <v>0</v>
      </c>
      <c r="G17" s="73" t="s">
        <v>42</v>
      </c>
      <c r="H17" s="77" t="s">
        <v>26</v>
      </c>
      <c r="I17" s="77" t="s">
        <v>27</v>
      </c>
    </row>
    <row r="18" spans="2:9" ht="16.5" customHeight="1" x14ac:dyDescent="0.5">
      <c r="B18" s="74" t="s">
        <v>74</v>
      </c>
      <c r="C18" s="74"/>
      <c r="D18" s="74"/>
      <c r="E18" s="76">
        <f>+E76</f>
        <v>0</v>
      </c>
      <c r="G18" s="15" t="s">
        <v>25</v>
      </c>
      <c r="H18" s="55">
        <f>IFERROR($E$32/H11,"-")</f>
        <v>7.2259082736108882</v>
      </c>
      <c r="I18" s="55">
        <f>IFERROR($E$32/I11,"-")</f>
        <v>7.3130309432880845</v>
      </c>
    </row>
    <row r="19" spans="2:9" x14ac:dyDescent="0.5">
      <c r="B19" s="72" t="s">
        <v>81</v>
      </c>
      <c r="E19" s="79">
        <f>SUM(E15:E18)</f>
        <v>2955.2570000000001</v>
      </c>
      <c r="G19" s="15" t="s">
        <v>11</v>
      </c>
      <c r="H19" s="55">
        <f>IFERROR($E$32/H12,"-")</f>
        <v>13.181458238857305</v>
      </c>
      <c r="I19" s="55">
        <f>IFERROR($E$32/I12,"-")</f>
        <v>16.606412411674924</v>
      </c>
    </row>
    <row r="20" spans="2:9" x14ac:dyDescent="0.5">
      <c r="E20" s="49"/>
      <c r="G20" s="15" t="s">
        <v>12</v>
      </c>
      <c r="H20" s="55">
        <f>IFERROR($E$21/H13,"-")</f>
        <v>21.468486254026342</v>
      </c>
      <c r="I20" s="55">
        <f>IFERROR($E$21/I13,"-")</f>
        <v>34.749812508290937</v>
      </c>
    </row>
    <row r="21" spans="2:9" x14ac:dyDescent="0.5">
      <c r="B21" s="16" t="s">
        <v>38</v>
      </c>
      <c r="C21" s="16"/>
      <c r="D21" s="16"/>
      <c r="E21" s="64">
        <f>+E11*E19</f>
        <v>857349.60827000008</v>
      </c>
      <c r="G21" s="15" t="s">
        <v>28</v>
      </c>
      <c r="H21" s="55">
        <f>IFERROR($E$21/H14,"-")</f>
        <v>15.487819880074531</v>
      </c>
      <c r="I21" s="55">
        <f>IFERROR($E$21/I14,"-")</f>
        <v>17.68652051363587</v>
      </c>
    </row>
    <row r="22" spans="2:9" x14ac:dyDescent="0.5">
      <c r="E22" s="49"/>
      <c r="H22" s="49"/>
      <c r="I22" s="49"/>
    </row>
    <row r="23" spans="2:9" x14ac:dyDescent="0.5">
      <c r="B23" s="15" t="s">
        <v>76</v>
      </c>
      <c r="E23" s="52">
        <f>_xll.ciqfunctions.udf.CIQ(E10, "IQ_CASH_EQUIV", , E12, , , $C$4)</f>
        <v>17576</v>
      </c>
      <c r="G23" s="15" t="s">
        <v>45</v>
      </c>
      <c r="H23" s="49"/>
      <c r="I23" s="55">
        <f>IFERROR(E29/E34,"-")</f>
        <v>8.3046223400109129E-2</v>
      </c>
    </row>
    <row r="24" spans="2:9" x14ac:dyDescent="0.5">
      <c r="E24" s="49"/>
      <c r="G24" s="15" t="s">
        <v>77</v>
      </c>
      <c r="H24" s="49"/>
      <c r="I24" s="56">
        <f>IFERROR(E29/(E29+E34),"-")</f>
        <v>7.6678374021188392E-2</v>
      </c>
    </row>
    <row r="25" spans="2:9" x14ac:dyDescent="0.5">
      <c r="B25" s="15" t="s">
        <v>86</v>
      </c>
      <c r="E25" s="80">
        <f>_xll.ciqfunctions.udf.CIQ(E10, "IQ_TOTAL_DEBT", , E12, , , $C$4)</f>
        <v>10654</v>
      </c>
      <c r="G25" s="15" t="s">
        <v>78</v>
      </c>
      <c r="I25" s="56">
        <f>IFERROR(E29/(E29+E21),"-")</f>
        <v>1.2274142524861463E-2</v>
      </c>
    </row>
    <row r="26" spans="2:9" x14ac:dyDescent="0.5">
      <c r="B26" s="15" t="s">
        <v>89</v>
      </c>
      <c r="E26" s="80">
        <f>_xll.ciqfunctions.udf.CIQ(E10, "IQ_CONVERT", , E12, , , $C$4)</f>
        <v>0</v>
      </c>
      <c r="I26" s="56"/>
    </row>
    <row r="27" spans="2:9" x14ac:dyDescent="0.5">
      <c r="B27" s="15" t="s">
        <v>88</v>
      </c>
      <c r="E27" s="65">
        <f>+E25-E26</f>
        <v>10654</v>
      </c>
    </row>
    <row r="28" spans="2:9" x14ac:dyDescent="0.5">
      <c r="B28" s="41" t="s">
        <v>90</v>
      </c>
      <c r="C28" s="41"/>
      <c r="D28" s="41"/>
      <c r="E28" s="53">
        <f>+E79</f>
        <v>0</v>
      </c>
    </row>
    <row r="29" spans="2:9" x14ac:dyDescent="0.5">
      <c r="B29" s="16" t="s">
        <v>87</v>
      </c>
      <c r="C29" s="16"/>
      <c r="D29" s="16"/>
      <c r="E29" s="64">
        <f>+E27+E28</f>
        <v>10654</v>
      </c>
    </row>
    <row r="30" spans="2:9" x14ac:dyDescent="0.5">
      <c r="B30" s="16"/>
      <c r="C30" s="16"/>
      <c r="D30" s="16"/>
      <c r="E30" s="54"/>
    </row>
    <row r="31" spans="2:9" x14ac:dyDescent="0.5">
      <c r="B31" s="15" t="s">
        <v>10</v>
      </c>
      <c r="E31" s="65">
        <f>+E29-E23</f>
        <v>-6922</v>
      </c>
    </row>
    <row r="32" spans="2:9" x14ac:dyDescent="0.5">
      <c r="B32" s="16" t="s">
        <v>40</v>
      </c>
      <c r="C32" s="16"/>
      <c r="D32" s="16"/>
      <c r="E32" s="64">
        <f>+E21+E31</f>
        <v>850427.60827000008</v>
      </c>
    </row>
    <row r="33" spans="2:26" x14ac:dyDescent="0.5">
      <c r="E33" s="49"/>
    </row>
    <row r="34" spans="2:26" x14ac:dyDescent="0.5">
      <c r="B34" s="15" t="s">
        <v>44</v>
      </c>
      <c r="E34" s="52">
        <f>_xll.ciqfunctions.udf.CIQ(E10, "IQ_TOTAL_EQUITY", , E12, , , $C$4)</f>
        <v>128290</v>
      </c>
    </row>
    <row r="36" spans="2:26" x14ac:dyDescent="0.5">
      <c r="B36" s="44" t="s">
        <v>46</v>
      </c>
      <c r="C36" s="44"/>
      <c r="D36" s="44"/>
      <c r="E36" s="44"/>
      <c r="F36" s="44"/>
    </row>
    <row r="37" spans="2:26" ht="5.25" customHeight="1" x14ac:dyDescent="0.5"/>
    <row r="38" spans="2:26" x14ac:dyDescent="0.5">
      <c r="B38" s="42"/>
      <c r="C38" s="42" t="s">
        <v>49</v>
      </c>
      <c r="D38" s="42" t="s">
        <v>48</v>
      </c>
      <c r="E38" s="42" t="s">
        <v>49</v>
      </c>
      <c r="F38" s="42"/>
    </row>
    <row r="39" spans="2:26" ht="16.8" x14ac:dyDescent="0.95">
      <c r="B39" s="19" t="s">
        <v>47</v>
      </c>
      <c r="C39" s="20" t="s">
        <v>51</v>
      </c>
      <c r="D39" s="20" t="s">
        <v>8</v>
      </c>
      <c r="E39" s="20" t="s">
        <v>91</v>
      </c>
      <c r="F39" s="20" t="s">
        <v>50</v>
      </c>
    </row>
    <row r="40" spans="2:26" s="66" customFormat="1" ht="10.199999999999999" x14ac:dyDescent="0.35">
      <c r="C40" s="66" t="s">
        <v>21</v>
      </c>
      <c r="D40" s="67" t="s">
        <v>16</v>
      </c>
      <c r="E40" s="66" t="s">
        <v>21</v>
      </c>
      <c r="F40" s="67" t="s">
        <v>20</v>
      </c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9"/>
      <c r="S40" s="67"/>
      <c r="T40" s="67"/>
      <c r="U40" s="67"/>
      <c r="V40" s="67"/>
      <c r="W40" s="67"/>
      <c r="X40" s="67"/>
      <c r="Y40" s="67"/>
      <c r="Z40" s="67"/>
    </row>
    <row r="41" spans="2:26" x14ac:dyDescent="0.5">
      <c r="B41" s="38"/>
      <c r="C41" s="50"/>
      <c r="D41" s="48"/>
      <c r="E41" s="46">
        <f>+IF(D41&lt;$E$11,C41,0)</f>
        <v>0</v>
      </c>
      <c r="F41" s="57">
        <f>+D41*E41</f>
        <v>0</v>
      </c>
    </row>
    <row r="42" spans="2:26" x14ac:dyDescent="0.5">
      <c r="B42" s="38"/>
      <c r="C42" s="50"/>
      <c r="D42" s="48"/>
      <c r="E42" s="46">
        <f t="shared" ref="E42:E46" si="0">+IF(D42&lt;$E$11,C42,0)</f>
        <v>0</v>
      </c>
      <c r="F42" s="57">
        <f t="shared" ref="F42:F46" si="1">+D42*E42</f>
        <v>0</v>
      </c>
    </row>
    <row r="43" spans="2:26" x14ac:dyDescent="0.5">
      <c r="B43" s="38"/>
      <c r="C43" s="50"/>
      <c r="D43" s="48"/>
      <c r="E43" s="46">
        <f t="shared" si="0"/>
        <v>0</v>
      </c>
      <c r="F43" s="57">
        <f t="shared" si="1"/>
        <v>0</v>
      </c>
    </row>
    <row r="44" spans="2:26" x14ac:dyDescent="0.5">
      <c r="B44" s="38"/>
      <c r="C44" s="50"/>
      <c r="D44" s="48"/>
      <c r="E44" s="46">
        <f t="shared" si="0"/>
        <v>0</v>
      </c>
      <c r="F44" s="57">
        <f t="shared" si="1"/>
        <v>0</v>
      </c>
    </row>
    <row r="45" spans="2:26" x14ac:dyDescent="0.5">
      <c r="B45" s="38"/>
      <c r="C45" s="50"/>
      <c r="D45" s="48"/>
      <c r="E45" s="46">
        <f t="shared" si="0"/>
        <v>0</v>
      </c>
      <c r="F45" s="57">
        <f t="shared" si="1"/>
        <v>0</v>
      </c>
    </row>
    <row r="46" spans="2:26" x14ac:dyDescent="0.5">
      <c r="B46" s="43"/>
      <c r="C46" s="61"/>
      <c r="D46" s="62"/>
      <c r="E46" s="51">
        <f t="shared" si="0"/>
        <v>0</v>
      </c>
      <c r="F46" s="58">
        <f t="shared" si="1"/>
        <v>0</v>
      </c>
    </row>
    <row r="47" spans="2:26" x14ac:dyDescent="0.5">
      <c r="B47" s="16" t="s">
        <v>52</v>
      </c>
      <c r="C47" s="54"/>
      <c r="D47" s="54"/>
      <c r="E47" s="59">
        <f>SUM(E41:E46)</f>
        <v>0</v>
      </c>
      <c r="F47" s="60">
        <f>SUM(F41:F46)</f>
        <v>0</v>
      </c>
    </row>
    <row r="48" spans="2:26" x14ac:dyDescent="0.5">
      <c r="C48" s="49"/>
      <c r="D48" s="49"/>
      <c r="E48" s="49"/>
      <c r="F48" s="49"/>
    </row>
    <row r="49" spans="2:6" x14ac:dyDescent="0.5">
      <c r="B49" s="15" t="s">
        <v>53</v>
      </c>
      <c r="C49" s="49"/>
      <c r="D49" s="49"/>
      <c r="E49" s="49"/>
      <c r="F49" s="46">
        <f>+E47</f>
        <v>0</v>
      </c>
    </row>
    <row r="50" spans="2:6" x14ac:dyDescent="0.5">
      <c r="B50" s="15" t="s">
        <v>54</v>
      </c>
      <c r="C50" s="49"/>
      <c r="D50" s="49"/>
      <c r="E50" s="49"/>
      <c r="F50" s="46">
        <f>IF(ISERR($F47/E11),"-",$F47/E11)</f>
        <v>0</v>
      </c>
    </row>
    <row r="51" spans="2:6" x14ac:dyDescent="0.5">
      <c r="B51" s="15" t="s">
        <v>79</v>
      </c>
      <c r="C51" s="49"/>
      <c r="D51" s="49"/>
      <c r="E51" s="49"/>
      <c r="F51" s="46">
        <f>+IF(ISERR(F49-F50),"-",F49-F50)</f>
        <v>0</v>
      </c>
    </row>
    <row r="52" spans="2:6" x14ac:dyDescent="0.5">
      <c r="C52" s="49"/>
      <c r="D52" s="49"/>
      <c r="E52" s="49"/>
      <c r="F52" s="46"/>
    </row>
    <row r="53" spans="2:6" x14ac:dyDescent="0.5">
      <c r="B53" s="44" t="s">
        <v>80</v>
      </c>
      <c r="C53" s="44"/>
      <c r="D53" s="44"/>
      <c r="E53" s="44"/>
      <c r="F53" s="46"/>
    </row>
    <row r="54" spans="2:6" ht="5.55" customHeight="1" x14ac:dyDescent="0.5">
      <c r="B54" s="16"/>
      <c r="D54" s="49"/>
      <c r="E54" s="16"/>
      <c r="F54" s="46"/>
    </row>
    <row r="55" spans="2:6" x14ac:dyDescent="0.5">
      <c r="B55" s="16"/>
      <c r="D55" s="49"/>
      <c r="E55" s="42" t="s">
        <v>83</v>
      </c>
      <c r="F55" s="46"/>
    </row>
    <row r="56" spans="2:6" x14ac:dyDescent="0.5">
      <c r="B56" s="16"/>
      <c r="D56" s="49"/>
      <c r="E56" s="42" t="s">
        <v>49</v>
      </c>
      <c r="F56" s="46"/>
    </row>
    <row r="57" spans="2:6" ht="16.8" x14ac:dyDescent="0.95">
      <c r="B57" s="19" t="s">
        <v>47</v>
      </c>
      <c r="C57" s="19" t="s">
        <v>84</v>
      </c>
      <c r="D57" s="19" t="s">
        <v>84</v>
      </c>
      <c r="E57" s="20" t="s">
        <v>51</v>
      </c>
      <c r="F57" s="46"/>
    </row>
    <row r="58" spans="2:6" x14ac:dyDescent="0.5">
      <c r="E58" s="66" t="s">
        <v>21</v>
      </c>
      <c r="F58" s="46"/>
    </row>
    <row r="59" spans="2:6" x14ac:dyDescent="0.5">
      <c r="B59" s="38" t="s">
        <v>95</v>
      </c>
      <c r="C59" s="38"/>
      <c r="D59" s="38"/>
      <c r="E59" s="50">
        <v>106.25700000000001</v>
      </c>
      <c r="F59" s="46"/>
    </row>
    <row r="60" spans="2:6" x14ac:dyDescent="0.5">
      <c r="B60" s="38"/>
      <c r="C60" s="38"/>
      <c r="D60" s="38"/>
      <c r="E60" s="38"/>
      <c r="F60" s="46"/>
    </row>
    <row r="61" spans="2:6" x14ac:dyDescent="0.5">
      <c r="B61" s="38"/>
      <c r="C61" s="38"/>
      <c r="D61" s="38"/>
      <c r="E61" s="38"/>
      <c r="F61" s="46"/>
    </row>
    <row r="62" spans="2:6" x14ac:dyDescent="0.5">
      <c r="B62" s="38"/>
      <c r="C62" s="38"/>
      <c r="D62" s="38"/>
      <c r="E62" s="38"/>
      <c r="F62" s="46"/>
    </row>
    <row r="63" spans="2:6" x14ac:dyDescent="0.5">
      <c r="B63" s="43"/>
      <c r="C63" s="43"/>
      <c r="D63" s="43"/>
      <c r="E63" s="43"/>
      <c r="F63" s="46"/>
    </row>
    <row r="64" spans="2:6" x14ac:dyDescent="0.5">
      <c r="B64" s="16" t="s">
        <v>52</v>
      </c>
      <c r="D64" s="49"/>
      <c r="E64" s="78">
        <f>SUM(E59:E63)</f>
        <v>106.25700000000001</v>
      </c>
      <c r="F64" s="46"/>
    </row>
    <row r="66" spans="2:5" x14ac:dyDescent="0.5">
      <c r="B66" s="44" t="s">
        <v>39</v>
      </c>
      <c r="C66" s="44"/>
      <c r="D66" s="44"/>
      <c r="E66" s="44"/>
    </row>
    <row r="67" spans="2:5" ht="5.25" customHeight="1" x14ac:dyDescent="0.5"/>
    <row r="68" spans="2:5" x14ac:dyDescent="0.5">
      <c r="B68" s="42"/>
      <c r="C68" s="42" t="s">
        <v>56</v>
      </c>
      <c r="D68" s="42" t="s">
        <v>57</v>
      </c>
      <c r="E68" s="42" t="s">
        <v>9</v>
      </c>
    </row>
    <row r="69" spans="2:5" ht="16.8" x14ac:dyDescent="0.95">
      <c r="B69" s="19" t="s">
        <v>55</v>
      </c>
      <c r="C69" s="20" t="s">
        <v>23</v>
      </c>
      <c r="D69" s="20" t="s">
        <v>8</v>
      </c>
      <c r="E69" s="20" t="s">
        <v>58</v>
      </c>
    </row>
    <row r="70" spans="2:5" x14ac:dyDescent="0.5">
      <c r="C70" s="66" t="s">
        <v>21</v>
      </c>
      <c r="D70" s="67" t="s">
        <v>16</v>
      </c>
      <c r="E70" s="66" t="s">
        <v>21</v>
      </c>
    </row>
    <row r="71" spans="2:5" x14ac:dyDescent="0.5">
      <c r="B71" s="38"/>
      <c r="C71" s="52"/>
      <c r="D71" s="48"/>
      <c r="E71" s="46">
        <f>IF(ISNUMBER($D71),IF($E$11&gt;$D71,$C71/$D71,0),0)</f>
        <v>0</v>
      </c>
    </row>
    <row r="72" spans="2:5" x14ac:dyDescent="0.5">
      <c r="B72" s="38"/>
      <c r="C72" s="52"/>
      <c r="D72" s="48"/>
      <c r="E72" s="46">
        <f t="shared" ref="E72:E75" si="2">IF(ISNUMBER($D72),IF($E$11&gt;$D72,$C72/$D72,0),0)</f>
        <v>0</v>
      </c>
    </row>
    <row r="73" spans="2:5" x14ac:dyDescent="0.5">
      <c r="B73" s="38"/>
      <c r="C73" s="52"/>
      <c r="D73" s="48"/>
      <c r="E73" s="46">
        <f t="shared" si="2"/>
        <v>0</v>
      </c>
    </row>
    <row r="74" spans="2:5" x14ac:dyDescent="0.5">
      <c r="B74" s="38"/>
      <c r="C74" s="52"/>
      <c r="D74" s="48"/>
      <c r="E74" s="46">
        <f t="shared" si="2"/>
        <v>0</v>
      </c>
    </row>
    <row r="75" spans="2:5" x14ac:dyDescent="0.5">
      <c r="B75" s="43"/>
      <c r="C75" s="63"/>
      <c r="D75" s="62"/>
      <c r="E75" s="51">
        <f t="shared" si="2"/>
        <v>0</v>
      </c>
    </row>
    <row r="76" spans="2:5" x14ac:dyDescent="0.5">
      <c r="B76" s="16" t="s">
        <v>52</v>
      </c>
      <c r="C76" s="64">
        <f>SUM(C71:C75)</f>
        <v>0</v>
      </c>
      <c r="D76" s="54"/>
      <c r="E76" s="59">
        <f>SUM(E71:E75)</f>
        <v>0</v>
      </c>
    </row>
    <row r="77" spans="2:5" x14ac:dyDescent="0.5">
      <c r="C77" s="49"/>
      <c r="D77" s="49"/>
      <c r="E77" s="49"/>
    </row>
    <row r="78" spans="2:5" x14ac:dyDescent="0.5">
      <c r="B78" s="15" t="s">
        <v>59</v>
      </c>
      <c r="C78" s="49"/>
      <c r="D78" s="49"/>
      <c r="E78" s="65">
        <f>SUMIF(D71:D75,"&lt;"&amp;$E$11,C71:C75)</f>
        <v>0</v>
      </c>
    </row>
    <row r="79" spans="2:5" x14ac:dyDescent="0.5">
      <c r="B79" s="15" t="s">
        <v>60</v>
      </c>
      <c r="C79" s="49"/>
      <c r="D79" s="49"/>
      <c r="E79" s="65">
        <f>+C76-E78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87E6-C6D1-4E9E-BF32-D7042127ABD5}">
  <dimension ref="A1:Z79"/>
  <sheetViews>
    <sheetView showGridLines="0" zoomScaleNormal="100" workbookViewId="0">
      <selection activeCell="C10" sqref="C10"/>
    </sheetView>
  </sheetViews>
  <sheetFormatPr defaultColWidth="11.68359375" defaultRowHeight="14.1" x14ac:dyDescent="0.5"/>
  <cols>
    <col min="1" max="1" width="5.68359375" style="15" customWidth="1"/>
    <col min="2" max="2" width="50.68359375" style="15" customWidth="1"/>
    <col min="3" max="6" width="15.68359375" style="15" customWidth="1"/>
    <col min="7" max="7" width="50.68359375" style="15" customWidth="1"/>
    <col min="8" max="9" width="15.68359375" style="15" customWidth="1"/>
    <col min="10" max="16384" width="11.68359375" style="15"/>
  </cols>
  <sheetData>
    <row r="1" spans="1:9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</row>
    <row r="2" spans="1:9" s="2" customFormat="1" ht="17.399999999999999" x14ac:dyDescent="0.5">
      <c r="A2" s="12" t="str">
        <f>_xll.ciqfunctions.udf.CIQ($E$10, "IQ_COMPANY_NAME")</f>
        <v>(Invalid Identifier)</v>
      </c>
      <c r="B2" s="12"/>
      <c r="C2" s="12"/>
      <c r="D2" s="12"/>
      <c r="E2" s="12"/>
      <c r="F2" s="12"/>
      <c r="G2" s="12"/>
      <c r="H2" s="12"/>
      <c r="I2" s="12"/>
    </row>
    <row r="3" spans="1:9" s="11" customFormat="1" ht="15" x14ac:dyDescent="0.5">
      <c r="A3" s="36" t="s">
        <v>102</v>
      </c>
      <c r="B3" s="14"/>
      <c r="C3" s="14"/>
      <c r="D3" s="14"/>
      <c r="E3" s="13"/>
      <c r="F3" s="13"/>
      <c r="G3" s="13"/>
      <c r="H3" s="13"/>
      <c r="I3" s="13"/>
    </row>
    <row r="4" spans="1:9" x14ac:dyDescent="0.5">
      <c r="B4" s="15" t="str">
        <f>'Comps Data (Capital IQ))'!$AG$2</f>
        <v>Currency</v>
      </c>
      <c r="C4" s="15" t="str">
        <f>'Comps Data (Capital IQ))'!$AH$2</f>
        <v>USD</v>
      </c>
    </row>
    <row r="6" spans="1:9" ht="15" x14ac:dyDescent="0.5">
      <c r="B6" s="37" t="str">
        <f>_xll.ciqfunctions.udf.CIQ($E$10, "IQ_COMPANY_NAME")</f>
        <v>(Invalid Identifier)</v>
      </c>
      <c r="C6" s="13"/>
      <c r="D6" s="13"/>
      <c r="E6" s="13"/>
      <c r="F6" s="13"/>
      <c r="G6" s="13"/>
      <c r="H6" s="13"/>
      <c r="I6" s="13"/>
    </row>
    <row r="8" spans="1:9" x14ac:dyDescent="0.5">
      <c r="B8" s="44" t="s">
        <v>24</v>
      </c>
      <c r="C8" s="44"/>
      <c r="D8" s="44"/>
      <c r="E8" s="44"/>
      <c r="G8" s="44" t="s">
        <v>43</v>
      </c>
      <c r="H8" s="45"/>
      <c r="I8" s="45"/>
    </row>
    <row r="9" spans="1:9" ht="5.25" customHeight="1" x14ac:dyDescent="0.5"/>
    <row r="10" spans="1:9" ht="16.8" x14ac:dyDescent="0.95">
      <c r="B10" s="15" t="s">
        <v>35</v>
      </c>
      <c r="C10" s="105" t="s">
        <v>252</v>
      </c>
      <c r="E10" s="47" t="str">
        <f>_xll.ciqfunctions.udf.CIQ("NYSE:TWTR", "IQ_COMPANY_TICKER")</f>
        <v>(Invalid Identifier)</v>
      </c>
      <c r="G10" s="39" t="s">
        <v>41</v>
      </c>
      <c r="H10" s="20" t="s">
        <v>26</v>
      </c>
      <c r="I10" s="20" t="s">
        <v>27</v>
      </c>
    </row>
    <row r="11" spans="1:9" x14ac:dyDescent="0.5">
      <c r="B11" s="15" t="s">
        <v>71</v>
      </c>
      <c r="E11" s="48" t="str">
        <f>_xll.ciqfunctions.udf.CIQ(E10, "IQ_LASTSALEPRICE", E12,$C$4)</f>
        <v>(Invalid Identifier)</v>
      </c>
      <c r="G11" s="15" t="s">
        <v>25</v>
      </c>
      <c r="H11" s="52" t="str">
        <f>_xll.ciqfunctions.udf.CIQ($E$10, "IQ_REVENUE_EST", "FY2021",,,,$C$4)</f>
        <v>(Invalid Identifier)</v>
      </c>
      <c r="I11" s="52" t="str">
        <f>_xll.ciqfunctions.udf.CIQ($E$10, "IQ_REVENUE_EST", "FY2022",,,,$C$4)</f>
        <v>(Invalid Identifier)</v>
      </c>
    </row>
    <row r="12" spans="1:9" x14ac:dyDescent="0.5">
      <c r="B12" s="15" t="s">
        <v>36</v>
      </c>
      <c r="E12" s="81">
        <f>'Comps Data (Capital IQ))'!$AH$3</f>
        <v>44275</v>
      </c>
      <c r="G12" s="15" t="s">
        <v>11</v>
      </c>
      <c r="H12" s="52" t="str">
        <f>_xll.ciqfunctions.udf.CIQ($E$10, "IQ_EBITDA_EST", "FY2021",,,,$C$4)</f>
        <v>(Invalid Identifier)</v>
      </c>
      <c r="I12" s="52" t="str">
        <f>_xll.ciqfunctions.udf.CIQ($E$10, "IQ_EBITDA_EST", "FY2022",,,,$C$4)</f>
        <v>(Invalid Identifier)</v>
      </c>
    </row>
    <row r="13" spans="1:9" x14ac:dyDescent="0.5">
      <c r="E13" s="49"/>
      <c r="G13" s="15" t="s">
        <v>12</v>
      </c>
      <c r="H13" s="52" t="str">
        <f>_xll.ciqfunctions.udf.CIQ($E$10, "IQ_NI_REPORTED_EST", "FY2021",,,,$C$4)</f>
        <v>(Invalid Identifier)</v>
      </c>
      <c r="I13" s="52" t="str">
        <f>_xll.ciqfunctions.udf.CIQ($E$10, "IQ_NI_REPORTED_EST", "FY2022",,,,$C$4)</f>
        <v>(Invalid Identifier)</v>
      </c>
    </row>
    <row r="14" spans="1:9" x14ac:dyDescent="0.5">
      <c r="B14" s="40" t="s">
        <v>37</v>
      </c>
      <c r="E14" s="49"/>
      <c r="G14" s="15" t="s">
        <v>28</v>
      </c>
      <c r="H14" s="52" t="str">
        <f>_xll.ciqfunctions.udf.CIQ($E$10, "IQ_CASH_OPER_EST", "FY2021",,,,$C$4)</f>
        <v>(Invalid Identifier)</v>
      </c>
      <c r="I14" s="52" t="str">
        <f>_xll.ciqfunctions.udf.CIQ($E$10, "IQ_CASH_OPER_EST", "FY2022",,,,$C$4)</f>
        <v>(Invalid Identifier)</v>
      </c>
    </row>
    <row r="15" spans="1:9" x14ac:dyDescent="0.5">
      <c r="B15" s="15" t="s">
        <v>72</v>
      </c>
      <c r="E15" s="82" t="str">
        <f>_xll.ciqfunctions.udf.CIQ(E10, "IQ_TOTAL_OUTSTANDING_BS_DATE", , E12)</f>
        <v>(Invalid Identifier)</v>
      </c>
      <c r="H15" s="49"/>
      <c r="I15" s="49"/>
    </row>
    <row r="16" spans="1:9" ht="16.5" customHeight="1" x14ac:dyDescent="0.5">
      <c r="B16" s="72" t="s">
        <v>82</v>
      </c>
      <c r="C16" s="72"/>
      <c r="D16" s="72"/>
      <c r="E16" s="75">
        <f>+E64</f>
        <v>44.510999999999996</v>
      </c>
      <c r="H16" s="49"/>
      <c r="I16" s="49"/>
    </row>
    <row r="17" spans="2:9" ht="16.5" customHeight="1" x14ac:dyDescent="0.5">
      <c r="B17" s="72" t="s">
        <v>73</v>
      </c>
      <c r="C17" s="72"/>
      <c r="D17" s="72"/>
      <c r="E17" s="75" t="str">
        <f>+F51</f>
        <v>-</v>
      </c>
      <c r="G17" s="73" t="s">
        <v>42</v>
      </c>
      <c r="H17" s="77" t="s">
        <v>26</v>
      </c>
      <c r="I17" s="77" t="s">
        <v>27</v>
      </c>
    </row>
    <row r="18" spans="2:9" ht="16.5" customHeight="1" x14ac:dyDescent="0.5">
      <c r="B18" s="74" t="s">
        <v>74</v>
      </c>
      <c r="C18" s="74"/>
      <c r="D18" s="74"/>
      <c r="E18" s="76">
        <f>+E76</f>
        <v>56.509872522545514</v>
      </c>
      <c r="G18" s="15" t="s">
        <v>25</v>
      </c>
      <c r="H18" s="55" t="str">
        <f>IFERROR($E$32/H11,"-")</f>
        <v>-</v>
      </c>
      <c r="I18" s="55" t="str">
        <f>IFERROR($E$32/I11,"-")</f>
        <v>-</v>
      </c>
    </row>
    <row r="19" spans="2:9" x14ac:dyDescent="0.5">
      <c r="B19" s="72" t="s">
        <v>81</v>
      </c>
      <c r="E19" s="79">
        <f>SUM(E15:E18)</f>
        <v>101.02087252254552</v>
      </c>
      <c r="G19" s="15" t="s">
        <v>11</v>
      </c>
      <c r="H19" s="55" t="str">
        <f>IFERROR($E$32/H12,"-")</f>
        <v>-</v>
      </c>
      <c r="I19" s="55" t="str">
        <f>IFERROR($E$32/I12,"-")</f>
        <v>-</v>
      </c>
    </row>
    <row r="20" spans="2:9" x14ac:dyDescent="0.5">
      <c r="E20" s="49"/>
      <c r="G20" s="15" t="s">
        <v>12</v>
      </c>
      <c r="H20" s="55" t="str">
        <f>IFERROR($E$21/H13,"-")</f>
        <v>-</v>
      </c>
      <c r="I20" s="55" t="str">
        <f>IFERROR($E$21/I13,"-")</f>
        <v>-</v>
      </c>
    </row>
    <row r="21" spans="2:9" x14ac:dyDescent="0.5">
      <c r="B21" s="16" t="s">
        <v>38</v>
      </c>
      <c r="C21" s="16"/>
      <c r="D21" s="16"/>
      <c r="E21" s="64" t="e">
        <f>+E11*E19</f>
        <v>#VALUE!</v>
      </c>
      <c r="G21" s="15" t="s">
        <v>28</v>
      </c>
      <c r="H21" s="55" t="str">
        <f>IFERROR($E$21/H14,"-")</f>
        <v>-</v>
      </c>
      <c r="I21" s="55" t="str">
        <f>IFERROR($E$21/I14,"-")</f>
        <v>-</v>
      </c>
    </row>
    <row r="22" spans="2:9" x14ac:dyDescent="0.5">
      <c r="E22" s="49"/>
      <c r="H22" s="49"/>
      <c r="I22" s="49"/>
    </row>
    <row r="23" spans="2:9" x14ac:dyDescent="0.5">
      <c r="B23" s="15" t="s">
        <v>76</v>
      </c>
      <c r="E23" s="52" t="str">
        <f>_xll.ciqfunctions.udf.CIQ(E10, "IQ_CASH_EQUIV", , E12, , , $C$4)</f>
        <v>(Invalid Identifier)</v>
      </c>
      <c r="G23" s="15" t="s">
        <v>45</v>
      </c>
      <c r="H23" s="49"/>
      <c r="I23" s="55" t="str">
        <f>IFERROR(E29/E34,"-")</f>
        <v>-</v>
      </c>
    </row>
    <row r="24" spans="2:9" x14ac:dyDescent="0.5">
      <c r="E24" s="49"/>
      <c r="G24" s="15" t="s">
        <v>77</v>
      </c>
      <c r="H24" s="49"/>
      <c r="I24" s="56" t="str">
        <f>IFERROR(E29/(E29+E34),"-")</f>
        <v>-</v>
      </c>
    </row>
    <row r="25" spans="2:9" x14ac:dyDescent="0.5">
      <c r="B25" s="15" t="s">
        <v>86</v>
      </c>
      <c r="E25" s="80" t="str">
        <f>_xll.ciqfunctions.udf.CIQ(E10, "IQ_TOTAL_DEBT", , E12, , , $C$4)</f>
        <v>(Invalid Identifier)</v>
      </c>
      <c r="G25" s="15" t="s">
        <v>78</v>
      </c>
      <c r="I25" s="56" t="str">
        <f>IFERROR(E29/(E29+E21),"-")</f>
        <v>-</v>
      </c>
    </row>
    <row r="26" spans="2:9" x14ac:dyDescent="0.5">
      <c r="B26" s="15" t="s">
        <v>89</v>
      </c>
      <c r="E26" s="80" t="str">
        <f>_xll.ciqfunctions.udf.CIQ(E10, "IQ_CONVERT", , E12, , , $C$4)</f>
        <v>(Invalid Identifier)</v>
      </c>
      <c r="I26" s="56"/>
    </row>
    <row r="27" spans="2:9" x14ac:dyDescent="0.5">
      <c r="B27" s="15" t="s">
        <v>88</v>
      </c>
      <c r="E27" s="65" t="e">
        <f>+E25-E26</f>
        <v>#VALUE!</v>
      </c>
    </row>
    <row r="28" spans="2:9" x14ac:dyDescent="0.5">
      <c r="B28" s="41" t="s">
        <v>90</v>
      </c>
      <c r="C28" s="41"/>
      <c r="D28" s="41"/>
      <c r="E28" s="53">
        <f>+E79</f>
        <v>3104</v>
      </c>
    </row>
    <row r="29" spans="2:9" x14ac:dyDescent="0.5">
      <c r="B29" s="16" t="s">
        <v>87</v>
      </c>
      <c r="C29" s="16"/>
      <c r="D29" s="16"/>
      <c r="E29" s="64" t="e">
        <f>+E27+E28</f>
        <v>#VALUE!</v>
      </c>
    </row>
    <row r="30" spans="2:9" x14ac:dyDescent="0.5">
      <c r="B30" s="16"/>
      <c r="C30" s="16"/>
      <c r="D30" s="16"/>
      <c r="E30" s="54"/>
    </row>
    <row r="31" spans="2:9" x14ac:dyDescent="0.5">
      <c r="B31" s="15" t="s">
        <v>10</v>
      </c>
      <c r="E31" s="65" t="e">
        <f>+E29-E23</f>
        <v>#VALUE!</v>
      </c>
    </row>
    <row r="32" spans="2:9" x14ac:dyDescent="0.5">
      <c r="B32" s="16" t="s">
        <v>40</v>
      </c>
      <c r="C32" s="16"/>
      <c r="D32" s="16"/>
      <c r="E32" s="64" t="e">
        <f>+E21+E31</f>
        <v>#VALUE!</v>
      </c>
    </row>
    <row r="33" spans="2:26" x14ac:dyDescent="0.5">
      <c r="E33" s="49"/>
    </row>
    <row r="34" spans="2:26" x14ac:dyDescent="0.5">
      <c r="B34" s="15" t="s">
        <v>44</v>
      </c>
      <c r="E34" s="52" t="str">
        <f>_xll.ciqfunctions.udf.CIQ(E10, "IQ_TOTAL_EQUITY", , E12, , , $C$4)</f>
        <v>(Invalid Identifier)</v>
      </c>
    </row>
    <row r="36" spans="2:26" x14ac:dyDescent="0.5">
      <c r="B36" s="44" t="s">
        <v>46</v>
      </c>
      <c r="C36" s="44"/>
      <c r="D36" s="44"/>
      <c r="E36" s="44"/>
      <c r="F36" s="44"/>
    </row>
    <row r="37" spans="2:26" ht="5.25" customHeight="1" x14ac:dyDescent="0.5"/>
    <row r="38" spans="2:26" x14ac:dyDescent="0.5">
      <c r="B38" s="42"/>
      <c r="C38" s="42" t="s">
        <v>49</v>
      </c>
      <c r="D38" s="42" t="s">
        <v>48</v>
      </c>
      <c r="E38" s="42" t="s">
        <v>49</v>
      </c>
      <c r="F38" s="42"/>
    </row>
    <row r="39" spans="2:26" ht="16.8" x14ac:dyDescent="0.95">
      <c r="B39" s="19" t="s">
        <v>47</v>
      </c>
      <c r="C39" s="20" t="s">
        <v>51</v>
      </c>
      <c r="D39" s="20" t="s">
        <v>8</v>
      </c>
      <c r="E39" s="20" t="s">
        <v>91</v>
      </c>
      <c r="F39" s="20" t="s">
        <v>50</v>
      </c>
    </row>
    <row r="40" spans="2:26" s="66" customFormat="1" ht="10.199999999999999" x14ac:dyDescent="0.35">
      <c r="C40" s="66" t="s">
        <v>21</v>
      </c>
      <c r="D40" s="67" t="s">
        <v>16</v>
      </c>
      <c r="E40" s="66" t="s">
        <v>21</v>
      </c>
      <c r="F40" s="67" t="s">
        <v>20</v>
      </c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9"/>
      <c r="S40" s="67"/>
      <c r="T40" s="67"/>
      <c r="U40" s="67"/>
      <c r="V40" s="67"/>
      <c r="W40" s="67"/>
      <c r="X40" s="67"/>
      <c r="Y40" s="67"/>
      <c r="Z40" s="67"/>
    </row>
    <row r="41" spans="2:26" x14ac:dyDescent="0.5">
      <c r="B41" s="38" t="s">
        <v>97</v>
      </c>
      <c r="C41" s="50">
        <v>2.9</v>
      </c>
      <c r="D41" s="48">
        <v>9.84</v>
      </c>
      <c r="E41" s="46">
        <f>+IF(D41&lt;$E$11,C41,0)</f>
        <v>2.9</v>
      </c>
      <c r="F41" s="57">
        <f>+D41*E41</f>
        <v>28.535999999999998</v>
      </c>
    </row>
    <row r="42" spans="2:26" x14ac:dyDescent="0.5">
      <c r="B42" s="38"/>
      <c r="C42" s="50"/>
      <c r="D42" s="48"/>
      <c r="E42" s="46">
        <f t="shared" ref="E42:E46" si="0">+IF(D42&lt;$E$11,C42,0)</f>
        <v>0</v>
      </c>
      <c r="F42" s="57">
        <f t="shared" ref="F42:F46" si="1">+D42*E42</f>
        <v>0</v>
      </c>
    </row>
    <row r="43" spans="2:26" x14ac:dyDescent="0.5">
      <c r="B43" s="38"/>
      <c r="C43" s="50"/>
      <c r="D43" s="48"/>
      <c r="E43" s="46">
        <f t="shared" si="0"/>
        <v>0</v>
      </c>
      <c r="F43" s="57">
        <f t="shared" si="1"/>
        <v>0</v>
      </c>
    </row>
    <row r="44" spans="2:26" x14ac:dyDescent="0.5">
      <c r="B44" s="38"/>
      <c r="C44" s="50"/>
      <c r="D44" s="48"/>
      <c r="E44" s="46">
        <f t="shared" si="0"/>
        <v>0</v>
      </c>
      <c r="F44" s="57">
        <f t="shared" si="1"/>
        <v>0</v>
      </c>
    </row>
    <row r="45" spans="2:26" x14ac:dyDescent="0.5">
      <c r="B45" s="38"/>
      <c r="C45" s="50"/>
      <c r="D45" s="48"/>
      <c r="E45" s="46">
        <f t="shared" si="0"/>
        <v>0</v>
      </c>
      <c r="F45" s="57">
        <f t="shared" si="1"/>
        <v>0</v>
      </c>
    </row>
    <row r="46" spans="2:26" x14ac:dyDescent="0.5">
      <c r="B46" s="43"/>
      <c r="C46" s="61"/>
      <c r="D46" s="62"/>
      <c r="E46" s="51">
        <f t="shared" si="0"/>
        <v>0</v>
      </c>
      <c r="F46" s="58">
        <f t="shared" si="1"/>
        <v>0</v>
      </c>
    </row>
    <row r="47" spans="2:26" x14ac:dyDescent="0.5">
      <c r="B47" s="16" t="s">
        <v>52</v>
      </c>
      <c r="C47" s="54"/>
      <c r="D47" s="54"/>
      <c r="E47" s="59">
        <f>SUM(E41:E46)</f>
        <v>2.9</v>
      </c>
      <c r="F47" s="60">
        <f>SUM(F41:F46)</f>
        <v>28.535999999999998</v>
      </c>
    </row>
    <row r="48" spans="2:26" x14ac:dyDescent="0.5">
      <c r="C48" s="49"/>
      <c r="D48" s="49"/>
      <c r="E48" s="49"/>
      <c r="F48" s="49"/>
    </row>
    <row r="49" spans="2:6" x14ac:dyDescent="0.5">
      <c r="B49" s="15" t="s">
        <v>53</v>
      </c>
      <c r="C49" s="49"/>
      <c r="D49" s="49"/>
      <c r="E49" s="49"/>
      <c r="F49" s="46">
        <f>+E47</f>
        <v>2.9</v>
      </c>
    </row>
    <row r="50" spans="2:6" x14ac:dyDescent="0.5">
      <c r="B50" s="15" t="s">
        <v>54</v>
      </c>
      <c r="C50" s="49"/>
      <c r="D50" s="49"/>
      <c r="E50" s="49"/>
      <c r="F50" s="46" t="str">
        <f>IF(ISERR($F47/E11),"-",$F47/E11)</f>
        <v>-</v>
      </c>
    </row>
    <row r="51" spans="2:6" x14ac:dyDescent="0.5">
      <c r="B51" s="15" t="s">
        <v>79</v>
      </c>
      <c r="C51" s="49"/>
      <c r="D51" s="49"/>
      <c r="E51" s="49"/>
      <c r="F51" s="46" t="str">
        <f>+IF(ISERR(F49-F50),"-",F49-F50)</f>
        <v>-</v>
      </c>
    </row>
    <row r="52" spans="2:6" x14ac:dyDescent="0.5">
      <c r="C52" s="49"/>
      <c r="D52" s="49"/>
      <c r="E52" s="49"/>
      <c r="F52" s="46"/>
    </row>
    <row r="53" spans="2:6" x14ac:dyDescent="0.5">
      <c r="B53" s="44" t="s">
        <v>80</v>
      </c>
      <c r="C53" s="44"/>
      <c r="D53" s="44"/>
      <c r="E53" s="44"/>
      <c r="F53" s="46"/>
    </row>
    <row r="54" spans="2:6" ht="5.55" customHeight="1" x14ac:dyDescent="0.5">
      <c r="B54" s="16"/>
      <c r="D54" s="49"/>
      <c r="E54" s="16"/>
      <c r="F54" s="46"/>
    </row>
    <row r="55" spans="2:6" x14ac:dyDescent="0.5">
      <c r="B55" s="16"/>
      <c r="D55" s="49"/>
      <c r="E55" s="42" t="s">
        <v>83</v>
      </c>
      <c r="F55" s="46"/>
    </row>
    <row r="56" spans="2:6" x14ac:dyDescent="0.5">
      <c r="B56" s="16"/>
      <c r="D56" s="49"/>
      <c r="E56" s="42" t="s">
        <v>49</v>
      </c>
      <c r="F56" s="46"/>
    </row>
    <row r="57" spans="2:6" ht="16.8" x14ac:dyDescent="0.95">
      <c r="B57" s="19" t="s">
        <v>47</v>
      </c>
      <c r="C57" s="19" t="s">
        <v>84</v>
      </c>
      <c r="D57" s="19" t="s">
        <v>84</v>
      </c>
      <c r="E57" s="20" t="s">
        <v>51</v>
      </c>
      <c r="F57" s="46"/>
    </row>
    <row r="58" spans="2:6" x14ac:dyDescent="0.5">
      <c r="E58" s="66" t="s">
        <v>21</v>
      </c>
      <c r="F58" s="46"/>
    </row>
    <row r="59" spans="2:6" x14ac:dyDescent="0.5">
      <c r="B59" s="38" t="s">
        <v>98</v>
      </c>
      <c r="C59" s="38"/>
      <c r="D59" s="38"/>
      <c r="E59" s="50">
        <v>0.72899999999999998</v>
      </c>
      <c r="F59" s="46"/>
    </row>
    <row r="60" spans="2:6" x14ac:dyDescent="0.5">
      <c r="B60" s="38" t="s">
        <v>99</v>
      </c>
      <c r="C60" s="38"/>
      <c r="D60" s="38"/>
      <c r="E60" s="50">
        <v>0.91700000000000004</v>
      </c>
      <c r="F60" s="46"/>
    </row>
    <row r="61" spans="2:6" x14ac:dyDescent="0.5">
      <c r="B61" s="38" t="s">
        <v>95</v>
      </c>
      <c r="C61" s="38"/>
      <c r="D61" s="38"/>
      <c r="E61" s="50">
        <v>41.436999999999998</v>
      </c>
      <c r="F61" s="46"/>
    </row>
    <row r="62" spans="2:6" x14ac:dyDescent="0.5">
      <c r="B62" s="38" t="s">
        <v>100</v>
      </c>
      <c r="C62" s="38"/>
      <c r="D62" s="38"/>
      <c r="E62" s="50">
        <v>1.4279999999999999</v>
      </c>
      <c r="F62" s="46"/>
    </row>
    <row r="63" spans="2:6" x14ac:dyDescent="0.5">
      <c r="B63" s="43"/>
      <c r="C63" s="43"/>
      <c r="D63" s="43"/>
      <c r="E63" s="43"/>
      <c r="F63" s="46"/>
    </row>
    <row r="64" spans="2:6" x14ac:dyDescent="0.5">
      <c r="B64" s="16" t="s">
        <v>52</v>
      </c>
      <c r="D64" s="49"/>
      <c r="E64" s="78">
        <f>SUM(E59:E63)</f>
        <v>44.510999999999996</v>
      </c>
      <c r="F64" s="46"/>
    </row>
    <row r="66" spans="2:5" x14ac:dyDescent="0.5">
      <c r="B66" s="44" t="s">
        <v>39</v>
      </c>
      <c r="C66" s="44"/>
      <c r="D66" s="44"/>
      <c r="E66" s="44"/>
    </row>
    <row r="67" spans="2:5" ht="5.25" customHeight="1" x14ac:dyDescent="0.5"/>
    <row r="68" spans="2:5" x14ac:dyDescent="0.5">
      <c r="B68" s="42"/>
      <c r="C68" s="42" t="s">
        <v>56</v>
      </c>
      <c r="D68" s="42" t="s">
        <v>57</v>
      </c>
      <c r="E68" s="42" t="s">
        <v>9</v>
      </c>
    </row>
    <row r="69" spans="2:5" ht="16.8" x14ac:dyDescent="0.95">
      <c r="B69" s="19" t="s">
        <v>55</v>
      </c>
      <c r="C69" s="20" t="s">
        <v>23</v>
      </c>
      <c r="D69" s="20" t="s">
        <v>8</v>
      </c>
      <c r="E69" s="20" t="s">
        <v>58</v>
      </c>
    </row>
    <row r="70" spans="2:5" x14ac:dyDescent="0.5">
      <c r="C70" s="66" t="s">
        <v>21</v>
      </c>
      <c r="D70" s="67" t="s">
        <v>16</v>
      </c>
      <c r="E70" s="66" t="s">
        <v>21</v>
      </c>
    </row>
    <row r="71" spans="2:5" x14ac:dyDescent="0.5">
      <c r="B71" s="38" t="s">
        <v>92</v>
      </c>
      <c r="C71" s="52">
        <v>954</v>
      </c>
      <c r="D71" s="48">
        <v>77.64</v>
      </c>
      <c r="E71" s="46">
        <f>IF(ISNUMBER($D71),IF($E$11&gt;$D71,$C71/$D71,0),0)</f>
        <v>12.287480680061824</v>
      </c>
    </row>
    <row r="72" spans="2:5" x14ac:dyDescent="0.5">
      <c r="B72" s="38" t="s">
        <v>93</v>
      </c>
      <c r="C72" s="52">
        <v>1150</v>
      </c>
      <c r="D72" s="48">
        <v>57.14</v>
      </c>
      <c r="E72" s="46">
        <f t="shared" ref="E72:E75" si="2">IF(ISNUMBER($D72),IF($E$11&gt;$D72,$C72/$D72,0),0)</f>
        <v>20.126006300315016</v>
      </c>
    </row>
    <row r="73" spans="2:5" x14ac:dyDescent="0.5">
      <c r="B73" s="38" t="s">
        <v>94</v>
      </c>
      <c r="C73" s="52">
        <v>1000</v>
      </c>
      <c r="D73" s="48">
        <v>41.5</v>
      </c>
      <c r="E73" s="46">
        <f t="shared" si="2"/>
        <v>24.096385542168676</v>
      </c>
    </row>
    <row r="74" spans="2:5" x14ac:dyDescent="0.5">
      <c r="B74" s="38"/>
      <c r="C74" s="52"/>
      <c r="D74" s="48"/>
      <c r="E74" s="46">
        <f t="shared" si="2"/>
        <v>0</v>
      </c>
    </row>
    <row r="75" spans="2:5" x14ac:dyDescent="0.5">
      <c r="B75" s="43"/>
      <c r="C75" s="63"/>
      <c r="D75" s="62"/>
      <c r="E75" s="51">
        <f t="shared" si="2"/>
        <v>0</v>
      </c>
    </row>
    <row r="76" spans="2:5" x14ac:dyDescent="0.5">
      <c r="B76" s="16" t="s">
        <v>52</v>
      </c>
      <c r="C76" s="64">
        <f>SUM(C71:C75)</f>
        <v>3104</v>
      </c>
      <c r="D76" s="54"/>
      <c r="E76" s="59">
        <f>SUM(E71:E75)</f>
        <v>56.509872522545514</v>
      </c>
    </row>
    <row r="77" spans="2:5" x14ac:dyDescent="0.5">
      <c r="C77" s="49"/>
      <c r="D77" s="49"/>
      <c r="E77" s="49"/>
    </row>
    <row r="78" spans="2:5" x14ac:dyDescent="0.5">
      <c r="B78" s="15" t="s">
        <v>59</v>
      </c>
      <c r="C78" s="49"/>
      <c r="D78" s="49"/>
      <c r="E78" s="65">
        <f>SUMIF(D71:D75,"&lt;"&amp;$E$11,C71:C75)</f>
        <v>0</v>
      </c>
    </row>
    <row r="79" spans="2:5" x14ac:dyDescent="0.5">
      <c r="B79" s="15" t="s">
        <v>60</v>
      </c>
      <c r="C79" s="49"/>
      <c r="D79" s="49"/>
      <c r="E79" s="65">
        <f>+C76-E78</f>
        <v>3104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F8C0-26A5-46B7-AE6C-01F3021F0C6F}">
  <dimension ref="A1:Z79"/>
  <sheetViews>
    <sheetView showGridLines="0" zoomScaleNormal="100" workbookViewId="0"/>
  </sheetViews>
  <sheetFormatPr defaultColWidth="11.68359375" defaultRowHeight="14.1" x14ac:dyDescent="0.5"/>
  <cols>
    <col min="1" max="1" width="5.68359375" style="15" customWidth="1"/>
    <col min="2" max="2" width="50.68359375" style="15" customWidth="1"/>
    <col min="3" max="6" width="15.68359375" style="15" customWidth="1"/>
    <col min="7" max="7" width="50.68359375" style="15" customWidth="1"/>
    <col min="8" max="9" width="15.68359375" style="15" customWidth="1"/>
    <col min="10" max="16384" width="11.68359375" style="15"/>
  </cols>
  <sheetData>
    <row r="1" spans="1:9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</row>
    <row r="2" spans="1:9" s="2" customFormat="1" ht="17.399999999999999" x14ac:dyDescent="0.5">
      <c r="A2" s="12" t="str">
        <f>_xll.ciqfunctions.udf.CIQ($E$10, "IQ_COMPANY_NAME")</f>
        <v>Salesforce, Inc.</v>
      </c>
      <c r="B2" s="12"/>
      <c r="C2" s="12"/>
      <c r="D2" s="12"/>
      <c r="E2" s="12"/>
      <c r="F2" s="12"/>
      <c r="G2" s="12"/>
      <c r="H2" s="12"/>
      <c r="I2" s="12"/>
    </row>
    <row r="3" spans="1:9" s="11" customFormat="1" ht="15" x14ac:dyDescent="0.5">
      <c r="A3" s="36" t="s">
        <v>102</v>
      </c>
      <c r="B3" s="14"/>
      <c r="C3" s="14"/>
      <c r="D3" s="14"/>
      <c r="E3" s="13"/>
      <c r="F3" s="13"/>
      <c r="G3" s="13"/>
      <c r="H3" s="13"/>
      <c r="I3" s="13"/>
    </row>
    <row r="4" spans="1:9" x14ac:dyDescent="0.5">
      <c r="B4" s="15" t="str">
        <f>'Comps Data (Capital IQ))'!$AG$2</f>
        <v>Currency</v>
      </c>
      <c r="C4" s="15" t="str">
        <f>'Comps Data (Capital IQ))'!$AH$2</f>
        <v>USD</v>
      </c>
    </row>
    <row r="6" spans="1:9" ht="15" x14ac:dyDescent="0.5">
      <c r="B6" s="37" t="str">
        <f>_xll.ciqfunctions.udf.CIQ($E$10, "IQ_COMPANY_NAME")</f>
        <v>Salesforce, Inc.</v>
      </c>
      <c r="C6" s="13"/>
      <c r="D6" s="13"/>
      <c r="E6" s="13"/>
      <c r="F6" s="13"/>
      <c r="G6" s="13"/>
      <c r="H6" s="13"/>
      <c r="I6" s="13"/>
    </row>
    <row r="8" spans="1:9" x14ac:dyDescent="0.5">
      <c r="B8" s="44" t="s">
        <v>24</v>
      </c>
      <c r="C8" s="44"/>
      <c r="D8" s="44"/>
      <c r="E8" s="44"/>
      <c r="G8" s="44" t="s">
        <v>43</v>
      </c>
      <c r="H8" s="45"/>
      <c r="I8" s="45"/>
    </row>
    <row r="9" spans="1:9" ht="5.25" customHeight="1" x14ac:dyDescent="0.5"/>
    <row r="10" spans="1:9" ht="16.8" x14ac:dyDescent="0.95">
      <c r="B10" s="15" t="s">
        <v>35</v>
      </c>
      <c r="E10" s="47" t="str">
        <f>_xll.ciqfunctions.udf.CIQ("NYSE:CRM", "IQ_COMPANY_TICKER")</f>
        <v>NYSE:CRM</v>
      </c>
      <c r="G10" s="39" t="s">
        <v>41</v>
      </c>
      <c r="H10" s="20" t="s">
        <v>26</v>
      </c>
      <c r="I10" s="20" t="s">
        <v>27</v>
      </c>
    </row>
    <row r="11" spans="1:9" x14ac:dyDescent="0.5">
      <c r="B11" s="15" t="s">
        <v>71</v>
      </c>
      <c r="E11" s="48">
        <f>_xll.ciqfunctions.udf.CIQ(E10, "IQ_LASTSALEPRICE", E12,$C$4)</f>
        <v>212.2</v>
      </c>
      <c r="G11" s="15" t="s">
        <v>25</v>
      </c>
      <c r="H11" s="52">
        <f>_xll.ciqfunctions.udf.CIQ($E$10, "IQ_REVENUE_EST", "FY2021",,,,$C$4)</f>
        <v>21116.503550000001</v>
      </c>
      <c r="I11" s="52">
        <f>_xll.ciqfunctions.udf.CIQ($E$10, "IQ_REVENUE_EST", "FY2022",,,,$C$4)</f>
        <v>26402.42369</v>
      </c>
    </row>
    <row r="12" spans="1:9" x14ac:dyDescent="0.5">
      <c r="B12" s="15" t="s">
        <v>36</v>
      </c>
      <c r="E12" s="81">
        <f>'Comps Data (Capital IQ))'!$AH$3</f>
        <v>44275</v>
      </c>
      <c r="G12" s="15" t="s">
        <v>11</v>
      </c>
      <c r="H12" s="52">
        <f>_xll.ciqfunctions.udf.CIQ($E$10, "IQ_EBITDA_EST", "FY2021",,,,$C$4)</f>
        <v>6337.2324500000004</v>
      </c>
      <c r="I12" s="52">
        <f>_xll.ciqfunctions.udf.CIQ($E$10, "IQ_EBITDA_EST", "FY2022",,,,$C$4)</f>
        <v>8228.2125500000002</v>
      </c>
    </row>
    <row r="13" spans="1:9" x14ac:dyDescent="0.5">
      <c r="E13" s="49"/>
      <c r="G13" s="15" t="s">
        <v>12</v>
      </c>
      <c r="H13" s="52">
        <f>_xll.ciqfunctions.udf.CIQ($E$10, "IQ_NI_REPORTED_EST", "FY2021",,,,$C$4)</f>
        <v>3853.5125200000002</v>
      </c>
      <c r="I13" s="52">
        <f>_xll.ciqfunctions.udf.CIQ($E$10, "IQ_NI_REPORTED_EST", "FY2022",,,,$C$4)</f>
        <v>1240.25991</v>
      </c>
    </row>
    <row r="14" spans="1:9" x14ac:dyDescent="0.5">
      <c r="B14" s="40" t="s">
        <v>37</v>
      </c>
      <c r="E14" s="49"/>
      <c r="G14" s="15" t="s">
        <v>28</v>
      </c>
      <c r="H14" s="52">
        <f>_xll.ciqfunctions.udf.CIQ($E$10, "IQ_CASH_OPER_EST", "FY2021",,,,$C$4)</f>
        <v>4850.5675700000002</v>
      </c>
      <c r="I14" s="52">
        <f>_xll.ciqfunctions.udf.CIQ($E$10, "IQ_CASH_OPER_EST", "FY2022",,,,$C$4)</f>
        <v>5759.9093899999998</v>
      </c>
    </row>
    <row r="15" spans="1:9" x14ac:dyDescent="0.5">
      <c r="B15" s="15" t="s">
        <v>72</v>
      </c>
      <c r="E15" s="82">
        <f>_xll.ciqfunctions.udf.CIQ(E10, "IQ_TOTAL_OUTSTANDING_BS_DATE", , E12)</f>
        <v>919</v>
      </c>
      <c r="H15" s="49"/>
      <c r="I15" s="49"/>
    </row>
    <row r="16" spans="1:9" ht="16.5" customHeight="1" x14ac:dyDescent="0.5">
      <c r="B16" s="72" t="s">
        <v>82</v>
      </c>
      <c r="C16" s="72"/>
      <c r="D16" s="72"/>
      <c r="E16" s="75">
        <f>+E64</f>
        <v>32</v>
      </c>
      <c r="H16" s="49"/>
      <c r="I16" s="49"/>
    </row>
    <row r="17" spans="2:9" ht="16.5" customHeight="1" x14ac:dyDescent="0.5">
      <c r="B17" s="72" t="s">
        <v>73</v>
      </c>
      <c r="C17" s="72"/>
      <c r="D17" s="72"/>
      <c r="E17" s="75">
        <f>+F51</f>
        <v>12.81903864278982</v>
      </c>
      <c r="G17" s="73" t="s">
        <v>42</v>
      </c>
      <c r="H17" s="77" t="s">
        <v>26</v>
      </c>
      <c r="I17" s="77" t="s">
        <v>27</v>
      </c>
    </row>
    <row r="18" spans="2:9" ht="16.5" customHeight="1" x14ac:dyDescent="0.5">
      <c r="B18" s="74" t="s">
        <v>74</v>
      </c>
      <c r="C18" s="74"/>
      <c r="D18" s="74"/>
      <c r="E18" s="76">
        <f>+E76</f>
        <v>0</v>
      </c>
      <c r="G18" s="15" t="s">
        <v>25</v>
      </c>
      <c r="H18" s="55">
        <f>IFERROR($E$32/H11,"-")</f>
        <v>9.6957528747698376</v>
      </c>
      <c r="I18" s="55">
        <f>IFERROR($E$32/I11,"-")</f>
        <v>7.7546062590286384</v>
      </c>
    </row>
    <row r="19" spans="2:9" x14ac:dyDescent="0.5">
      <c r="B19" s="72" t="s">
        <v>81</v>
      </c>
      <c r="E19" s="79">
        <f>SUM(E15:E18)</f>
        <v>963.81903864278979</v>
      </c>
      <c r="G19" s="15" t="s">
        <v>11</v>
      </c>
      <c r="H19" s="55">
        <f>IFERROR($E$32/H12,"-")</f>
        <v>32.307541441059179</v>
      </c>
      <c r="I19" s="55">
        <f>IFERROR($E$32/I12,"-")</f>
        <v>24.882731061681191</v>
      </c>
    </row>
    <row r="20" spans="2:9" x14ac:dyDescent="0.5">
      <c r="E20" s="49"/>
      <c r="G20" s="15" t="s">
        <v>12</v>
      </c>
      <c r="H20" s="55">
        <f>IFERROR($E$21/H13,"-")</f>
        <v>53.074279359030079</v>
      </c>
      <c r="I20" s="55">
        <f>IFERROR($E$21/I13,"-")</f>
        <v>164.90285491853075</v>
      </c>
    </row>
    <row r="21" spans="2:9" x14ac:dyDescent="0.5">
      <c r="B21" s="16" t="s">
        <v>38</v>
      </c>
      <c r="C21" s="16"/>
      <c r="D21" s="16"/>
      <c r="E21" s="64">
        <f>+E11*E19</f>
        <v>204522.4</v>
      </c>
      <c r="G21" s="15" t="s">
        <v>28</v>
      </c>
      <c r="H21" s="55">
        <f>IFERROR($E$21/H14,"-")</f>
        <v>42.164632705034144</v>
      </c>
      <c r="I21" s="55">
        <f>IFERROR($E$21/I14,"-")</f>
        <v>35.507919682743484</v>
      </c>
    </row>
    <row r="22" spans="2:9" x14ac:dyDescent="0.5">
      <c r="E22" s="49"/>
      <c r="H22" s="49"/>
      <c r="I22" s="49"/>
    </row>
    <row r="23" spans="2:9" x14ac:dyDescent="0.5">
      <c r="B23" s="15" t="s">
        <v>76</v>
      </c>
      <c r="E23" s="52">
        <f>_xll.ciqfunctions.udf.CIQ(E10, "IQ_CASH_EQUIV", , E12, , , $C$4)</f>
        <v>6195</v>
      </c>
      <c r="G23" s="15" t="s">
        <v>45</v>
      </c>
      <c r="H23" s="49"/>
      <c r="I23" s="55">
        <f>IFERROR(E29/E34,"-")</f>
        <v>0.15455619020075675</v>
      </c>
    </row>
    <row r="24" spans="2:9" x14ac:dyDescent="0.5">
      <c r="E24" s="49"/>
      <c r="G24" s="15" t="s">
        <v>77</v>
      </c>
      <c r="H24" s="49"/>
      <c r="I24" s="56">
        <f>IFERROR(E29/(E29+E34),"-")</f>
        <v>0.13386632154636163</v>
      </c>
    </row>
    <row r="25" spans="2:9" x14ac:dyDescent="0.5">
      <c r="B25" s="15" t="s">
        <v>86</v>
      </c>
      <c r="E25" s="80">
        <f>_xll.ciqfunctions.udf.CIQ(E10, "IQ_TOTAL_DEBT", , E12, , , $C$4)</f>
        <v>6413</v>
      </c>
      <c r="G25" s="15" t="s">
        <v>78</v>
      </c>
      <c r="I25" s="56">
        <f>IFERROR(E29/(E29+E21),"-")</f>
        <v>3.0402673045870916E-2</v>
      </c>
    </row>
    <row r="26" spans="2:9" x14ac:dyDescent="0.5">
      <c r="B26" s="15" t="s">
        <v>89</v>
      </c>
      <c r="E26" s="80">
        <f>_xll.ciqfunctions.udf.CIQ(E10, "IQ_CONVERT", , E12, , , $C$4)</f>
        <v>0</v>
      </c>
      <c r="I26" s="56"/>
    </row>
    <row r="27" spans="2:9" x14ac:dyDescent="0.5">
      <c r="B27" s="15" t="s">
        <v>88</v>
      </c>
      <c r="E27" s="65">
        <f>+E25-E26</f>
        <v>6413</v>
      </c>
    </row>
    <row r="28" spans="2:9" x14ac:dyDescent="0.5">
      <c r="B28" s="41" t="s">
        <v>90</v>
      </c>
      <c r="C28" s="41"/>
      <c r="D28" s="41"/>
      <c r="E28" s="53">
        <f>+E79</f>
        <v>0</v>
      </c>
    </row>
    <row r="29" spans="2:9" x14ac:dyDescent="0.5">
      <c r="B29" s="16" t="s">
        <v>87</v>
      </c>
      <c r="C29" s="16"/>
      <c r="D29" s="16"/>
      <c r="E29" s="64">
        <f>+E27+E28</f>
        <v>6413</v>
      </c>
    </row>
    <row r="30" spans="2:9" x14ac:dyDescent="0.5">
      <c r="B30" s="16"/>
      <c r="C30" s="16"/>
      <c r="D30" s="16"/>
      <c r="E30" s="54"/>
    </row>
    <row r="31" spans="2:9" x14ac:dyDescent="0.5">
      <c r="B31" s="15" t="s">
        <v>10</v>
      </c>
      <c r="E31" s="65">
        <f>+E29-E23</f>
        <v>218</v>
      </c>
    </row>
    <row r="32" spans="2:9" x14ac:dyDescent="0.5">
      <c r="B32" s="16" t="s">
        <v>40</v>
      </c>
      <c r="C32" s="16"/>
      <c r="D32" s="16"/>
      <c r="E32" s="64">
        <f>+E21+E31</f>
        <v>204740.4</v>
      </c>
    </row>
    <row r="33" spans="2:26" x14ac:dyDescent="0.5">
      <c r="E33" s="49"/>
    </row>
    <row r="34" spans="2:26" x14ac:dyDescent="0.5">
      <c r="B34" s="15" t="s">
        <v>44</v>
      </c>
      <c r="E34" s="52">
        <f>_xll.ciqfunctions.udf.CIQ(E10, "IQ_TOTAL_EQUITY", , E12, , , $C$4)</f>
        <v>41493</v>
      </c>
    </row>
    <row r="36" spans="2:26" x14ac:dyDescent="0.5">
      <c r="B36" s="44" t="s">
        <v>46</v>
      </c>
      <c r="C36" s="44"/>
      <c r="D36" s="44"/>
      <c r="E36" s="44"/>
      <c r="F36" s="44"/>
    </row>
    <row r="37" spans="2:26" ht="5.25" customHeight="1" x14ac:dyDescent="0.5"/>
    <row r="38" spans="2:26" x14ac:dyDescent="0.5">
      <c r="B38" s="42"/>
      <c r="C38" s="42" t="s">
        <v>49</v>
      </c>
      <c r="D38" s="42" t="s">
        <v>48</v>
      </c>
      <c r="E38" s="42" t="s">
        <v>49</v>
      </c>
      <c r="F38" s="42"/>
    </row>
    <row r="39" spans="2:26" ht="16.8" x14ac:dyDescent="0.95">
      <c r="B39" s="19" t="s">
        <v>47</v>
      </c>
      <c r="C39" s="20" t="s">
        <v>51</v>
      </c>
      <c r="D39" s="20" t="s">
        <v>8</v>
      </c>
      <c r="E39" s="20" t="s">
        <v>91</v>
      </c>
      <c r="F39" s="20" t="s">
        <v>50</v>
      </c>
    </row>
    <row r="40" spans="2:26" s="66" customFormat="1" ht="10.199999999999999" x14ac:dyDescent="0.35">
      <c r="C40" s="66" t="s">
        <v>21</v>
      </c>
      <c r="D40" s="67" t="s">
        <v>16</v>
      </c>
      <c r="E40" s="66" t="s">
        <v>21</v>
      </c>
      <c r="F40" s="67" t="s">
        <v>20</v>
      </c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9"/>
      <c r="S40" s="67"/>
      <c r="T40" s="67"/>
      <c r="U40" s="67"/>
      <c r="V40" s="67"/>
      <c r="W40" s="67"/>
      <c r="X40" s="67"/>
      <c r="Y40" s="67"/>
      <c r="Z40" s="67"/>
    </row>
    <row r="41" spans="2:26" x14ac:dyDescent="0.5">
      <c r="B41" s="38" t="s">
        <v>97</v>
      </c>
      <c r="C41" s="50">
        <v>28</v>
      </c>
      <c r="D41" s="48">
        <v>115.05</v>
      </c>
      <c r="E41" s="46">
        <f>+IF(D41&lt;$E$11,C41,0)</f>
        <v>28</v>
      </c>
      <c r="F41" s="57">
        <f>+D41*E41</f>
        <v>3221.4</v>
      </c>
    </row>
    <row r="42" spans="2:26" x14ac:dyDescent="0.5">
      <c r="B42" s="38"/>
      <c r="C42" s="50"/>
      <c r="D42" s="48"/>
      <c r="E42" s="46">
        <f t="shared" ref="E42:E46" si="0">+IF(D42&lt;$E$11,C42,0)</f>
        <v>0</v>
      </c>
      <c r="F42" s="57">
        <f t="shared" ref="F42:F46" si="1">+D42*E42</f>
        <v>0</v>
      </c>
    </row>
    <row r="43" spans="2:26" x14ac:dyDescent="0.5">
      <c r="B43" s="38"/>
      <c r="C43" s="50"/>
      <c r="D43" s="48"/>
      <c r="E43" s="46">
        <f t="shared" si="0"/>
        <v>0</v>
      </c>
      <c r="F43" s="57">
        <f t="shared" si="1"/>
        <v>0</v>
      </c>
    </row>
    <row r="44" spans="2:26" x14ac:dyDescent="0.5">
      <c r="B44" s="38"/>
      <c r="C44" s="50"/>
      <c r="D44" s="48"/>
      <c r="E44" s="46">
        <f t="shared" si="0"/>
        <v>0</v>
      </c>
      <c r="F44" s="57">
        <f t="shared" si="1"/>
        <v>0</v>
      </c>
    </row>
    <row r="45" spans="2:26" x14ac:dyDescent="0.5">
      <c r="B45" s="38"/>
      <c r="C45" s="50"/>
      <c r="D45" s="48"/>
      <c r="E45" s="46">
        <f t="shared" si="0"/>
        <v>0</v>
      </c>
      <c r="F45" s="57">
        <f t="shared" si="1"/>
        <v>0</v>
      </c>
    </row>
    <row r="46" spans="2:26" x14ac:dyDescent="0.5">
      <c r="B46" s="43"/>
      <c r="C46" s="61"/>
      <c r="D46" s="62"/>
      <c r="E46" s="51">
        <f t="shared" si="0"/>
        <v>0</v>
      </c>
      <c r="F46" s="58">
        <f t="shared" si="1"/>
        <v>0</v>
      </c>
    </row>
    <row r="47" spans="2:26" x14ac:dyDescent="0.5">
      <c r="B47" s="16" t="s">
        <v>52</v>
      </c>
      <c r="C47" s="54"/>
      <c r="D47" s="54"/>
      <c r="E47" s="59">
        <f>SUM(E41:E46)</f>
        <v>28</v>
      </c>
      <c r="F47" s="60">
        <f>SUM(F41:F46)</f>
        <v>3221.4</v>
      </c>
    </row>
    <row r="48" spans="2:26" x14ac:dyDescent="0.5">
      <c r="C48" s="49"/>
      <c r="D48" s="49"/>
      <c r="E48" s="49"/>
      <c r="F48" s="49"/>
    </row>
    <row r="49" spans="2:6" x14ac:dyDescent="0.5">
      <c r="B49" s="15" t="s">
        <v>53</v>
      </c>
      <c r="C49" s="49"/>
      <c r="D49" s="49"/>
      <c r="E49" s="49"/>
      <c r="F49" s="46">
        <f>+E47</f>
        <v>28</v>
      </c>
    </row>
    <row r="50" spans="2:6" x14ac:dyDescent="0.5">
      <c r="B50" s="15" t="s">
        <v>54</v>
      </c>
      <c r="C50" s="49"/>
      <c r="D50" s="49"/>
      <c r="E50" s="49"/>
      <c r="F50" s="46">
        <f>IF(ISERR($F47/E11),"-",$F47/E11)</f>
        <v>15.18096135721018</v>
      </c>
    </row>
    <row r="51" spans="2:6" x14ac:dyDescent="0.5">
      <c r="B51" s="15" t="s">
        <v>79</v>
      </c>
      <c r="C51" s="49"/>
      <c r="D51" s="49"/>
      <c r="E51" s="49"/>
      <c r="F51" s="46">
        <f>+IF(ISERR(F49-F50),"-",F49-F50)</f>
        <v>12.81903864278982</v>
      </c>
    </row>
    <row r="52" spans="2:6" x14ac:dyDescent="0.5">
      <c r="C52" s="49"/>
      <c r="D52" s="49"/>
      <c r="E52" s="49"/>
      <c r="F52" s="46"/>
    </row>
    <row r="53" spans="2:6" x14ac:dyDescent="0.5">
      <c r="B53" s="44" t="s">
        <v>80</v>
      </c>
      <c r="C53" s="44"/>
      <c r="D53" s="44"/>
      <c r="E53" s="44"/>
      <c r="F53" s="46"/>
    </row>
    <row r="54" spans="2:6" ht="5.55" customHeight="1" x14ac:dyDescent="0.5">
      <c r="B54" s="16"/>
      <c r="D54" s="49"/>
      <c r="E54" s="16"/>
      <c r="F54" s="46"/>
    </row>
    <row r="55" spans="2:6" x14ac:dyDescent="0.5">
      <c r="B55" s="16"/>
      <c r="D55" s="49"/>
      <c r="E55" s="42" t="s">
        <v>83</v>
      </c>
      <c r="F55" s="46"/>
    </row>
    <row r="56" spans="2:6" x14ac:dyDescent="0.5">
      <c r="B56" s="16"/>
      <c r="D56" s="49"/>
      <c r="E56" s="42" t="s">
        <v>49</v>
      </c>
      <c r="F56" s="46"/>
    </row>
    <row r="57" spans="2:6" ht="16.8" x14ac:dyDescent="0.95">
      <c r="B57" s="19" t="s">
        <v>47</v>
      </c>
      <c r="C57" s="19" t="s">
        <v>84</v>
      </c>
      <c r="D57" s="19" t="s">
        <v>84</v>
      </c>
      <c r="E57" s="20" t="s">
        <v>51</v>
      </c>
      <c r="F57" s="46"/>
    </row>
    <row r="58" spans="2:6" x14ac:dyDescent="0.5">
      <c r="E58" s="66" t="s">
        <v>21</v>
      </c>
      <c r="F58" s="46"/>
    </row>
    <row r="59" spans="2:6" x14ac:dyDescent="0.5">
      <c r="B59" s="38" t="s">
        <v>95</v>
      </c>
      <c r="C59" s="38"/>
      <c r="D59" s="38"/>
      <c r="E59" s="50">
        <v>32</v>
      </c>
      <c r="F59" s="46"/>
    </row>
    <row r="60" spans="2:6" x14ac:dyDescent="0.5">
      <c r="B60" s="38"/>
      <c r="C60" s="38"/>
      <c r="D60" s="38"/>
      <c r="E60" s="50"/>
      <c r="F60" s="46"/>
    </row>
    <row r="61" spans="2:6" x14ac:dyDescent="0.5">
      <c r="B61" s="38"/>
      <c r="C61" s="38"/>
      <c r="D61" s="38"/>
      <c r="E61" s="50"/>
      <c r="F61" s="46"/>
    </row>
    <row r="62" spans="2:6" x14ac:dyDescent="0.5">
      <c r="B62" s="38"/>
      <c r="C62" s="38"/>
      <c r="D62" s="38"/>
      <c r="E62" s="50"/>
      <c r="F62" s="46"/>
    </row>
    <row r="63" spans="2:6" x14ac:dyDescent="0.5">
      <c r="B63" s="43"/>
      <c r="C63" s="43"/>
      <c r="D63" s="43"/>
      <c r="E63" s="43"/>
      <c r="F63" s="46"/>
    </row>
    <row r="64" spans="2:6" x14ac:dyDescent="0.5">
      <c r="B64" s="16" t="s">
        <v>52</v>
      </c>
      <c r="D64" s="49"/>
      <c r="E64" s="78">
        <f>SUM(E59:E63)</f>
        <v>32</v>
      </c>
      <c r="F64" s="46"/>
    </row>
    <row r="66" spans="2:5" x14ac:dyDescent="0.5">
      <c r="B66" s="44" t="s">
        <v>39</v>
      </c>
      <c r="C66" s="44"/>
      <c r="D66" s="44"/>
      <c r="E66" s="44"/>
    </row>
    <row r="67" spans="2:5" ht="5.25" customHeight="1" x14ac:dyDescent="0.5"/>
    <row r="68" spans="2:5" x14ac:dyDescent="0.5">
      <c r="B68" s="42"/>
      <c r="C68" s="42" t="s">
        <v>56</v>
      </c>
      <c r="D68" s="42" t="s">
        <v>57</v>
      </c>
      <c r="E68" s="42" t="s">
        <v>9</v>
      </c>
    </row>
    <row r="69" spans="2:5" ht="16.8" x14ac:dyDescent="0.95">
      <c r="B69" s="19" t="s">
        <v>55</v>
      </c>
      <c r="C69" s="20" t="s">
        <v>23</v>
      </c>
      <c r="D69" s="20" t="s">
        <v>8</v>
      </c>
      <c r="E69" s="20" t="s">
        <v>58</v>
      </c>
    </row>
    <row r="70" spans="2:5" x14ac:dyDescent="0.5">
      <c r="C70" s="66" t="s">
        <v>21</v>
      </c>
      <c r="D70" s="67" t="s">
        <v>16</v>
      </c>
      <c r="E70" s="66" t="s">
        <v>21</v>
      </c>
    </row>
    <row r="71" spans="2:5" x14ac:dyDescent="0.5">
      <c r="B71" s="38"/>
      <c r="C71" s="52"/>
      <c r="D71" s="48"/>
      <c r="E71" s="46">
        <f>IF(ISNUMBER($D71),IF($E$11&gt;$D71,$C71/$D71,0),0)</f>
        <v>0</v>
      </c>
    </row>
    <row r="72" spans="2:5" x14ac:dyDescent="0.5">
      <c r="B72" s="38"/>
      <c r="C72" s="52"/>
      <c r="D72" s="48"/>
      <c r="E72" s="46">
        <f t="shared" ref="E72:E75" si="2">IF(ISNUMBER($D72),IF($E$11&gt;$D72,$C72/$D72,0),0)</f>
        <v>0</v>
      </c>
    </row>
    <row r="73" spans="2:5" x14ac:dyDescent="0.5">
      <c r="B73" s="38"/>
      <c r="C73" s="52"/>
      <c r="D73" s="48"/>
      <c r="E73" s="46">
        <f t="shared" si="2"/>
        <v>0</v>
      </c>
    </row>
    <row r="74" spans="2:5" x14ac:dyDescent="0.5">
      <c r="B74" s="38"/>
      <c r="C74" s="52"/>
      <c r="D74" s="48"/>
      <c r="E74" s="46">
        <f t="shared" si="2"/>
        <v>0</v>
      </c>
    </row>
    <row r="75" spans="2:5" x14ac:dyDescent="0.5">
      <c r="B75" s="43"/>
      <c r="C75" s="63"/>
      <c r="D75" s="62"/>
      <c r="E75" s="51">
        <f t="shared" si="2"/>
        <v>0</v>
      </c>
    </row>
    <row r="76" spans="2:5" x14ac:dyDescent="0.5">
      <c r="B76" s="16" t="s">
        <v>52</v>
      </c>
      <c r="C76" s="64">
        <f>SUM(C71:C75)</f>
        <v>0</v>
      </c>
      <c r="D76" s="54"/>
      <c r="E76" s="59">
        <f>SUM(E71:E75)</f>
        <v>0</v>
      </c>
    </row>
    <row r="77" spans="2:5" x14ac:dyDescent="0.5">
      <c r="C77" s="49"/>
      <c r="D77" s="49"/>
      <c r="E77" s="49"/>
    </row>
    <row r="78" spans="2:5" x14ac:dyDescent="0.5">
      <c r="B78" s="15" t="s">
        <v>59</v>
      </c>
      <c r="C78" s="49"/>
      <c r="D78" s="49"/>
      <c r="E78" s="65">
        <f>SUMIF(D71:D75,"&lt;"&amp;$E$11,C71:C75)</f>
        <v>0</v>
      </c>
    </row>
    <row r="79" spans="2:5" x14ac:dyDescent="0.5">
      <c r="B79" s="15" t="s">
        <v>60</v>
      </c>
      <c r="C79" s="49"/>
      <c r="D79" s="49"/>
      <c r="E79" s="65">
        <f>+C76-E78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D3C4-A230-4ED3-BD64-C93E7874B594}">
  <dimension ref="A1:Z79"/>
  <sheetViews>
    <sheetView showGridLines="0" zoomScaleNormal="100" workbookViewId="0"/>
  </sheetViews>
  <sheetFormatPr defaultColWidth="11.68359375" defaultRowHeight="14.1" x14ac:dyDescent="0.5"/>
  <cols>
    <col min="1" max="1" width="5.68359375" style="15" customWidth="1"/>
    <col min="2" max="2" width="50.68359375" style="15" customWidth="1"/>
    <col min="3" max="6" width="15.68359375" style="15" customWidth="1"/>
    <col min="7" max="7" width="50.68359375" style="15" customWidth="1"/>
    <col min="8" max="9" width="15.68359375" style="15" customWidth="1"/>
    <col min="10" max="16384" width="11.68359375" style="15"/>
  </cols>
  <sheetData>
    <row r="1" spans="1:9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</row>
    <row r="2" spans="1:9" s="2" customFormat="1" ht="17.399999999999999" x14ac:dyDescent="0.5">
      <c r="A2" s="12" t="str">
        <f>_xll.ciqfunctions.udf.CIQ($E$10, "IQ_COMPANY_NAME")</f>
        <v>Oracle Corporation</v>
      </c>
      <c r="B2" s="12"/>
      <c r="C2" s="12"/>
      <c r="D2" s="12"/>
      <c r="E2" s="12"/>
      <c r="F2" s="12"/>
      <c r="G2" s="12"/>
      <c r="H2" s="12"/>
      <c r="I2" s="12"/>
    </row>
    <row r="3" spans="1:9" s="11" customFormat="1" ht="15" x14ac:dyDescent="0.5">
      <c r="A3" s="36" t="s">
        <v>102</v>
      </c>
      <c r="B3" s="14"/>
      <c r="C3" s="14"/>
      <c r="D3" s="14"/>
      <c r="E3" s="13"/>
      <c r="F3" s="13"/>
      <c r="G3" s="13"/>
      <c r="H3" s="13"/>
      <c r="I3" s="13"/>
    </row>
    <row r="4" spans="1:9" x14ac:dyDescent="0.5">
      <c r="B4" s="15" t="str">
        <f>'Comps Data (Capital IQ))'!$AG$2</f>
        <v>Currency</v>
      </c>
      <c r="C4" s="15" t="str">
        <f>'Comps Data (Capital IQ))'!$AH$2</f>
        <v>USD</v>
      </c>
    </row>
    <row r="6" spans="1:9" ht="15" x14ac:dyDescent="0.5">
      <c r="B6" s="37" t="str">
        <f>_xll.ciqfunctions.udf.CIQ($E$10, "IQ_COMPANY_NAME")</f>
        <v>Oracle Corporation</v>
      </c>
      <c r="C6" s="13"/>
      <c r="D6" s="13"/>
      <c r="E6" s="13"/>
      <c r="F6" s="13"/>
      <c r="G6" s="13"/>
      <c r="H6" s="13"/>
      <c r="I6" s="13"/>
    </row>
    <row r="8" spans="1:9" x14ac:dyDescent="0.5">
      <c r="B8" s="44" t="s">
        <v>24</v>
      </c>
      <c r="C8" s="44"/>
      <c r="D8" s="44"/>
      <c r="E8" s="44"/>
      <c r="G8" s="44" t="s">
        <v>43</v>
      </c>
      <c r="H8" s="45"/>
      <c r="I8" s="45"/>
    </row>
    <row r="9" spans="1:9" ht="5.25" customHeight="1" x14ac:dyDescent="0.5"/>
    <row r="10" spans="1:9" ht="16.8" x14ac:dyDescent="0.95">
      <c r="B10" s="15" t="s">
        <v>35</v>
      </c>
      <c r="E10" s="47" t="str">
        <f>_xll.ciqfunctions.udf.CIQ("NYSE:ORCL", "IQ_COMPANY_TICKER")</f>
        <v>NYSE:ORCL</v>
      </c>
      <c r="G10" s="39" t="s">
        <v>41</v>
      </c>
      <c r="H10" s="20" t="s">
        <v>26</v>
      </c>
      <c r="I10" s="20" t="s">
        <v>27</v>
      </c>
    </row>
    <row r="11" spans="1:9" x14ac:dyDescent="0.5">
      <c r="B11" s="15" t="s">
        <v>71</v>
      </c>
      <c r="E11" s="48">
        <f>_xll.ciqfunctions.udf.CIQ(E10, "IQ_LASTSALEPRICE", E12,$C$4)</f>
        <v>66.260000000000005</v>
      </c>
      <c r="G11" s="15" t="s">
        <v>25</v>
      </c>
      <c r="H11" s="52">
        <f>_xll.ciqfunctions.udf.CIQ($E$10, "IQ_REVENUE_EST", "FY2021",,,,$C$4)</f>
        <v>40291.846310000001</v>
      </c>
      <c r="I11" s="52">
        <f>_xll.ciqfunctions.udf.CIQ($E$10, "IQ_REVENUE_EST", "FY2022",,,,$C$4)</f>
        <v>42251.437680000003</v>
      </c>
    </row>
    <row r="12" spans="1:9" x14ac:dyDescent="0.5">
      <c r="B12" s="15" t="s">
        <v>36</v>
      </c>
      <c r="E12" s="81">
        <f>'Comps Data (Capital IQ))'!$AH$3</f>
        <v>44275</v>
      </c>
      <c r="G12" s="15" t="s">
        <v>11</v>
      </c>
      <c r="H12" s="52">
        <f>_xll.ciqfunctions.udf.CIQ($E$10, "IQ_EBITDA_EST", "FY2021",,,,$C$4)</f>
        <v>20400.373179999999</v>
      </c>
      <c r="I12" s="52">
        <f>_xll.ciqfunctions.udf.CIQ($E$10, "IQ_EBITDA_EST", "FY2022",,,,$C$4)</f>
        <v>21238.748579999999</v>
      </c>
    </row>
    <row r="13" spans="1:9" x14ac:dyDescent="0.5">
      <c r="E13" s="49"/>
      <c r="G13" s="15" t="s">
        <v>12</v>
      </c>
      <c r="H13" s="52">
        <f>_xll.ciqfunctions.udf.CIQ($E$10, "IQ_NI_REPORTED_EST", "FY2021",,,,$C$4)</f>
        <v>12878.751130000001</v>
      </c>
      <c r="I13" s="52">
        <f>_xll.ciqfunctions.udf.CIQ($E$10, "IQ_NI_REPORTED_EST", "FY2022",,,,$C$4)</f>
        <v>6612.4242700000004</v>
      </c>
    </row>
    <row r="14" spans="1:9" x14ac:dyDescent="0.5">
      <c r="B14" s="40" t="s">
        <v>37</v>
      </c>
      <c r="E14" s="49"/>
      <c r="G14" s="15" t="s">
        <v>28</v>
      </c>
      <c r="H14" s="52">
        <f>_xll.ciqfunctions.udf.CIQ($E$10, "IQ_CASH_OPER_EST", "FY2021",,,,$C$4)</f>
        <v>15090.233329999999</v>
      </c>
      <c r="I14" s="52">
        <f>_xll.ciqfunctions.udf.CIQ($E$10, "IQ_CASH_OPER_EST", "FY2022",,,,$C$4)</f>
        <v>10464.20667</v>
      </c>
    </row>
    <row r="15" spans="1:9" x14ac:dyDescent="0.5">
      <c r="B15" s="15" t="s">
        <v>72</v>
      </c>
      <c r="E15" s="82">
        <f>_xll.ciqfunctions.udf.CIQ(E10, "IQ_TOTAL_OUTSTANDING_BS_DATE", , E12)</f>
        <v>2895</v>
      </c>
      <c r="H15" s="49"/>
      <c r="I15" s="49"/>
    </row>
    <row r="16" spans="1:9" ht="16.5" customHeight="1" x14ac:dyDescent="0.5">
      <c r="B16" s="72" t="s">
        <v>82</v>
      </c>
      <c r="C16" s="72"/>
      <c r="D16" s="72"/>
      <c r="E16" s="75">
        <f>+E64</f>
        <v>22</v>
      </c>
      <c r="H16" s="49"/>
      <c r="I16" s="49"/>
    </row>
    <row r="17" spans="2:9" ht="16.5" customHeight="1" x14ac:dyDescent="0.5">
      <c r="B17" s="72" t="s">
        <v>73</v>
      </c>
      <c r="C17" s="72"/>
      <c r="D17" s="72"/>
      <c r="E17" s="75">
        <f>+F51</f>
        <v>0</v>
      </c>
      <c r="G17" s="73" t="s">
        <v>42</v>
      </c>
      <c r="H17" s="77" t="s">
        <v>26</v>
      </c>
      <c r="I17" s="77" t="s">
        <v>27</v>
      </c>
    </row>
    <row r="18" spans="2:9" ht="16.5" customHeight="1" x14ac:dyDescent="0.5">
      <c r="B18" s="74" t="s">
        <v>74</v>
      </c>
      <c r="C18" s="74"/>
      <c r="D18" s="74"/>
      <c r="E18" s="76">
        <f>+E76</f>
        <v>0</v>
      </c>
      <c r="G18" s="15" t="s">
        <v>25</v>
      </c>
      <c r="H18" s="55">
        <f>IFERROR($E$32/H11,"-")</f>
        <v>5.9629538480685227</v>
      </c>
      <c r="I18" s="55">
        <f>IFERROR($E$32/I11,"-")</f>
        <v>5.686396326194787</v>
      </c>
    </row>
    <row r="19" spans="2:9" x14ac:dyDescent="0.5">
      <c r="B19" s="72" t="s">
        <v>81</v>
      </c>
      <c r="E19" s="79">
        <f>SUM(E15:E18)</f>
        <v>2917</v>
      </c>
      <c r="G19" s="15" t="s">
        <v>11</v>
      </c>
      <c r="H19" s="55">
        <f>IFERROR($E$32/H12,"-")</f>
        <v>11.777158088242386</v>
      </c>
      <c r="I19" s="55">
        <f>IFERROR($E$32/I12,"-")</f>
        <v>11.312268192027348</v>
      </c>
    </row>
    <row r="20" spans="2:9" x14ac:dyDescent="0.5">
      <c r="E20" s="49"/>
      <c r="G20" s="15" t="s">
        <v>12</v>
      </c>
      <c r="H20" s="55">
        <f>IFERROR($E$21/H13,"-")</f>
        <v>15.007698964674381</v>
      </c>
      <c r="I20" s="55">
        <f>IFERROR($E$21/I13,"-")</f>
        <v>29.229887875903039</v>
      </c>
    </row>
    <row r="21" spans="2:9" x14ac:dyDescent="0.5">
      <c r="B21" s="16" t="s">
        <v>38</v>
      </c>
      <c r="C21" s="16"/>
      <c r="D21" s="16"/>
      <c r="E21" s="64">
        <f>+E11*E19</f>
        <v>193280.42</v>
      </c>
      <c r="G21" s="15" t="s">
        <v>28</v>
      </c>
      <c r="H21" s="55">
        <f>IFERROR($E$21/H14,"-")</f>
        <v>12.808312222432681</v>
      </c>
      <c r="I21" s="55">
        <f>IFERROR($E$21/I14,"-")</f>
        <v>18.470623344445091</v>
      </c>
    </row>
    <row r="22" spans="2:9" x14ac:dyDescent="0.5">
      <c r="E22" s="49"/>
      <c r="H22" s="49"/>
      <c r="I22" s="49"/>
    </row>
    <row r="23" spans="2:9" x14ac:dyDescent="0.5">
      <c r="B23" s="15" t="s">
        <v>76</v>
      </c>
      <c r="E23" s="52">
        <f>_xll.ciqfunctions.udf.CIQ(E10, "IQ_CASH_EQUIV", , E12, , , $C$4)</f>
        <v>22321</v>
      </c>
      <c r="G23" s="15" t="s">
        <v>45</v>
      </c>
      <c r="H23" s="49"/>
      <c r="I23" s="55">
        <f>IFERROR(E29/E34,"-")</f>
        <v>7.1909307875894992</v>
      </c>
    </row>
    <row r="24" spans="2:9" x14ac:dyDescent="0.5">
      <c r="E24" s="49"/>
      <c r="G24" s="15" t="s">
        <v>77</v>
      </c>
      <c r="H24" s="49"/>
      <c r="I24" s="56">
        <f>IFERROR(E29/(E29+E34),"-")</f>
        <v>0.87791375291375295</v>
      </c>
    </row>
    <row r="25" spans="2:9" x14ac:dyDescent="0.5">
      <c r="B25" s="15" t="s">
        <v>86</v>
      </c>
      <c r="E25" s="80">
        <f>_xll.ciqfunctions.udf.CIQ(E10, "IQ_TOTAL_DEBT", , E12, , , $C$4)</f>
        <v>69299</v>
      </c>
      <c r="G25" s="15" t="s">
        <v>78</v>
      </c>
      <c r="I25" s="56">
        <f>IFERROR(E29/(E29+E21),"-")</f>
        <v>0.26391634195855862</v>
      </c>
    </row>
    <row r="26" spans="2:9" x14ac:dyDescent="0.5">
      <c r="B26" s="15" t="s">
        <v>89</v>
      </c>
      <c r="E26" s="80">
        <f>_xll.ciqfunctions.udf.CIQ(E10, "IQ_CONVERT", , E12, , , $C$4)</f>
        <v>0</v>
      </c>
      <c r="I26" s="56"/>
    </row>
    <row r="27" spans="2:9" x14ac:dyDescent="0.5">
      <c r="B27" s="15" t="s">
        <v>88</v>
      </c>
      <c r="E27" s="65">
        <f>+E25-E26</f>
        <v>69299</v>
      </c>
    </row>
    <row r="28" spans="2:9" x14ac:dyDescent="0.5">
      <c r="B28" s="41" t="s">
        <v>90</v>
      </c>
      <c r="C28" s="41"/>
      <c r="D28" s="41"/>
      <c r="E28" s="53">
        <f>+E79</f>
        <v>0</v>
      </c>
    </row>
    <row r="29" spans="2:9" x14ac:dyDescent="0.5">
      <c r="B29" s="16" t="s">
        <v>87</v>
      </c>
      <c r="C29" s="16"/>
      <c r="D29" s="16"/>
      <c r="E29" s="64">
        <f>+E27+E28</f>
        <v>69299</v>
      </c>
    </row>
    <row r="30" spans="2:9" x14ac:dyDescent="0.5">
      <c r="B30" s="16"/>
      <c r="C30" s="16"/>
      <c r="D30" s="16"/>
      <c r="E30" s="54"/>
    </row>
    <row r="31" spans="2:9" x14ac:dyDescent="0.5">
      <c r="B31" s="15" t="s">
        <v>10</v>
      </c>
      <c r="E31" s="65">
        <f>+E29-E23</f>
        <v>46978</v>
      </c>
    </row>
    <row r="32" spans="2:9" x14ac:dyDescent="0.5">
      <c r="B32" s="16" t="s">
        <v>40</v>
      </c>
      <c r="C32" s="16"/>
      <c r="D32" s="16"/>
      <c r="E32" s="64">
        <f>+E21+E31</f>
        <v>240258.42</v>
      </c>
    </row>
    <row r="33" spans="2:26" x14ac:dyDescent="0.5">
      <c r="E33" s="49"/>
    </row>
    <row r="34" spans="2:26" x14ac:dyDescent="0.5">
      <c r="B34" s="15" t="s">
        <v>44</v>
      </c>
      <c r="E34" s="52">
        <f>_xll.ciqfunctions.udf.CIQ(E10, "IQ_TOTAL_EQUITY", , E12, , , $C$4)</f>
        <v>9637</v>
      </c>
    </row>
    <row r="36" spans="2:26" x14ac:dyDescent="0.5">
      <c r="B36" s="44" t="s">
        <v>46</v>
      </c>
      <c r="C36" s="44"/>
      <c r="D36" s="44"/>
      <c r="E36" s="44"/>
      <c r="F36" s="44"/>
    </row>
    <row r="37" spans="2:26" ht="5.25" customHeight="1" x14ac:dyDescent="0.5"/>
    <row r="38" spans="2:26" x14ac:dyDescent="0.5">
      <c r="B38" s="42"/>
      <c r="C38" s="42" t="s">
        <v>49</v>
      </c>
      <c r="D38" s="42" t="s">
        <v>48</v>
      </c>
      <c r="E38" s="42" t="s">
        <v>49</v>
      </c>
      <c r="F38" s="42"/>
    </row>
    <row r="39" spans="2:26" ht="16.8" x14ac:dyDescent="0.95">
      <c r="B39" s="19" t="s">
        <v>47</v>
      </c>
      <c r="C39" s="20" t="s">
        <v>51</v>
      </c>
      <c r="D39" s="20" t="s">
        <v>8</v>
      </c>
      <c r="E39" s="20" t="s">
        <v>91</v>
      </c>
      <c r="F39" s="20" t="s">
        <v>50</v>
      </c>
    </row>
    <row r="40" spans="2:26" s="66" customFormat="1" ht="10.199999999999999" x14ac:dyDescent="0.35">
      <c r="C40" s="66" t="s">
        <v>21</v>
      </c>
      <c r="D40" s="67" t="s">
        <v>16</v>
      </c>
      <c r="E40" s="66" t="s">
        <v>21</v>
      </c>
      <c r="F40" s="67" t="s">
        <v>20</v>
      </c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9"/>
      <c r="S40" s="67"/>
      <c r="T40" s="67"/>
      <c r="U40" s="67"/>
      <c r="V40" s="67"/>
      <c r="W40" s="67"/>
      <c r="X40" s="67"/>
      <c r="Y40" s="67"/>
      <c r="Z40" s="67"/>
    </row>
    <row r="41" spans="2:26" x14ac:dyDescent="0.5">
      <c r="B41" s="38"/>
      <c r="C41" s="50"/>
      <c r="D41" s="48"/>
      <c r="E41" s="46">
        <f>+IF(D41&lt;$E$11,C41,0)</f>
        <v>0</v>
      </c>
      <c r="F41" s="57">
        <f>+D41*E41</f>
        <v>0</v>
      </c>
    </row>
    <row r="42" spans="2:26" x14ac:dyDescent="0.5">
      <c r="B42" s="38"/>
      <c r="C42" s="50"/>
      <c r="D42" s="48"/>
      <c r="E42" s="46">
        <f t="shared" ref="E42:E46" si="0">+IF(D42&lt;$E$11,C42,0)</f>
        <v>0</v>
      </c>
      <c r="F42" s="57">
        <f t="shared" ref="F42:F46" si="1">+D42*E42</f>
        <v>0</v>
      </c>
    </row>
    <row r="43" spans="2:26" x14ac:dyDescent="0.5">
      <c r="B43" s="38"/>
      <c r="C43" s="50"/>
      <c r="D43" s="48"/>
      <c r="E43" s="46">
        <f t="shared" si="0"/>
        <v>0</v>
      </c>
      <c r="F43" s="57">
        <f t="shared" si="1"/>
        <v>0</v>
      </c>
    </row>
    <row r="44" spans="2:26" x14ac:dyDescent="0.5">
      <c r="B44" s="38"/>
      <c r="C44" s="50"/>
      <c r="D44" s="48"/>
      <c r="E44" s="46">
        <f t="shared" si="0"/>
        <v>0</v>
      </c>
      <c r="F44" s="57">
        <f t="shared" si="1"/>
        <v>0</v>
      </c>
    </row>
    <row r="45" spans="2:26" x14ac:dyDescent="0.5">
      <c r="B45" s="38"/>
      <c r="C45" s="50"/>
      <c r="D45" s="48"/>
      <c r="E45" s="46">
        <f t="shared" si="0"/>
        <v>0</v>
      </c>
      <c r="F45" s="57">
        <f t="shared" si="1"/>
        <v>0</v>
      </c>
    </row>
    <row r="46" spans="2:26" x14ac:dyDescent="0.5">
      <c r="B46" s="43"/>
      <c r="C46" s="61"/>
      <c r="D46" s="62"/>
      <c r="E46" s="51">
        <f t="shared" si="0"/>
        <v>0</v>
      </c>
      <c r="F46" s="58">
        <f t="shared" si="1"/>
        <v>0</v>
      </c>
    </row>
    <row r="47" spans="2:26" x14ac:dyDescent="0.5">
      <c r="B47" s="16" t="s">
        <v>52</v>
      </c>
      <c r="C47" s="54"/>
      <c r="D47" s="54"/>
      <c r="E47" s="59">
        <f>SUM(E41:E46)</f>
        <v>0</v>
      </c>
      <c r="F47" s="60">
        <f>SUM(F41:F46)</f>
        <v>0</v>
      </c>
    </row>
    <row r="48" spans="2:26" x14ac:dyDescent="0.5">
      <c r="C48" s="49"/>
      <c r="D48" s="49"/>
      <c r="E48" s="49"/>
      <c r="F48" s="49"/>
    </row>
    <row r="49" spans="2:6" x14ac:dyDescent="0.5">
      <c r="B49" s="15" t="s">
        <v>53</v>
      </c>
      <c r="C49" s="49"/>
      <c r="D49" s="49"/>
      <c r="E49" s="49"/>
      <c r="F49" s="46">
        <f>+E47</f>
        <v>0</v>
      </c>
    </row>
    <row r="50" spans="2:6" x14ac:dyDescent="0.5">
      <c r="B50" s="15" t="s">
        <v>54</v>
      </c>
      <c r="C50" s="49"/>
      <c r="D50" s="49"/>
      <c r="E50" s="49"/>
      <c r="F50" s="46">
        <f>IF(ISERR($F47/E11),"-",$F47/E11)</f>
        <v>0</v>
      </c>
    </row>
    <row r="51" spans="2:6" x14ac:dyDescent="0.5">
      <c r="B51" s="15" t="s">
        <v>79</v>
      </c>
      <c r="C51" s="49"/>
      <c r="D51" s="49"/>
      <c r="E51" s="49"/>
      <c r="F51" s="46">
        <f>+IF(ISERR(F49-F50),"-",F49-F50)</f>
        <v>0</v>
      </c>
    </row>
    <row r="52" spans="2:6" x14ac:dyDescent="0.5">
      <c r="C52" s="49"/>
      <c r="D52" s="49"/>
      <c r="E52" s="49"/>
      <c r="F52" s="46"/>
    </row>
    <row r="53" spans="2:6" x14ac:dyDescent="0.5">
      <c r="B53" s="44" t="s">
        <v>80</v>
      </c>
      <c r="C53" s="44"/>
      <c r="D53" s="44"/>
      <c r="E53" s="44"/>
      <c r="F53" s="46"/>
    </row>
    <row r="54" spans="2:6" ht="5.55" customHeight="1" x14ac:dyDescent="0.5">
      <c r="B54" s="16"/>
      <c r="D54" s="49"/>
      <c r="E54" s="16"/>
      <c r="F54" s="46"/>
    </row>
    <row r="55" spans="2:6" x14ac:dyDescent="0.5">
      <c r="B55" s="16"/>
      <c r="D55" s="49"/>
      <c r="E55" s="42" t="s">
        <v>83</v>
      </c>
      <c r="F55" s="46"/>
    </row>
    <row r="56" spans="2:6" x14ac:dyDescent="0.5">
      <c r="B56" s="16"/>
      <c r="D56" s="49"/>
      <c r="E56" s="42" t="s">
        <v>49</v>
      </c>
      <c r="F56" s="46"/>
    </row>
    <row r="57" spans="2:6" ht="16.8" x14ac:dyDescent="0.95">
      <c r="B57" s="19" t="s">
        <v>47</v>
      </c>
      <c r="C57" s="19" t="s">
        <v>84</v>
      </c>
      <c r="D57" s="19" t="s">
        <v>84</v>
      </c>
      <c r="E57" s="20" t="s">
        <v>51</v>
      </c>
      <c r="F57" s="46"/>
    </row>
    <row r="58" spans="2:6" x14ac:dyDescent="0.5">
      <c r="E58" s="66" t="s">
        <v>21</v>
      </c>
      <c r="F58" s="46"/>
    </row>
    <row r="59" spans="2:6" x14ac:dyDescent="0.5">
      <c r="B59" s="38" t="s">
        <v>117</v>
      </c>
      <c r="C59" s="38"/>
      <c r="D59" s="38"/>
      <c r="E59" s="50">
        <f>42-20</f>
        <v>22</v>
      </c>
      <c r="F59" s="46"/>
    </row>
    <row r="60" spans="2:6" x14ac:dyDescent="0.5">
      <c r="B60" s="38"/>
      <c r="C60" s="38"/>
      <c r="D60" s="38"/>
      <c r="E60" s="50"/>
      <c r="F60" s="46"/>
    </row>
    <row r="61" spans="2:6" x14ac:dyDescent="0.5">
      <c r="B61" s="38"/>
      <c r="C61" s="38"/>
      <c r="D61" s="38"/>
      <c r="E61" s="50"/>
      <c r="F61" s="46"/>
    </row>
    <row r="62" spans="2:6" x14ac:dyDescent="0.5">
      <c r="B62" s="38"/>
      <c r="C62" s="38"/>
      <c r="D62" s="38"/>
      <c r="E62" s="50"/>
      <c r="F62" s="46"/>
    </row>
    <row r="63" spans="2:6" x14ac:dyDescent="0.5">
      <c r="B63" s="43"/>
      <c r="C63" s="43"/>
      <c r="D63" s="43"/>
      <c r="E63" s="43"/>
      <c r="F63" s="46"/>
    </row>
    <row r="64" spans="2:6" x14ac:dyDescent="0.5">
      <c r="B64" s="16" t="s">
        <v>52</v>
      </c>
      <c r="D64" s="49"/>
      <c r="E64" s="78">
        <f>SUM(E59:E63)</f>
        <v>22</v>
      </c>
      <c r="F64" s="46"/>
    </row>
    <row r="66" spans="2:5" x14ac:dyDescent="0.5">
      <c r="B66" s="44" t="s">
        <v>39</v>
      </c>
      <c r="C66" s="44"/>
      <c r="D66" s="44"/>
      <c r="E66" s="44"/>
    </row>
    <row r="67" spans="2:5" ht="5.25" customHeight="1" x14ac:dyDescent="0.5"/>
    <row r="68" spans="2:5" x14ac:dyDescent="0.5">
      <c r="B68" s="42"/>
      <c r="C68" s="42" t="s">
        <v>56</v>
      </c>
      <c r="D68" s="42" t="s">
        <v>57</v>
      </c>
      <c r="E68" s="42" t="s">
        <v>9</v>
      </c>
    </row>
    <row r="69" spans="2:5" ht="16.8" x14ac:dyDescent="0.95">
      <c r="B69" s="19" t="s">
        <v>55</v>
      </c>
      <c r="C69" s="20" t="s">
        <v>23</v>
      </c>
      <c r="D69" s="20" t="s">
        <v>8</v>
      </c>
      <c r="E69" s="20" t="s">
        <v>58</v>
      </c>
    </row>
    <row r="70" spans="2:5" x14ac:dyDescent="0.5">
      <c r="C70" s="66" t="s">
        <v>21</v>
      </c>
      <c r="D70" s="67" t="s">
        <v>16</v>
      </c>
      <c r="E70" s="66" t="s">
        <v>21</v>
      </c>
    </row>
    <row r="71" spans="2:5" x14ac:dyDescent="0.5">
      <c r="B71" s="38"/>
      <c r="C71" s="52"/>
      <c r="D71" s="48"/>
      <c r="E71" s="46">
        <f>IF(ISNUMBER($D71),IF($E$11&gt;$D71,$C71/$D71,0),0)</f>
        <v>0</v>
      </c>
    </row>
    <row r="72" spans="2:5" x14ac:dyDescent="0.5">
      <c r="B72" s="38"/>
      <c r="C72" s="52"/>
      <c r="D72" s="48"/>
      <c r="E72" s="46">
        <f t="shared" ref="E72:E75" si="2">IF(ISNUMBER($D72),IF($E$11&gt;$D72,$C72/$D72,0),0)</f>
        <v>0</v>
      </c>
    </row>
    <row r="73" spans="2:5" x14ac:dyDescent="0.5">
      <c r="B73" s="38"/>
      <c r="C73" s="52"/>
      <c r="D73" s="48"/>
      <c r="E73" s="46">
        <f t="shared" si="2"/>
        <v>0</v>
      </c>
    </row>
    <row r="74" spans="2:5" x14ac:dyDescent="0.5">
      <c r="B74" s="38"/>
      <c r="C74" s="52"/>
      <c r="D74" s="48"/>
      <c r="E74" s="46">
        <f t="shared" si="2"/>
        <v>0</v>
      </c>
    </row>
    <row r="75" spans="2:5" x14ac:dyDescent="0.5">
      <c r="B75" s="43"/>
      <c r="C75" s="63"/>
      <c r="D75" s="62"/>
      <c r="E75" s="51">
        <f t="shared" si="2"/>
        <v>0</v>
      </c>
    </row>
    <row r="76" spans="2:5" x14ac:dyDescent="0.5">
      <c r="B76" s="16" t="s">
        <v>52</v>
      </c>
      <c r="C76" s="64">
        <f>SUM(C71:C75)</f>
        <v>0</v>
      </c>
      <c r="D76" s="54"/>
      <c r="E76" s="59">
        <f>SUM(E71:E75)</f>
        <v>0</v>
      </c>
    </row>
    <row r="77" spans="2:5" x14ac:dyDescent="0.5">
      <c r="C77" s="49"/>
      <c r="D77" s="49"/>
      <c r="E77" s="49"/>
    </row>
    <row r="78" spans="2:5" x14ac:dyDescent="0.5">
      <c r="B78" s="15" t="s">
        <v>59</v>
      </c>
      <c r="C78" s="49"/>
      <c r="D78" s="49"/>
      <c r="E78" s="65">
        <f>SUMIF(D71:D75,"&lt;"&amp;$E$11,C71:C75)</f>
        <v>0</v>
      </c>
    </row>
    <row r="79" spans="2:5" x14ac:dyDescent="0.5">
      <c r="B79" s="15" t="s">
        <v>60</v>
      </c>
      <c r="C79" s="49"/>
      <c r="D79" s="49"/>
      <c r="E79" s="65">
        <f>+C76-E78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CC21-DA4E-470C-9B67-562C1B328583}">
  <dimension ref="A1:Z79"/>
  <sheetViews>
    <sheetView showGridLines="0" zoomScaleNormal="100" workbookViewId="0"/>
  </sheetViews>
  <sheetFormatPr defaultColWidth="11.68359375" defaultRowHeight="14.1" x14ac:dyDescent="0.5"/>
  <cols>
    <col min="1" max="1" width="5.68359375" style="15" customWidth="1"/>
    <col min="2" max="2" width="50.68359375" style="15" customWidth="1"/>
    <col min="3" max="6" width="15.68359375" style="15" customWidth="1"/>
    <col min="7" max="7" width="50.68359375" style="15" customWidth="1"/>
    <col min="8" max="9" width="15.68359375" style="15" customWidth="1"/>
    <col min="10" max="16384" width="11.68359375" style="15"/>
  </cols>
  <sheetData>
    <row r="1" spans="1:9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</row>
    <row r="2" spans="1:9" s="2" customFormat="1" ht="17.399999999999999" x14ac:dyDescent="0.5">
      <c r="A2" s="12" t="str">
        <f>_xll.ciqfunctions.udf.CIQ($E$10, "IQ_COMPANY_NAME")</f>
        <v>SAP SE</v>
      </c>
      <c r="B2" s="12"/>
      <c r="C2" s="12"/>
      <c r="D2" s="12"/>
      <c r="E2" s="12"/>
      <c r="F2" s="12"/>
      <c r="G2" s="12"/>
      <c r="H2" s="12"/>
      <c r="I2" s="12"/>
    </row>
    <row r="3" spans="1:9" s="11" customFormat="1" ht="15" x14ac:dyDescent="0.5">
      <c r="A3" s="36" t="s">
        <v>102</v>
      </c>
      <c r="B3" s="14"/>
      <c r="C3" s="14"/>
      <c r="D3" s="14"/>
      <c r="E3" s="13"/>
      <c r="F3" s="13"/>
      <c r="G3" s="13"/>
      <c r="H3" s="13"/>
      <c r="I3" s="13"/>
    </row>
    <row r="4" spans="1:9" x14ac:dyDescent="0.5">
      <c r="B4" s="15" t="str">
        <f>'Comps Data (Capital IQ))'!$AG$2</f>
        <v>Currency</v>
      </c>
      <c r="C4" s="15" t="str">
        <f>'Comps Data (Capital IQ))'!$AH$2</f>
        <v>USD</v>
      </c>
    </row>
    <row r="6" spans="1:9" ht="15" x14ac:dyDescent="0.5">
      <c r="B6" s="37" t="str">
        <f>_xll.ciqfunctions.udf.CIQ($E$10, "IQ_COMPANY_NAME")</f>
        <v>SAP SE</v>
      </c>
      <c r="C6" s="13"/>
      <c r="D6" s="13"/>
      <c r="E6" s="13"/>
      <c r="F6" s="13"/>
      <c r="G6" s="13"/>
      <c r="H6" s="13"/>
      <c r="I6" s="13"/>
    </row>
    <row r="8" spans="1:9" x14ac:dyDescent="0.5">
      <c r="B8" s="44" t="s">
        <v>24</v>
      </c>
      <c r="C8" s="44"/>
      <c r="D8" s="44"/>
      <c r="E8" s="44"/>
      <c r="G8" s="44" t="s">
        <v>43</v>
      </c>
      <c r="H8" s="45"/>
      <c r="I8" s="45"/>
    </row>
    <row r="9" spans="1:9" ht="5.25" customHeight="1" x14ac:dyDescent="0.5"/>
    <row r="10" spans="1:9" ht="16.8" x14ac:dyDescent="0.95">
      <c r="B10" s="15" t="s">
        <v>35</v>
      </c>
      <c r="E10" s="47" t="str">
        <f>_xll.ciqfunctions.udf.CIQ("XTRA:SAP", "IQ_COMPANY_TICKER")</f>
        <v>XTRA:SAP</v>
      </c>
      <c r="G10" s="39" t="s">
        <v>41</v>
      </c>
      <c r="H10" s="20" t="s">
        <v>26</v>
      </c>
      <c r="I10" s="20" t="s">
        <v>27</v>
      </c>
    </row>
    <row r="11" spans="1:9" x14ac:dyDescent="0.5">
      <c r="B11" s="15" t="s">
        <v>71</v>
      </c>
      <c r="E11" s="48">
        <f>_xll.ciqfunctions.udf.CIQ(E10, "IQ_LASTSALEPRICE", E12,$C$4)</f>
        <v>123.30398</v>
      </c>
      <c r="G11" s="15" t="s">
        <v>25</v>
      </c>
      <c r="H11" s="52">
        <f>_xll.ciqfunctions.udf.CIQ($E$10, "IQ_REVENUE_EST", "FY2021",,,,$C$4)</f>
        <v>31422.028900000001</v>
      </c>
      <c r="I11" s="52">
        <f>_xll.ciqfunctions.udf.CIQ($E$10, "IQ_REVENUE_EST", "FY2022",,,,$C$4)</f>
        <v>33084.716039999999</v>
      </c>
    </row>
    <row r="12" spans="1:9" x14ac:dyDescent="0.5">
      <c r="B12" s="15" t="s">
        <v>36</v>
      </c>
      <c r="E12" s="81">
        <f>'Comps Data (Capital IQ))'!$AH$3</f>
        <v>44275</v>
      </c>
      <c r="G12" s="15" t="s">
        <v>11</v>
      </c>
      <c r="H12" s="52">
        <f>_xll.ciqfunctions.udf.CIQ($E$10, "IQ_EBITDA_EST", "FY2021",,,,$C$4)</f>
        <v>11170.0772</v>
      </c>
      <c r="I12" s="52">
        <f>_xll.ciqfunctions.udf.CIQ($E$10, "IQ_EBITDA_EST", "FY2022",,,,$C$4)</f>
        <v>10305.36249</v>
      </c>
    </row>
    <row r="13" spans="1:9" x14ac:dyDescent="0.5">
      <c r="E13" s="49"/>
      <c r="G13" s="15" t="s">
        <v>12</v>
      </c>
      <c r="H13" s="52">
        <f>_xll.ciqfunctions.udf.CIQ($E$10, "IQ_NI_REPORTED_EST", "FY2021",,,,$C$4)</f>
        <v>6016.7109399999999</v>
      </c>
      <c r="I13" s="52">
        <f>_xll.ciqfunctions.udf.CIQ($E$10, "IQ_NI_REPORTED_EST", "FY2022",,,,$C$4)</f>
        <v>2835.9082600000002</v>
      </c>
    </row>
    <row r="14" spans="1:9" x14ac:dyDescent="0.5">
      <c r="B14" s="40" t="s">
        <v>37</v>
      </c>
      <c r="E14" s="49"/>
      <c r="G14" s="15" t="s">
        <v>28</v>
      </c>
      <c r="H14" s="52">
        <f>_xll.ciqfunctions.udf.CIQ($E$10, "IQ_CASH_OPER_EST", "FY2021",,,,$C$4)</f>
        <v>7147.1246099999998</v>
      </c>
      <c r="I14" s="52">
        <f>_xll.ciqfunctions.udf.CIQ($E$10, "IQ_CASH_OPER_EST", "FY2022",,,,$C$4)</f>
        <v>5906.7786800000003</v>
      </c>
    </row>
    <row r="15" spans="1:9" x14ac:dyDescent="0.5">
      <c r="B15" s="15" t="s">
        <v>72</v>
      </c>
      <c r="E15" s="82">
        <f>_xll.ciqfunctions.udf.CIQ(E10, "IQ_TOTAL_OUTSTANDING_BS_DATE", , E12)</f>
        <v>1179.57934</v>
      </c>
      <c r="H15" s="49"/>
      <c r="I15" s="49"/>
    </row>
    <row r="16" spans="1:9" ht="16.5" customHeight="1" x14ac:dyDescent="0.5">
      <c r="B16" s="72" t="s">
        <v>82</v>
      </c>
      <c r="C16" s="72"/>
      <c r="D16" s="72"/>
      <c r="E16" s="75">
        <f>+E64</f>
        <v>16.128</v>
      </c>
      <c r="H16" s="49"/>
      <c r="I16" s="49"/>
    </row>
    <row r="17" spans="2:9" ht="16.5" customHeight="1" x14ac:dyDescent="0.5">
      <c r="B17" s="72" t="s">
        <v>73</v>
      </c>
      <c r="C17" s="72"/>
      <c r="D17" s="72"/>
      <c r="E17" s="75">
        <f>+F51</f>
        <v>1.1657367954465052</v>
      </c>
      <c r="G17" s="73" t="s">
        <v>42</v>
      </c>
      <c r="H17" s="77" t="s">
        <v>26</v>
      </c>
      <c r="I17" s="77" t="s">
        <v>27</v>
      </c>
    </row>
    <row r="18" spans="2:9" ht="16.5" customHeight="1" x14ac:dyDescent="0.5">
      <c r="B18" s="74" t="s">
        <v>74</v>
      </c>
      <c r="C18" s="74"/>
      <c r="D18" s="74"/>
      <c r="E18" s="76">
        <f>+E76</f>
        <v>0</v>
      </c>
      <c r="G18" s="15" t="s">
        <v>25</v>
      </c>
      <c r="H18" s="55">
        <f>IFERROR($E$32/H11,"-")</f>
        <v>5.0918915218018972</v>
      </c>
      <c r="I18" s="55">
        <f>IFERROR($E$32/I11,"-")</f>
        <v>4.8359962455257088</v>
      </c>
    </row>
    <row r="19" spans="2:9" x14ac:dyDescent="0.5">
      <c r="B19" s="72" t="s">
        <v>81</v>
      </c>
      <c r="E19" s="79">
        <f>SUM(E15:E18)</f>
        <v>1196.8730767954464</v>
      </c>
      <c r="G19" s="15" t="s">
        <v>11</v>
      </c>
      <c r="H19" s="55">
        <f>IFERROR($E$32/H12,"-")</f>
        <v>14.323765153003974</v>
      </c>
      <c r="I19" s="55">
        <f>IFERROR($E$32/I12,"-")</f>
        <v>15.525660810959421</v>
      </c>
    </row>
    <row r="20" spans="2:9" x14ac:dyDescent="0.5">
      <c r="E20" s="49"/>
      <c r="G20" s="15" t="s">
        <v>12</v>
      </c>
      <c r="H20" s="55">
        <f>IFERROR($E$21/H13,"-")</f>
        <v>24.528220716503991</v>
      </c>
      <c r="I20" s="55">
        <f>IFERROR($E$21/I13,"-")</f>
        <v>52.039488020576584</v>
      </c>
    </row>
    <row r="21" spans="2:9" x14ac:dyDescent="0.5">
      <c r="B21" s="16" t="s">
        <v>38</v>
      </c>
      <c r="C21" s="16"/>
      <c r="D21" s="16"/>
      <c r="E21" s="64">
        <f>+E11*E19</f>
        <v>147579.21392372419</v>
      </c>
      <c r="G21" s="15" t="s">
        <v>28</v>
      </c>
      <c r="H21" s="55">
        <f>IFERROR($E$21/H14,"-")</f>
        <v>20.648753446559006</v>
      </c>
      <c r="I21" s="55">
        <f>IFERROR($E$21/I14,"-")</f>
        <v>24.984720423573442</v>
      </c>
    </row>
    <row r="22" spans="2:9" x14ac:dyDescent="0.5">
      <c r="E22" s="49"/>
      <c r="H22" s="49"/>
      <c r="I22" s="49"/>
    </row>
    <row r="23" spans="2:9" x14ac:dyDescent="0.5">
      <c r="B23" s="15" t="s">
        <v>76</v>
      </c>
      <c r="E23" s="52">
        <f>_xll.ciqfunctions.udf.CIQ(E10, "IQ_CASH_EQUIV", , E12, , , $C$4)</f>
        <v>6496.6360800000002</v>
      </c>
      <c r="G23" s="15" t="s">
        <v>45</v>
      </c>
      <c r="H23" s="49"/>
      <c r="I23" s="55">
        <f>IFERROR(E29/E34,"-")</f>
        <v>0.51669061398706972</v>
      </c>
    </row>
    <row r="24" spans="2:9" x14ac:dyDescent="0.5">
      <c r="E24" s="49"/>
      <c r="G24" s="15" t="s">
        <v>77</v>
      </c>
      <c r="H24" s="49"/>
      <c r="I24" s="56">
        <f>IFERROR(E29/(E29+E34),"-")</f>
        <v>0.34066975111608011</v>
      </c>
    </row>
    <row r="25" spans="2:9" x14ac:dyDescent="0.5">
      <c r="B25" s="15" t="s">
        <v>86</v>
      </c>
      <c r="E25" s="80">
        <f>_xll.ciqfunctions.udf.CIQ(E10, "IQ_TOTAL_DEBT", , E12, , , $C$4)</f>
        <v>18914.984710000001</v>
      </c>
      <c r="G25" s="15" t="s">
        <v>78</v>
      </c>
      <c r="I25" s="56">
        <f>IFERROR(E29/(E29+E21),"-")</f>
        <v>0.11360747020147934</v>
      </c>
    </row>
    <row r="26" spans="2:9" x14ac:dyDescent="0.5">
      <c r="B26" s="15" t="s">
        <v>89</v>
      </c>
      <c r="E26" s="80">
        <f>_xll.ciqfunctions.udf.CIQ(E10, "IQ_CONVERT", , E12, , , $C$4)</f>
        <v>0</v>
      </c>
      <c r="I26" s="56"/>
    </row>
    <row r="27" spans="2:9" x14ac:dyDescent="0.5">
      <c r="B27" s="15" t="s">
        <v>88</v>
      </c>
      <c r="E27" s="65">
        <f>+E25-E26</f>
        <v>18914.984710000001</v>
      </c>
    </row>
    <row r="28" spans="2:9" x14ac:dyDescent="0.5">
      <c r="B28" s="41" t="s">
        <v>90</v>
      </c>
      <c r="C28" s="41"/>
      <c r="D28" s="41"/>
      <c r="E28" s="53">
        <f>+E79</f>
        <v>0</v>
      </c>
    </row>
    <row r="29" spans="2:9" x14ac:dyDescent="0.5">
      <c r="B29" s="16" t="s">
        <v>87</v>
      </c>
      <c r="C29" s="16"/>
      <c r="D29" s="16"/>
      <c r="E29" s="64">
        <f>+E27+E28</f>
        <v>18914.984710000001</v>
      </c>
    </row>
    <row r="30" spans="2:9" x14ac:dyDescent="0.5">
      <c r="B30" s="16"/>
      <c r="C30" s="16"/>
      <c r="D30" s="16"/>
      <c r="E30" s="54"/>
    </row>
    <row r="31" spans="2:9" x14ac:dyDescent="0.5">
      <c r="B31" s="15" t="s">
        <v>10</v>
      </c>
      <c r="E31" s="65">
        <f>+E29-E23</f>
        <v>12418.34863</v>
      </c>
    </row>
    <row r="32" spans="2:9" x14ac:dyDescent="0.5">
      <c r="B32" s="16" t="s">
        <v>40</v>
      </c>
      <c r="C32" s="16"/>
      <c r="D32" s="16"/>
      <c r="E32" s="64">
        <f>+E21+E31</f>
        <v>159997.56255372419</v>
      </c>
    </row>
    <row r="33" spans="2:26" x14ac:dyDescent="0.5">
      <c r="E33" s="49"/>
    </row>
    <row r="34" spans="2:26" x14ac:dyDescent="0.5">
      <c r="B34" s="15" t="s">
        <v>44</v>
      </c>
      <c r="E34" s="52">
        <f>_xll.ciqfunctions.udf.CIQ(E10, "IQ_TOTAL_EQUITY", , E12, , , $C$4)</f>
        <v>36607.951059999999</v>
      </c>
    </row>
    <row r="36" spans="2:26" x14ac:dyDescent="0.5">
      <c r="B36" s="44" t="s">
        <v>46</v>
      </c>
      <c r="C36" s="44"/>
      <c r="D36" s="44"/>
      <c r="E36" s="44"/>
      <c r="F36" s="44"/>
    </row>
    <row r="37" spans="2:26" ht="5.25" customHeight="1" x14ac:dyDescent="0.5"/>
    <row r="38" spans="2:26" x14ac:dyDescent="0.5">
      <c r="B38" s="42"/>
      <c r="C38" s="42" t="s">
        <v>49</v>
      </c>
      <c r="D38" s="42" t="s">
        <v>48</v>
      </c>
      <c r="E38" s="42" t="s">
        <v>49</v>
      </c>
      <c r="F38" s="42"/>
    </row>
    <row r="39" spans="2:26" ht="16.8" x14ac:dyDescent="0.95">
      <c r="B39" s="19" t="s">
        <v>47</v>
      </c>
      <c r="C39" s="20" t="s">
        <v>51</v>
      </c>
      <c r="D39" s="20" t="s">
        <v>8</v>
      </c>
      <c r="E39" s="20" t="s">
        <v>91</v>
      </c>
      <c r="F39" s="20" t="s">
        <v>50</v>
      </c>
    </row>
    <row r="40" spans="2:26" s="66" customFormat="1" ht="10.199999999999999" x14ac:dyDescent="0.35">
      <c r="C40" s="66" t="s">
        <v>21</v>
      </c>
      <c r="D40" s="67" t="s">
        <v>16</v>
      </c>
      <c r="E40" s="66" t="s">
        <v>21</v>
      </c>
      <c r="F40" s="67" t="s">
        <v>20</v>
      </c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9"/>
      <c r="S40" s="67"/>
      <c r="T40" s="67"/>
      <c r="U40" s="67"/>
      <c r="V40" s="67"/>
      <c r="W40" s="67"/>
      <c r="X40" s="67"/>
      <c r="Y40" s="67"/>
      <c r="Z40" s="67"/>
    </row>
    <row r="41" spans="2:26" x14ac:dyDescent="0.5">
      <c r="B41" s="38" t="s">
        <v>97</v>
      </c>
      <c r="C41" s="50">
        <v>3.0390000000000001</v>
      </c>
      <c r="D41" s="48">
        <f>69.15*G41</f>
        <v>76.005531000000005</v>
      </c>
      <c r="E41" s="46">
        <f>+IF(D41&lt;$E$11,C41,0)</f>
        <v>3.0390000000000001</v>
      </c>
      <c r="F41" s="57">
        <f>+D41*E41</f>
        <v>230.98080870900003</v>
      </c>
      <c r="G41" s="15">
        <f>_xll.ciqfunctions.udf.CIQ("$USDEUR", "IQ_LASTSALEPRICE")</f>
        <v>1.09914</v>
      </c>
      <c r="H41" s="15" t="s">
        <v>118</v>
      </c>
    </row>
    <row r="42" spans="2:26" x14ac:dyDescent="0.5">
      <c r="B42" s="38"/>
      <c r="C42" s="50"/>
      <c r="D42" s="48"/>
      <c r="E42" s="46">
        <f t="shared" ref="E42:E46" si="0">+IF(D42&lt;$E$11,C42,0)</f>
        <v>0</v>
      </c>
      <c r="F42" s="57">
        <f t="shared" ref="F42:F46" si="1">+D42*E42</f>
        <v>0</v>
      </c>
    </row>
    <row r="43" spans="2:26" x14ac:dyDescent="0.5">
      <c r="B43" s="38"/>
      <c r="C43" s="50"/>
      <c r="D43" s="48"/>
      <c r="E43" s="46">
        <f t="shared" si="0"/>
        <v>0</v>
      </c>
      <c r="F43" s="57">
        <f t="shared" si="1"/>
        <v>0</v>
      </c>
    </row>
    <row r="44" spans="2:26" x14ac:dyDescent="0.5">
      <c r="B44" s="38"/>
      <c r="C44" s="50"/>
      <c r="D44" s="48"/>
      <c r="E44" s="46">
        <f t="shared" si="0"/>
        <v>0</v>
      </c>
      <c r="F44" s="57">
        <f t="shared" si="1"/>
        <v>0</v>
      </c>
    </row>
    <row r="45" spans="2:26" x14ac:dyDescent="0.5">
      <c r="B45" s="38"/>
      <c r="C45" s="50"/>
      <c r="D45" s="48"/>
      <c r="E45" s="46">
        <f t="shared" si="0"/>
        <v>0</v>
      </c>
      <c r="F45" s="57">
        <f t="shared" si="1"/>
        <v>0</v>
      </c>
    </row>
    <row r="46" spans="2:26" x14ac:dyDescent="0.5">
      <c r="B46" s="43"/>
      <c r="C46" s="61"/>
      <c r="D46" s="62"/>
      <c r="E46" s="51">
        <f t="shared" si="0"/>
        <v>0</v>
      </c>
      <c r="F46" s="58">
        <f t="shared" si="1"/>
        <v>0</v>
      </c>
    </row>
    <row r="47" spans="2:26" x14ac:dyDescent="0.5">
      <c r="B47" s="16" t="s">
        <v>52</v>
      </c>
      <c r="C47" s="54"/>
      <c r="D47" s="54"/>
      <c r="E47" s="59">
        <f>SUM(E41:E46)</f>
        <v>3.0390000000000001</v>
      </c>
      <c r="F47" s="60">
        <f>SUM(F41:F46)</f>
        <v>230.98080870900003</v>
      </c>
    </row>
    <row r="48" spans="2:26" x14ac:dyDescent="0.5">
      <c r="C48" s="49"/>
      <c r="D48" s="49"/>
      <c r="E48" s="49"/>
      <c r="F48" s="49"/>
    </row>
    <row r="49" spans="2:6" x14ac:dyDescent="0.5">
      <c r="B49" s="15" t="s">
        <v>53</v>
      </c>
      <c r="C49" s="49"/>
      <c r="D49" s="49"/>
      <c r="E49" s="49"/>
      <c r="F49" s="46">
        <f>+E47</f>
        <v>3.0390000000000001</v>
      </c>
    </row>
    <row r="50" spans="2:6" x14ac:dyDescent="0.5">
      <c r="B50" s="15" t="s">
        <v>54</v>
      </c>
      <c r="C50" s="49"/>
      <c r="D50" s="49"/>
      <c r="E50" s="49"/>
      <c r="F50" s="46">
        <f>IF(ISERR($F47/E11),"-",$F47/E11)</f>
        <v>1.8732632045534949</v>
      </c>
    </row>
    <row r="51" spans="2:6" x14ac:dyDescent="0.5">
      <c r="B51" s="15" t="s">
        <v>79</v>
      </c>
      <c r="C51" s="49"/>
      <c r="D51" s="49"/>
      <c r="E51" s="49"/>
      <c r="F51" s="46">
        <f>+IF(ISERR(F49-F50),"-",F49-F50)</f>
        <v>1.1657367954465052</v>
      </c>
    </row>
    <row r="52" spans="2:6" x14ac:dyDescent="0.5">
      <c r="C52" s="49"/>
      <c r="D52" s="49"/>
      <c r="E52" s="49"/>
      <c r="F52" s="46"/>
    </row>
    <row r="53" spans="2:6" x14ac:dyDescent="0.5">
      <c r="B53" s="44" t="s">
        <v>80</v>
      </c>
      <c r="C53" s="44"/>
      <c r="D53" s="44"/>
      <c r="E53" s="44"/>
      <c r="F53" s="46"/>
    </row>
    <row r="54" spans="2:6" ht="5.55" customHeight="1" x14ac:dyDescent="0.5">
      <c r="B54" s="16"/>
      <c r="D54" s="49"/>
      <c r="E54" s="16"/>
      <c r="F54" s="46"/>
    </row>
    <row r="55" spans="2:6" x14ac:dyDescent="0.5">
      <c r="B55" s="16"/>
      <c r="D55" s="49"/>
      <c r="E55" s="42" t="s">
        <v>83</v>
      </c>
      <c r="F55" s="46"/>
    </row>
    <row r="56" spans="2:6" x14ac:dyDescent="0.5">
      <c r="B56" s="16"/>
      <c r="D56" s="49"/>
      <c r="E56" s="42" t="s">
        <v>49</v>
      </c>
      <c r="F56" s="46"/>
    </row>
    <row r="57" spans="2:6" ht="16.8" x14ac:dyDescent="0.95">
      <c r="B57" s="19" t="s">
        <v>47</v>
      </c>
      <c r="C57" s="19" t="s">
        <v>84</v>
      </c>
      <c r="D57" s="19" t="s">
        <v>84</v>
      </c>
      <c r="E57" s="20" t="s">
        <v>51</v>
      </c>
      <c r="F57" s="46"/>
    </row>
    <row r="58" spans="2:6" x14ac:dyDescent="0.5">
      <c r="E58" s="66" t="s">
        <v>21</v>
      </c>
      <c r="F58" s="46"/>
    </row>
    <row r="59" spans="2:6" x14ac:dyDescent="0.5">
      <c r="B59" s="38" t="s">
        <v>95</v>
      </c>
      <c r="C59" s="38"/>
      <c r="D59" s="38"/>
      <c r="E59" s="50">
        <v>16.128</v>
      </c>
      <c r="F59" s="46"/>
    </row>
    <row r="60" spans="2:6" x14ac:dyDescent="0.5">
      <c r="B60" s="38"/>
      <c r="C60" s="38"/>
      <c r="D60" s="38"/>
      <c r="E60" s="50"/>
      <c r="F60" s="46"/>
    </row>
    <row r="61" spans="2:6" x14ac:dyDescent="0.5">
      <c r="B61" s="38"/>
      <c r="C61" s="38"/>
      <c r="D61" s="38"/>
      <c r="E61" s="50"/>
      <c r="F61" s="46"/>
    </row>
    <row r="62" spans="2:6" x14ac:dyDescent="0.5">
      <c r="B62" s="38"/>
      <c r="C62" s="38"/>
      <c r="D62" s="38"/>
      <c r="E62" s="50"/>
      <c r="F62" s="46"/>
    </row>
    <row r="63" spans="2:6" x14ac:dyDescent="0.5">
      <c r="B63" s="43"/>
      <c r="C63" s="43"/>
      <c r="D63" s="43"/>
      <c r="E63" s="43"/>
      <c r="F63" s="46"/>
    </row>
    <row r="64" spans="2:6" x14ac:dyDescent="0.5">
      <c r="B64" s="16" t="s">
        <v>52</v>
      </c>
      <c r="D64" s="49"/>
      <c r="E64" s="78">
        <f>SUM(E59:E63)</f>
        <v>16.128</v>
      </c>
      <c r="F64" s="46"/>
    </row>
    <row r="66" spans="2:5" x14ac:dyDescent="0.5">
      <c r="B66" s="44" t="s">
        <v>39</v>
      </c>
      <c r="C66" s="44"/>
      <c r="D66" s="44"/>
      <c r="E66" s="44"/>
    </row>
    <row r="67" spans="2:5" ht="5.25" customHeight="1" x14ac:dyDescent="0.5"/>
    <row r="68" spans="2:5" x14ac:dyDescent="0.5">
      <c r="B68" s="42"/>
      <c r="C68" s="42" t="s">
        <v>56</v>
      </c>
      <c r="D68" s="42" t="s">
        <v>57</v>
      </c>
      <c r="E68" s="42" t="s">
        <v>9</v>
      </c>
    </row>
    <row r="69" spans="2:5" ht="16.8" x14ac:dyDescent="0.95">
      <c r="B69" s="19" t="s">
        <v>55</v>
      </c>
      <c r="C69" s="20" t="s">
        <v>23</v>
      </c>
      <c r="D69" s="20" t="s">
        <v>8</v>
      </c>
      <c r="E69" s="20" t="s">
        <v>58</v>
      </c>
    </row>
    <row r="70" spans="2:5" x14ac:dyDescent="0.5">
      <c r="C70" s="66" t="s">
        <v>21</v>
      </c>
      <c r="D70" s="67" t="s">
        <v>16</v>
      </c>
      <c r="E70" s="66" t="s">
        <v>21</v>
      </c>
    </row>
    <row r="71" spans="2:5" x14ac:dyDescent="0.5">
      <c r="B71" s="38"/>
      <c r="C71" s="52"/>
      <c r="D71" s="48"/>
      <c r="E71" s="46">
        <f>IF(ISNUMBER($D71),IF($E$11&gt;$D71,$C71/$D71,0),0)</f>
        <v>0</v>
      </c>
    </row>
    <row r="72" spans="2:5" x14ac:dyDescent="0.5">
      <c r="B72" s="38"/>
      <c r="C72" s="52"/>
      <c r="D72" s="48"/>
      <c r="E72" s="46">
        <f t="shared" ref="E72:E75" si="2">IF(ISNUMBER($D72),IF($E$11&gt;$D72,$C72/$D72,0),0)</f>
        <v>0</v>
      </c>
    </row>
    <row r="73" spans="2:5" x14ac:dyDescent="0.5">
      <c r="B73" s="38"/>
      <c r="C73" s="52"/>
      <c r="D73" s="48"/>
      <c r="E73" s="46">
        <f t="shared" si="2"/>
        <v>0</v>
      </c>
    </row>
    <row r="74" spans="2:5" x14ac:dyDescent="0.5">
      <c r="B74" s="38"/>
      <c r="C74" s="52"/>
      <c r="D74" s="48"/>
      <c r="E74" s="46">
        <f t="shared" si="2"/>
        <v>0</v>
      </c>
    </row>
    <row r="75" spans="2:5" x14ac:dyDescent="0.5">
      <c r="B75" s="43"/>
      <c r="C75" s="63"/>
      <c r="D75" s="62"/>
      <c r="E75" s="51">
        <f t="shared" si="2"/>
        <v>0</v>
      </c>
    </row>
    <row r="76" spans="2:5" x14ac:dyDescent="0.5">
      <c r="B76" s="16" t="s">
        <v>52</v>
      </c>
      <c r="C76" s="64">
        <f>SUM(C71:C75)</f>
        <v>0</v>
      </c>
      <c r="D76" s="54"/>
      <c r="E76" s="59">
        <f>SUM(E71:E75)</f>
        <v>0</v>
      </c>
    </row>
    <row r="77" spans="2:5" x14ac:dyDescent="0.5">
      <c r="C77" s="49"/>
      <c r="D77" s="49"/>
      <c r="E77" s="49"/>
    </row>
    <row r="78" spans="2:5" x14ac:dyDescent="0.5">
      <c r="B78" s="15" t="s">
        <v>59</v>
      </c>
      <c r="C78" s="49"/>
      <c r="D78" s="49"/>
      <c r="E78" s="65">
        <f>SUMIF(D71:D75,"&lt;"&amp;$E$11,C71:C75)</f>
        <v>0</v>
      </c>
    </row>
    <row r="79" spans="2:5" x14ac:dyDescent="0.5">
      <c r="B79" s="15" t="s">
        <v>60</v>
      </c>
      <c r="C79" s="49"/>
      <c r="D79" s="49"/>
      <c r="E79" s="65">
        <f>+C76-E78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2C3F-E155-4C16-9529-C2535A0F5008}">
  <dimension ref="B1:M62"/>
  <sheetViews>
    <sheetView showGridLines="0" tabSelected="1" zoomScaleNormal="100" workbookViewId="0"/>
  </sheetViews>
  <sheetFormatPr defaultColWidth="9.1015625" defaultRowHeight="14.1" x14ac:dyDescent="0.5"/>
  <cols>
    <col min="1" max="2" width="11" style="1" customWidth="1"/>
    <col min="3" max="3" width="54.41796875" style="1" customWidth="1"/>
    <col min="4" max="5" width="11" style="1" customWidth="1"/>
    <col min="6" max="6" width="24" style="1" customWidth="1"/>
    <col min="7" max="20" width="11" style="1" customWidth="1"/>
    <col min="21" max="16384" width="9.1015625" style="1"/>
  </cols>
  <sheetData>
    <row r="1" spans="2:13" ht="16.5" customHeight="1" x14ac:dyDescent="0.5"/>
    <row r="2" spans="2:13" ht="15.75" customHeight="1" x14ac:dyDescent="0.5"/>
    <row r="3" spans="2:13" ht="19.5" customHeight="1" x14ac:dyDescent="0.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.3" x14ac:dyDescent="0.9">
      <c r="B12" s="2"/>
      <c r="C12" s="3" t="s">
        <v>32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x14ac:dyDescent="0.5">
      <c r="B13" s="2"/>
      <c r="C13" s="2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5.6" x14ac:dyDescent="0.6">
      <c r="B14" s="2"/>
      <c r="C14" s="103" t="s">
        <v>173</v>
      </c>
      <c r="D14" s="103" t="s">
        <v>174</v>
      </c>
      <c r="E14" s="2"/>
      <c r="F14" s="2"/>
      <c r="G14" s="103" t="s">
        <v>66</v>
      </c>
      <c r="H14" s="2"/>
      <c r="I14" s="2"/>
      <c r="J14" s="2"/>
      <c r="K14" s="2"/>
      <c r="L14" s="4"/>
      <c r="M14" s="2"/>
    </row>
    <row r="15" spans="2:13" ht="14.4" x14ac:dyDescent="0.55000000000000004">
      <c r="B15" s="2"/>
      <c r="C15" s="104" t="s">
        <v>154</v>
      </c>
      <c r="D15" s="104" t="s">
        <v>256</v>
      </c>
      <c r="E15" s="2"/>
      <c r="F15" s="2"/>
      <c r="G15" s="104" t="s">
        <v>66</v>
      </c>
      <c r="H15" s="2"/>
      <c r="I15" s="2"/>
      <c r="J15" s="2"/>
      <c r="K15" s="2"/>
      <c r="L15" s="4"/>
      <c r="M15" s="2"/>
    </row>
    <row r="16" spans="2:13" ht="14.4" x14ac:dyDescent="0.55000000000000004">
      <c r="B16" s="2"/>
      <c r="C16" s="2"/>
      <c r="D16" s="104" t="s">
        <v>155</v>
      </c>
      <c r="E16" s="2"/>
      <c r="F16" s="2"/>
      <c r="G16" s="2"/>
      <c r="H16" s="2"/>
      <c r="I16" s="2"/>
      <c r="J16" s="2"/>
      <c r="K16" s="2"/>
      <c r="L16" s="4"/>
      <c r="M16" s="2"/>
    </row>
    <row r="17" spans="2:13" ht="14.4" x14ac:dyDescent="0.55000000000000004">
      <c r="B17" s="2"/>
      <c r="C17" s="2"/>
      <c r="D17" s="104" t="s">
        <v>156</v>
      </c>
      <c r="E17" s="2"/>
      <c r="F17" s="2"/>
      <c r="G17" s="2"/>
      <c r="H17" s="2"/>
      <c r="I17" s="2"/>
      <c r="J17" s="2"/>
      <c r="K17" s="2"/>
      <c r="L17" s="4"/>
      <c r="M17" s="2"/>
    </row>
    <row r="18" spans="2:13" ht="14.4" x14ac:dyDescent="0.55000000000000004">
      <c r="B18" s="2"/>
      <c r="C18" s="2"/>
      <c r="D18" s="104" t="s">
        <v>157</v>
      </c>
      <c r="E18" s="2"/>
      <c r="F18" s="2"/>
      <c r="G18" s="2"/>
      <c r="H18" s="2"/>
      <c r="I18" s="2"/>
      <c r="J18" s="2"/>
      <c r="K18" s="2"/>
      <c r="L18" s="4"/>
      <c r="M18" s="2"/>
    </row>
    <row r="19" spans="2:13" ht="14.4" x14ac:dyDescent="0.55000000000000004">
      <c r="B19" s="2"/>
      <c r="C19" s="2"/>
      <c r="D19" s="104" t="s">
        <v>158</v>
      </c>
      <c r="E19" s="2"/>
      <c r="F19" s="2"/>
      <c r="G19" s="2"/>
      <c r="H19" s="2"/>
      <c r="I19" s="2"/>
      <c r="J19" s="2"/>
      <c r="K19" s="2"/>
      <c r="L19" s="4"/>
      <c r="M19" s="2"/>
    </row>
    <row r="20" spans="2:13" ht="14.4" x14ac:dyDescent="0.55000000000000004">
      <c r="B20" s="2"/>
      <c r="C20" s="2"/>
      <c r="D20" s="104" t="s">
        <v>159</v>
      </c>
      <c r="E20" s="2"/>
      <c r="F20" s="2"/>
      <c r="G20" s="2"/>
      <c r="H20" s="2"/>
      <c r="I20" s="2"/>
      <c r="J20" s="2"/>
      <c r="K20" s="2"/>
      <c r="L20" s="4"/>
      <c r="M20" s="2"/>
    </row>
    <row r="21" spans="2:13" ht="14.4" x14ac:dyDescent="0.55000000000000004">
      <c r="B21" s="2"/>
      <c r="C21" s="2"/>
      <c r="D21" s="104" t="s">
        <v>160</v>
      </c>
      <c r="E21" s="2"/>
      <c r="F21" s="2"/>
      <c r="G21" s="2"/>
      <c r="H21" s="2"/>
      <c r="I21" s="2"/>
      <c r="J21" s="2"/>
      <c r="K21" s="2"/>
      <c r="L21" s="4"/>
      <c r="M21" s="2"/>
    </row>
    <row r="22" spans="2:13" ht="14.4" x14ac:dyDescent="0.55000000000000004">
      <c r="B22" s="2"/>
      <c r="C22" s="2"/>
      <c r="D22" s="104" t="s">
        <v>161</v>
      </c>
      <c r="E22" s="2"/>
      <c r="F22" s="2"/>
      <c r="G22" s="2"/>
      <c r="H22" s="2"/>
      <c r="I22" s="2"/>
      <c r="J22" s="2"/>
      <c r="K22" s="2"/>
      <c r="L22" s="4"/>
      <c r="M22" s="2"/>
    </row>
    <row r="23" spans="2:13" ht="14.4" x14ac:dyDescent="0.55000000000000004">
      <c r="B23" s="2"/>
      <c r="C23" s="2"/>
      <c r="D23" s="104" t="s">
        <v>162</v>
      </c>
      <c r="E23" s="2"/>
      <c r="F23" s="2"/>
      <c r="G23" s="2"/>
      <c r="H23" s="2"/>
      <c r="I23" s="2"/>
      <c r="J23" s="2"/>
      <c r="K23" s="2"/>
      <c r="L23" s="4"/>
      <c r="M23" s="2"/>
    </row>
    <row r="24" spans="2:13" ht="17.25" customHeight="1" x14ac:dyDescent="0.55000000000000004">
      <c r="B24" s="2"/>
      <c r="C24" s="2"/>
      <c r="D24" s="104" t="s">
        <v>163</v>
      </c>
      <c r="E24" s="2"/>
      <c r="F24" s="2"/>
      <c r="G24" s="2"/>
      <c r="H24" s="2"/>
      <c r="I24" s="2"/>
      <c r="J24" s="2"/>
      <c r="K24" s="2"/>
      <c r="L24" s="4"/>
      <c r="M24" s="2"/>
    </row>
    <row r="25" spans="2:13" ht="17.25" customHeight="1" x14ac:dyDescent="0.55000000000000004">
      <c r="B25" s="2"/>
      <c r="C25" s="2"/>
      <c r="D25" s="104" t="s">
        <v>164</v>
      </c>
      <c r="E25" s="2"/>
      <c r="F25" s="2"/>
      <c r="G25" s="2"/>
      <c r="H25" s="2"/>
      <c r="I25" s="2"/>
      <c r="J25" s="2"/>
      <c r="K25" s="2"/>
      <c r="L25" s="4"/>
      <c r="M25" s="2"/>
    </row>
    <row r="26" spans="2:13" ht="17.25" customHeight="1" x14ac:dyDescent="0.55000000000000004">
      <c r="B26" s="2"/>
      <c r="C26" s="2"/>
      <c r="D26" s="104" t="s">
        <v>165</v>
      </c>
      <c r="E26" s="2"/>
      <c r="F26" s="2"/>
      <c r="G26" s="2"/>
      <c r="H26" s="2"/>
      <c r="I26" s="2"/>
      <c r="J26" s="2"/>
      <c r="K26" s="2"/>
      <c r="L26" s="4"/>
      <c r="M26" s="2"/>
    </row>
    <row r="27" spans="2:13" ht="17.25" customHeight="1" x14ac:dyDescent="0.55000000000000004">
      <c r="B27" s="2"/>
      <c r="C27" s="2"/>
      <c r="D27" s="104" t="s">
        <v>166</v>
      </c>
      <c r="E27" s="2"/>
      <c r="F27" s="2"/>
      <c r="G27" s="2"/>
      <c r="H27" s="2"/>
      <c r="I27" s="2"/>
      <c r="J27" s="2"/>
      <c r="K27" s="2"/>
      <c r="L27" s="4"/>
      <c r="M27" s="2"/>
    </row>
    <row r="28" spans="2:13" ht="17.25" customHeight="1" x14ac:dyDescent="0.55000000000000004">
      <c r="B28" s="2"/>
      <c r="C28" s="2"/>
      <c r="D28" s="104" t="s">
        <v>167</v>
      </c>
      <c r="E28" s="2"/>
      <c r="F28" s="2"/>
      <c r="G28" s="2"/>
      <c r="H28" s="2"/>
      <c r="I28" s="2"/>
      <c r="J28" s="2"/>
      <c r="K28" s="2"/>
      <c r="L28" s="4"/>
      <c r="M28" s="2"/>
    </row>
    <row r="29" spans="2:13" ht="17.25" customHeight="1" x14ac:dyDescent="0.55000000000000004">
      <c r="B29" s="2"/>
      <c r="C29" s="2"/>
      <c r="D29" s="104" t="s">
        <v>168</v>
      </c>
      <c r="E29" s="2"/>
      <c r="F29" s="2"/>
      <c r="G29" s="2"/>
      <c r="H29" s="2"/>
      <c r="I29" s="2"/>
      <c r="J29" s="2"/>
      <c r="K29" s="2"/>
      <c r="L29" s="4"/>
      <c r="M29" s="2"/>
    </row>
    <row r="30" spans="2:13" ht="17.25" customHeight="1" x14ac:dyDescent="0.55000000000000004">
      <c r="B30" s="2"/>
      <c r="C30" s="2"/>
      <c r="D30" s="104" t="s">
        <v>169</v>
      </c>
      <c r="E30" s="2"/>
      <c r="F30" s="2"/>
      <c r="G30" s="2"/>
      <c r="H30" s="2"/>
      <c r="I30" s="2"/>
      <c r="J30" s="2"/>
      <c r="K30" s="2"/>
      <c r="L30" s="4"/>
      <c r="M30" s="2"/>
    </row>
    <row r="31" spans="2:13" ht="17.25" customHeight="1" x14ac:dyDescent="0.55000000000000004">
      <c r="B31" s="2"/>
      <c r="C31" s="2"/>
      <c r="D31" s="104" t="s">
        <v>170</v>
      </c>
      <c r="E31" s="2"/>
      <c r="F31" s="2"/>
      <c r="G31" s="2"/>
      <c r="H31" s="2"/>
      <c r="I31" s="2"/>
      <c r="J31" s="2"/>
      <c r="K31" s="2"/>
      <c r="L31" s="4"/>
      <c r="M31" s="2"/>
    </row>
    <row r="32" spans="2:13" ht="17.25" customHeight="1" x14ac:dyDescent="0.55000000000000004">
      <c r="B32" s="2"/>
      <c r="C32" s="2"/>
      <c r="D32" s="104" t="s">
        <v>171</v>
      </c>
      <c r="E32" s="2"/>
      <c r="F32" s="2"/>
      <c r="G32" s="2"/>
      <c r="H32" s="2"/>
      <c r="I32" s="2"/>
      <c r="J32" s="2"/>
      <c r="K32" s="2"/>
      <c r="L32" s="4"/>
      <c r="M32" s="2"/>
    </row>
    <row r="33" spans="2:13" ht="17.25" customHeight="1" x14ac:dyDescent="0.55000000000000004">
      <c r="B33" s="2"/>
      <c r="C33" s="2"/>
      <c r="D33" s="104" t="s">
        <v>172</v>
      </c>
      <c r="E33" s="2"/>
      <c r="F33" s="2"/>
      <c r="G33" s="2"/>
      <c r="H33" s="2"/>
      <c r="I33" s="2"/>
      <c r="J33" s="2"/>
      <c r="K33" s="2"/>
      <c r="L33" s="4"/>
      <c r="M33" s="2"/>
    </row>
    <row r="34" spans="2:13" ht="17.25" customHeight="1" x14ac:dyDescent="0.55000000000000004">
      <c r="B34" s="2"/>
      <c r="C34" s="102"/>
      <c r="D34" s="2"/>
      <c r="E34" s="2"/>
      <c r="F34" s="2"/>
      <c r="G34" s="2"/>
      <c r="H34" s="2"/>
      <c r="I34" s="2"/>
      <c r="J34" s="2"/>
      <c r="K34" s="2"/>
      <c r="L34" s="4"/>
      <c r="M34" s="2"/>
    </row>
    <row r="35" spans="2:13" ht="19.5" customHeight="1" x14ac:dyDescent="0.5">
      <c r="B35" s="2"/>
      <c r="C35" s="2" t="s">
        <v>1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ht="19.5" customHeight="1" x14ac:dyDescent="0.5">
      <c r="B36" s="2"/>
      <c r="C36" s="5" t="s">
        <v>2</v>
      </c>
      <c r="D36" s="5"/>
      <c r="E36" s="5"/>
      <c r="F36" s="5"/>
      <c r="G36" s="5"/>
      <c r="H36" s="5"/>
      <c r="I36" s="5"/>
      <c r="J36" s="5"/>
      <c r="K36" s="5"/>
      <c r="L36" s="5"/>
      <c r="M36" s="2"/>
    </row>
    <row r="37" spans="2:13" ht="19.5" customHeight="1" x14ac:dyDescent="0.5">
      <c r="B37" s="2"/>
      <c r="C37" s="2" t="s">
        <v>3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ht="19.5" customHeight="1" x14ac:dyDescent="0.5">
      <c r="B38" s="2"/>
      <c r="C38" s="6" t="s">
        <v>4</v>
      </c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ht="19.5" customHeight="1" x14ac:dyDescent="0.5">
      <c r="B39" s="2"/>
      <c r="C39" s="6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ht="19.5" customHeight="1" x14ac:dyDescent="0.5">
      <c r="B40" s="2"/>
      <c r="C40" s="7" t="s">
        <v>152</v>
      </c>
      <c r="D40" s="7"/>
      <c r="E40" s="8"/>
      <c r="F40" s="8"/>
      <c r="G40" s="8"/>
      <c r="H40" s="8"/>
      <c r="I40" s="8"/>
      <c r="J40" s="8"/>
      <c r="K40" s="8"/>
      <c r="L40" s="8"/>
      <c r="M40" s="2"/>
    </row>
    <row r="41" spans="2:13" ht="19.5" customHeight="1" x14ac:dyDescent="0.5">
      <c r="B41" s="9"/>
      <c r="C41" s="7" t="s">
        <v>5</v>
      </c>
      <c r="D41" s="7"/>
      <c r="E41" s="7"/>
      <c r="F41" s="7"/>
      <c r="G41" s="7"/>
      <c r="H41" s="7"/>
      <c r="I41" s="7"/>
      <c r="J41" s="7"/>
      <c r="K41" s="7"/>
      <c r="L41" s="7"/>
      <c r="M41" s="9"/>
    </row>
    <row r="42" spans="2:13" ht="19.5" customHeight="1" x14ac:dyDescent="0.5">
      <c r="B42" s="9"/>
      <c r="C42" s="7" t="s">
        <v>6</v>
      </c>
      <c r="D42" s="7"/>
      <c r="E42" s="7"/>
      <c r="F42" s="7"/>
      <c r="G42" s="7"/>
      <c r="H42" s="7"/>
      <c r="I42" s="7"/>
      <c r="J42" s="7"/>
      <c r="K42" s="7"/>
      <c r="L42" s="7"/>
      <c r="M42" s="9"/>
    </row>
    <row r="43" spans="2:13" ht="19.5" customHeight="1" x14ac:dyDescent="0.5">
      <c r="B43" s="9"/>
      <c r="C43" s="7" t="s">
        <v>7</v>
      </c>
      <c r="D43" s="7"/>
      <c r="E43" s="7"/>
      <c r="F43" s="7"/>
      <c r="G43" s="7"/>
      <c r="H43" s="7"/>
      <c r="I43" s="7"/>
      <c r="J43" s="7"/>
      <c r="K43" s="7"/>
      <c r="L43" s="7"/>
      <c r="M43" s="9"/>
    </row>
    <row r="44" spans="2:13" ht="19.5" customHeight="1" x14ac:dyDescent="0.5">
      <c r="B44" s="9"/>
      <c r="C44" s="7"/>
      <c r="D44" s="7"/>
      <c r="E44" s="7"/>
      <c r="F44" s="7"/>
      <c r="G44" s="7"/>
      <c r="H44" s="7"/>
      <c r="I44" s="7"/>
      <c r="J44" s="7"/>
      <c r="K44" s="7"/>
      <c r="L44" s="7"/>
      <c r="M44" s="9"/>
    </row>
    <row r="45" spans="2:13" ht="19.5" customHeight="1" x14ac:dyDescent="0.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2:13" ht="19.5" customHeight="1" x14ac:dyDescent="0.5"/>
    <row r="47" spans="2:13" ht="19.5" customHeight="1" x14ac:dyDescent="0.5"/>
    <row r="48" spans="2:13" ht="19.5" customHeight="1" x14ac:dyDescent="0.5"/>
    <row r="49" ht="19.5" customHeight="1" x14ac:dyDescent="0.5"/>
    <row r="50" ht="19.5" customHeight="1" x14ac:dyDescent="0.5"/>
    <row r="51" ht="19.5" customHeight="1" x14ac:dyDescent="0.5"/>
    <row r="52" ht="19.5" customHeight="1" x14ac:dyDescent="0.5"/>
    <row r="53" ht="19.5" customHeight="1" x14ac:dyDescent="0.5"/>
    <row r="54" ht="19.5" customHeight="1" x14ac:dyDescent="0.5"/>
    <row r="55" ht="19.5" customHeight="1" x14ac:dyDescent="0.5"/>
    <row r="56" ht="19.5" customHeight="1" x14ac:dyDescent="0.5"/>
    <row r="57" ht="19.5" customHeight="1" x14ac:dyDescent="0.5"/>
    <row r="58" ht="19.5" customHeight="1" x14ac:dyDescent="0.5"/>
    <row r="59" ht="19.5" customHeight="1" x14ac:dyDescent="0.5"/>
    <row r="60" ht="19.5" customHeight="1" x14ac:dyDescent="0.5"/>
    <row r="61" ht="19.5" customHeight="1" x14ac:dyDescent="0.5"/>
    <row r="62" ht="19.5" customHeight="1" x14ac:dyDescent="0.5"/>
  </sheetData>
  <hyperlinks>
    <hyperlink ref="C38" r:id="rId1" xr:uid="{B0BDEEC0-9969-47FF-9997-DE3A4AA15AD3}"/>
    <hyperlink ref="C15" location="'Comps Data (Hard-Coded)'!A1" tooltip="Comps Data (Hard-Coded)" display="Comps Data (Hard-Coded)" xr:uid="{6B45CE7A-032A-4E76-9B42-D6B4CE2C365E}"/>
    <hyperlink ref="D15" location="'Comps Data (Capital IQ))'!A1" tooltip="Comps Data (Capital IQ)" display="Comps Data (Capital IQ)" xr:uid="{C95B49D8-B545-4415-807A-1430D115693F}"/>
    <hyperlink ref="D16" location="AMZN!A1" tooltip="Amazon" display="Amazon" xr:uid="{6600A2B2-A07D-4325-9C99-961907750577}"/>
    <hyperlink ref="D17" location="WMT!A1" tooltip="Wal-Mart" display="Wal-Mart" xr:uid="{1435BBB1-0340-4553-9360-ABDC2B34F793}"/>
    <hyperlink ref="D19" location="LOW!A1" tooltip="Lowes" display="Lowes" xr:uid="{14D346C1-C0F3-4768-A236-75462A495005}"/>
    <hyperlink ref="D18" location="HD!A1" tooltip="Home Depot" display="Home Depot" xr:uid="{248A1AF9-7E97-4430-A8CC-610586377608}"/>
    <hyperlink ref="D20" location="TGT!A1" tooltip="Target" display="Target" xr:uid="{DBBA8411-0A6A-44E4-A784-D45C53D232DB}"/>
    <hyperlink ref="D21" location="BABA!A1" tooltip="Alibaba" display="Alibaba" xr:uid="{279234C9-99FC-43FB-BC1F-9E05E5236486}"/>
    <hyperlink ref="D22" location="EBAY!A1" tooltip="Ebay" display="Ebay" xr:uid="{1EBDAF7B-7378-4BD7-BBDC-70D352A2D02B}"/>
    <hyperlink ref="D23" location="ETSY!A1" tooltip="Etsy" display="Etsy" xr:uid="{3272E540-0F37-4BAF-B884-C299F668F2A7}"/>
    <hyperlink ref="D25" location="FB!A1" tooltip="Facebook" display="Facebook" xr:uid="{174F4071-765F-40E6-91A9-6D26A0EFC9F9}"/>
    <hyperlink ref="D26" location="TWTR!A1" tooltip="Twitter" display="Twitter" xr:uid="{B12FE737-CF82-4743-99D1-8F55E30E47DF}"/>
    <hyperlink ref="D27" location="CRM!A1" tooltip="Salesforce.com" display="Salesforce.com" xr:uid="{D5ED8280-1DE2-47A2-B83C-C09BDBF9D409}"/>
    <hyperlink ref="D29" location="VMW!A1" tooltip="VMware" display="VMware" xr:uid="{C89F5137-5603-4C8B-82E8-61938FFDD124}"/>
    <hyperlink ref="D30" location="NFLX!A1" tooltip="Netflix" display="Netflix" xr:uid="{7FB9240D-32A4-4486-9230-156A3922B8BE}"/>
    <hyperlink ref="D31" location="'Cover Page'!A1" tooltip="Spotify" display="Spotify" xr:uid="{E72A2B35-8CB6-4481-BCBC-A4499A9B352A}"/>
    <hyperlink ref="D32" location="ROKU!A1" tooltip="Roku" display="Roku" xr:uid="{0FB8455B-6D7D-498F-91D8-4B786713DC1E}"/>
    <hyperlink ref="D33" location="SIRI!A1" tooltip="SiriusXM" display="SiriusXM" xr:uid="{62BAD26A-061D-4BF2-8B23-7AB0BE46BA92}"/>
    <hyperlink ref="G15" location="'Company Template'!A1" tooltip="Company Template" display="Company Template" xr:uid="{DEF1B508-1AE7-4FD4-885A-5102D2A68E52}"/>
    <hyperlink ref="D24" location="'Cover Page'!A1" tooltip="Google" display="Google" xr:uid="{04AB79B8-C0EF-444F-848A-C442A4CC172D}"/>
    <hyperlink ref="D28" location="'Cover Page'!A1" tooltip="SAP" display="SAP" xr:uid="{14907425-8BDD-459D-AD22-AA7F3EF9FAB6}"/>
  </hyperlinks>
  <pageMargins left="0.7" right="0.7" top="0.75" bottom="0.75" header="0.3" footer="0.3"/>
  <pageSetup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DFCA-CA11-462C-8086-269DE128C087}">
  <dimension ref="A1:Z79"/>
  <sheetViews>
    <sheetView showGridLines="0" zoomScaleNormal="100" workbookViewId="0">
      <selection activeCell="C10" sqref="C10"/>
    </sheetView>
  </sheetViews>
  <sheetFormatPr defaultColWidth="11.68359375" defaultRowHeight="14.1" x14ac:dyDescent="0.5"/>
  <cols>
    <col min="1" max="1" width="5.68359375" style="15" customWidth="1"/>
    <col min="2" max="2" width="50.68359375" style="15" customWidth="1"/>
    <col min="3" max="6" width="15.68359375" style="15" customWidth="1"/>
    <col min="7" max="7" width="50.68359375" style="15" customWidth="1"/>
    <col min="8" max="9" width="15.68359375" style="15" customWidth="1"/>
    <col min="10" max="16384" width="11.68359375" style="15"/>
  </cols>
  <sheetData>
    <row r="1" spans="1:9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</row>
    <row r="2" spans="1:9" s="2" customFormat="1" ht="17.399999999999999" x14ac:dyDescent="0.5">
      <c r="A2" s="12" t="str">
        <f>_xll.ciqfunctions.udf.CIQ($E$10, "IQ_COMPANY_NAME")</f>
        <v>(Invalid Identifier)</v>
      </c>
      <c r="B2" s="12"/>
      <c r="C2" s="12"/>
      <c r="D2" s="12"/>
      <c r="E2" s="12"/>
      <c r="F2" s="12"/>
      <c r="G2" s="12"/>
      <c r="H2" s="12"/>
      <c r="I2" s="12"/>
    </row>
    <row r="3" spans="1:9" s="11" customFormat="1" ht="15" x14ac:dyDescent="0.5">
      <c r="A3" s="36" t="s">
        <v>102</v>
      </c>
      <c r="B3" s="14"/>
      <c r="C3" s="14"/>
      <c r="D3" s="14"/>
      <c r="E3" s="13"/>
      <c r="F3" s="13"/>
      <c r="G3" s="13"/>
      <c r="H3" s="13"/>
      <c r="I3" s="13"/>
    </row>
    <row r="4" spans="1:9" x14ac:dyDescent="0.5">
      <c r="B4" s="15" t="str">
        <f>'Comps Data (Capital IQ))'!$AG$2</f>
        <v>Currency</v>
      </c>
      <c r="C4" s="15" t="str">
        <f>'Comps Data (Capital IQ))'!$AH$2</f>
        <v>USD</v>
      </c>
    </row>
    <row r="6" spans="1:9" ht="15" x14ac:dyDescent="0.5">
      <c r="B6" s="37" t="str">
        <f>_xll.ciqfunctions.udf.CIQ($E$10, "IQ_COMPANY_NAME")</f>
        <v>(Invalid Identifier)</v>
      </c>
      <c r="C6" s="13"/>
      <c r="D6" s="13"/>
      <c r="E6" s="13"/>
      <c r="F6" s="13"/>
      <c r="G6" s="13"/>
      <c r="H6" s="13"/>
      <c r="I6" s="13"/>
    </row>
    <row r="8" spans="1:9" x14ac:dyDescent="0.5">
      <c r="B8" s="44" t="s">
        <v>24</v>
      </c>
      <c r="C8" s="44"/>
      <c r="D8" s="44"/>
      <c r="E8" s="44"/>
      <c r="G8" s="44" t="s">
        <v>43</v>
      </c>
      <c r="H8" s="45"/>
      <c r="I8" s="45"/>
    </row>
    <row r="9" spans="1:9" ht="5.25" customHeight="1" x14ac:dyDescent="0.5"/>
    <row r="10" spans="1:9" ht="16.8" x14ac:dyDescent="0.95">
      <c r="B10" s="15" t="s">
        <v>35</v>
      </c>
      <c r="C10" s="105" t="s">
        <v>253</v>
      </c>
      <c r="E10" s="47" t="str">
        <f>_xll.ciqfunctions.udf.CIQ("NYSE:VMW", "IQ_COMPANY_TICKER")</f>
        <v>(Invalid Identifier)</v>
      </c>
      <c r="G10" s="39" t="s">
        <v>41</v>
      </c>
      <c r="H10" s="20" t="s">
        <v>26</v>
      </c>
      <c r="I10" s="20" t="s">
        <v>27</v>
      </c>
    </row>
    <row r="11" spans="1:9" x14ac:dyDescent="0.5">
      <c r="B11" s="15" t="s">
        <v>71</v>
      </c>
      <c r="E11" s="48" t="str">
        <f>_xll.ciqfunctions.udf.CIQ(E10, "IQ_LASTSALEPRICE", E12,$C$4)</f>
        <v>(Invalid Identifier)</v>
      </c>
      <c r="G11" s="15" t="s">
        <v>25</v>
      </c>
      <c r="H11" s="52" t="str">
        <f>_xll.ciqfunctions.udf.CIQ($E$10, "IQ_REVENUE_EST", "FY2021",,,,$C$4)</f>
        <v>(Invalid Identifier)</v>
      </c>
      <c r="I11" s="52" t="str">
        <f>_xll.ciqfunctions.udf.CIQ($E$10, "IQ_REVENUE_EST", "FY2022",,,,$C$4)</f>
        <v>(Invalid Identifier)</v>
      </c>
    </row>
    <row r="12" spans="1:9" x14ac:dyDescent="0.5">
      <c r="B12" s="15" t="s">
        <v>36</v>
      </c>
      <c r="E12" s="81">
        <f>'Comps Data (Capital IQ))'!$AH$3</f>
        <v>44275</v>
      </c>
      <c r="G12" s="15" t="s">
        <v>11</v>
      </c>
      <c r="H12" s="52" t="str">
        <f>_xll.ciqfunctions.udf.CIQ($E$10, "IQ_EBITDA_EST", "FY2021",,,,$C$4)</f>
        <v>(Invalid Identifier)</v>
      </c>
      <c r="I12" s="52" t="str">
        <f>_xll.ciqfunctions.udf.CIQ($E$10, "IQ_EBITDA_EST", "FY2022",,,,$C$4)</f>
        <v>(Invalid Identifier)</v>
      </c>
    </row>
    <row r="13" spans="1:9" x14ac:dyDescent="0.5">
      <c r="E13" s="49"/>
      <c r="G13" s="15" t="s">
        <v>12</v>
      </c>
      <c r="H13" s="52" t="str">
        <f>_xll.ciqfunctions.udf.CIQ($E$10, "IQ_NI_REPORTED_EST", "FY2021",,,,$C$4)</f>
        <v>(Invalid Identifier)</v>
      </c>
      <c r="I13" s="52" t="str">
        <f>_xll.ciqfunctions.udf.CIQ($E$10, "IQ_NI_REPORTED_EST", "FY2022",,,,$C$4)</f>
        <v>(Invalid Identifier)</v>
      </c>
    </row>
    <row r="14" spans="1:9" x14ac:dyDescent="0.5">
      <c r="B14" s="40" t="s">
        <v>37</v>
      </c>
      <c r="E14" s="49"/>
      <c r="G14" s="15" t="s">
        <v>28</v>
      </c>
      <c r="H14" s="52" t="str">
        <f>_xll.ciqfunctions.udf.CIQ($E$10, "IQ_CASH_OPER_EST", "FY2021",,,,$C$4)</f>
        <v>(Invalid Identifier)</v>
      </c>
      <c r="I14" s="52" t="str">
        <f>_xll.ciqfunctions.udf.CIQ($E$10, "IQ_CASH_OPER_EST", "FY2022",,,,$C$4)</f>
        <v>(Invalid Identifier)</v>
      </c>
    </row>
    <row r="15" spans="1:9" x14ac:dyDescent="0.5">
      <c r="B15" s="15" t="s">
        <v>72</v>
      </c>
      <c r="E15" s="82" t="str">
        <f>_xll.ciqfunctions.udf.CIQ(E10, "IQ_TOTAL_OUTSTANDING_BS_DATE", , E12)</f>
        <v>(Invalid Identifier)</v>
      </c>
      <c r="H15" s="49"/>
      <c r="I15" s="49"/>
    </row>
    <row r="16" spans="1:9" ht="16.5" customHeight="1" x14ac:dyDescent="0.5">
      <c r="B16" s="72" t="s">
        <v>82</v>
      </c>
      <c r="C16" s="72"/>
      <c r="D16" s="72"/>
      <c r="E16" s="75">
        <f>+E64</f>
        <v>20.207999999999998</v>
      </c>
      <c r="H16" s="49"/>
      <c r="I16" s="49"/>
    </row>
    <row r="17" spans="2:9" ht="16.5" customHeight="1" x14ac:dyDescent="0.5">
      <c r="B17" s="72" t="s">
        <v>73</v>
      </c>
      <c r="C17" s="72"/>
      <c r="D17" s="72"/>
      <c r="E17" s="75" t="str">
        <f>+F51</f>
        <v>-</v>
      </c>
      <c r="G17" s="73" t="s">
        <v>42</v>
      </c>
      <c r="H17" s="77" t="s">
        <v>26</v>
      </c>
      <c r="I17" s="77" t="s">
        <v>27</v>
      </c>
    </row>
    <row r="18" spans="2:9" ht="16.5" customHeight="1" x14ac:dyDescent="0.5">
      <c r="B18" s="74" t="s">
        <v>74</v>
      </c>
      <c r="C18" s="74"/>
      <c r="D18" s="74"/>
      <c r="E18" s="76">
        <f>+E76</f>
        <v>0</v>
      </c>
      <c r="G18" s="15" t="s">
        <v>25</v>
      </c>
      <c r="H18" s="55" t="str">
        <f>IFERROR($E$32/H11,"-")</f>
        <v>-</v>
      </c>
      <c r="I18" s="55" t="str">
        <f>IFERROR($E$32/I11,"-")</f>
        <v>-</v>
      </c>
    </row>
    <row r="19" spans="2:9" x14ac:dyDescent="0.5">
      <c r="B19" s="72" t="s">
        <v>81</v>
      </c>
      <c r="E19" s="79">
        <f>SUM(E15:E18)</f>
        <v>20.207999999999998</v>
      </c>
      <c r="G19" s="15" t="s">
        <v>11</v>
      </c>
      <c r="H19" s="55" t="str">
        <f>IFERROR($E$32/H12,"-")</f>
        <v>-</v>
      </c>
      <c r="I19" s="55" t="str">
        <f>IFERROR($E$32/I12,"-")</f>
        <v>-</v>
      </c>
    </row>
    <row r="20" spans="2:9" x14ac:dyDescent="0.5">
      <c r="E20" s="49"/>
      <c r="G20" s="15" t="s">
        <v>12</v>
      </c>
      <c r="H20" s="55" t="str">
        <f>IFERROR($E$21/H13,"-")</f>
        <v>-</v>
      </c>
      <c r="I20" s="55" t="str">
        <f>IFERROR($E$21/I13,"-")</f>
        <v>-</v>
      </c>
    </row>
    <row r="21" spans="2:9" x14ac:dyDescent="0.5">
      <c r="B21" s="16" t="s">
        <v>38</v>
      </c>
      <c r="C21" s="16"/>
      <c r="D21" s="16"/>
      <c r="E21" s="64" t="e">
        <f>+E11*E19</f>
        <v>#VALUE!</v>
      </c>
      <c r="G21" s="15" t="s">
        <v>28</v>
      </c>
      <c r="H21" s="55" t="str">
        <f>IFERROR($E$21/H14,"-")</f>
        <v>-</v>
      </c>
      <c r="I21" s="55" t="str">
        <f>IFERROR($E$21/I14,"-")</f>
        <v>-</v>
      </c>
    </row>
    <row r="22" spans="2:9" x14ac:dyDescent="0.5">
      <c r="E22" s="49"/>
      <c r="H22" s="49"/>
      <c r="I22" s="49"/>
    </row>
    <row r="23" spans="2:9" x14ac:dyDescent="0.5">
      <c r="B23" s="15" t="s">
        <v>76</v>
      </c>
      <c r="E23" s="52" t="str">
        <f>_xll.ciqfunctions.udf.CIQ(E10, "IQ_CASH_EQUIV", , E12, , , $C$4)</f>
        <v>(Invalid Identifier)</v>
      </c>
      <c r="G23" s="15" t="s">
        <v>45</v>
      </c>
      <c r="H23" s="49"/>
      <c r="I23" s="55" t="str">
        <f>IFERROR(E29/E34,"-")</f>
        <v>-</v>
      </c>
    </row>
    <row r="24" spans="2:9" x14ac:dyDescent="0.5">
      <c r="E24" s="49"/>
      <c r="G24" s="15" t="s">
        <v>77</v>
      </c>
      <c r="H24" s="49"/>
      <c r="I24" s="56" t="str">
        <f>IFERROR(E29/(E29+E34),"-")</f>
        <v>-</v>
      </c>
    </row>
    <row r="25" spans="2:9" x14ac:dyDescent="0.5">
      <c r="B25" s="15" t="s">
        <v>86</v>
      </c>
      <c r="E25" s="80" t="str">
        <f>_xll.ciqfunctions.udf.CIQ(E10, "IQ_TOTAL_DEBT", , E12, , , $C$4)</f>
        <v>(Invalid Identifier)</v>
      </c>
      <c r="G25" s="15" t="s">
        <v>78</v>
      </c>
      <c r="I25" s="56" t="str">
        <f>IFERROR(E29/(E29+E21),"-")</f>
        <v>-</v>
      </c>
    </row>
    <row r="26" spans="2:9" x14ac:dyDescent="0.5">
      <c r="B26" s="15" t="s">
        <v>89</v>
      </c>
      <c r="E26" s="80" t="str">
        <f>_xll.ciqfunctions.udf.CIQ(E10, "IQ_CONVERT", , E12, , , $C$4)</f>
        <v>(Invalid Identifier)</v>
      </c>
      <c r="I26" s="56"/>
    </row>
    <row r="27" spans="2:9" x14ac:dyDescent="0.5">
      <c r="B27" s="15" t="s">
        <v>88</v>
      </c>
      <c r="E27" s="65" t="e">
        <f>+E25-E26</f>
        <v>#VALUE!</v>
      </c>
    </row>
    <row r="28" spans="2:9" x14ac:dyDescent="0.5">
      <c r="B28" s="41" t="s">
        <v>90</v>
      </c>
      <c r="C28" s="41"/>
      <c r="D28" s="41"/>
      <c r="E28" s="53">
        <f>+E79</f>
        <v>0</v>
      </c>
    </row>
    <row r="29" spans="2:9" x14ac:dyDescent="0.5">
      <c r="B29" s="16" t="s">
        <v>87</v>
      </c>
      <c r="C29" s="16"/>
      <c r="D29" s="16"/>
      <c r="E29" s="64" t="e">
        <f>+E27+E28</f>
        <v>#VALUE!</v>
      </c>
    </row>
    <row r="30" spans="2:9" x14ac:dyDescent="0.5">
      <c r="B30" s="16"/>
      <c r="C30" s="16"/>
      <c r="D30" s="16"/>
      <c r="E30" s="54"/>
    </row>
    <row r="31" spans="2:9" x14ac:dyDescent="0.5">
      <c r="B31" s="15" t="s">
        <v>10</v>
      </c>
      <c r="E31" s="65" t="e">
        <f>+E29-E23</f>
        <v>#VALUE!</v>
      </c>
    </row>
    <row r="32" spans="2:9" x14ac:dyDescent="0.5">
      <c r="B32" s="16" t="s">
        <v>40</v>
      </c>
      <c r="C32" s="16"/>
      <c r="D32" s="16"/>
      <c r="E32" s="64" t="e">
        <f>+E21+E31</f>
        <v>#VALUE!</v>
      </c>
    </row>
    <row r="33" spans="2:26" x14ac:dyDescent="0.5">
      <c r="E33" s="49"/>
    </row>
    <row r="34" spans="2:26" x14ac:dyDescent="0.5">
      <c r="B34" s="15" t="s">
        <v>44</v>
      </c>
      <c r="E34" s="52" t="str">
        <f>_xll.ciqfunctions.udf.CIQ(E10, "IQ_TOTAL_EQUITY", , E12, , , $C$4)</f>
        <v>(Invalid Identifier)</v>
      </c>
    </row>
    <row r="36" spans="2:26" x14ac:dyDescent="0.5">
      <c r="B36" s="44" t="s">
        <v>46</v>
      </c>
      <c r="C36" s="44"/>
      <c r="D36" s="44"/>
      <c r="E36" s="44"/>
      <c r="F36" s="44"/>
    </row>
    <row r="37" spans="2:26" ht="5.25" customHeight="1" x14ac:dyDescent="0.5"/>
    <row r="38" spans="2:26" x14ac:dyDescent="0.5">
      <c r="B38" s="42"/>
      <c r="C38" s="42" t="s">
        <v>49</v>
      </c>
      <c r="D38" s="42" t="s">
        <v>48</v>
      </c>
      <c r="E38" s="42" t="s">
        <v>49</v>
      </c>
      <c r="F38" s="42"/>
    </row>
    <row r="39" spans="2:26" ht="16.8" x14ac:dyDescent="0.95">
      <c r="B39" s="19" t="s">
        <v>47</v>
      </c>
      <c r="C39" s="20" t="s">
        <v>51</v>
      </c>
      <c r="D39" s="20" t="s">
        <v>8</v>
      </c>
      <c r="E39" s="20" t="s">
        <v>91</v>
      </c>
      <c r="F39" s="20" t="s">
        <v>50</v>
      </c>
    </row>
    <row r="40" spans="2:26" s="66" customFormat="1" ht="10.199999999999999" x14ac:dyDescent="0.35">
      <c r="C40" s="66" t="s">
        <v>21</v>
      </c>
      <c r="D40" s="67" t="s">
        <v>16</v>
      </c>
      <c r="E40" s="66" t="s">
        <v>21</v>
      </c>
      <c r="F40" s="67" t="s">
        <v>20</v>
      </c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9"/>
      <c r="S40" s="67"/>
      <c r="T40" s="67"/>
      <c r="U40" s="67"/>
      <c r="V40" s="67"/>
      <c r="W40" s="67"/>
      <c r="X40" s="67"/>
      <c r="Y40" s="67"/>
      <c r="Z40" s="67"/>
    </row>
    <row r="41" spans="2:26" x14ac:dyDescent="0.5">
      <c r="B41" s="38"/>
      <c r="C41" s="50"/>
      <c r="D41" s="48"/>
      <c r="E41" s="46">
        <f>+IF(D41&lt;$E$11,C41,0)</f>
        <v>0</v>
      </c>
      <c r="F41" s="57">
        <f>+D41*E41</f>
        <v>0</v>
      </c>
    </row>
    <row r="42" spans="2:26" x14ac:dyDescent="0.5">
      <c r="B42" s="38"/>
      <c r="C42" s="50"/>
      <c r="D42" s="48"/>
      <c r="E42" s="46">
        <f t="shared" ref="E42:E46" si="0">+IF(D42&lt;$E$11,C42,0)</f>
        <v>0</v>
      </c>
      <c r="F42" s="57">
        <f t="shared" ref="F42:F46" si="1">+D42*E42</f>
        <v>0</v>
      </c>
    </row>
    <row r="43" spans="2:26" x14ac:dyDescent="0.5">
      <c r="B43" s="38"/>
      <c r="C43" s="50"/>
      <c r="D43" s="48"/>
      <c r="E43" s="46">
        <f t="shared" si="0"/>
        <v>0</v>
      </c>
      <c r="F43" s="57">
        <f t="shared" si="1"/>
        <v>0</v>
      </c>
    </row>
    <row r="44" spans="2:26" x14ac:dyDescent="0.5">
      <c r="B44" s="38"/>
      <c r="C44" s="50"/>
      <c r="D44" s="48"/>
      <c r="E44" s="46">
        <f t="shared" si="0"/>
        <v>0</v>
      </c>
      <c r="F44" s="57">
        <f t="shared" si="1"/>
        <v>0</v>
      </c>
    </row>
    <row r="45" spans="2:26" x14ac:dyDescent="0.5">
      <c r="B45" s="38"/>
      <c r="C45" s="50"/>
      <c r="D45" s="48"/>
      <c r="E45" s="46">
        <f t="shared" si="0"/>
        <v>0</v>
      </c>
      <c r="F45" s="57">
        <f t="shared" si="1"/>
        <v>0</v>
      </c>
    </row>
    <row r="46" spans="2:26" x14ac:dyDescent="0.5">
      <c r="B46" s="43"/>
      <c r="C46" s="61"/>
      <c r="D46" s="62"/>
      <c r="E46" s="51">
        <f t="shared" si="0"/>
        <v>0</v>
      </c>
      <c r="F46" s="58">
        <f t="shared" si="1"/>
        <v>0</v>
      </c>
    </row>
    <row r="47" spans="2:26" x14ac:dyDescent="0.5">
      <c r="B47" s="16" t="s">
        <v>52</v>
      </c>
      <c r="C47" s="54"/>
      <c r="D47" s="54"/>
      <c r="E47" s="59">
        <f>SUM(E41:E46)</f>
        <v>0</v>
      </c>
      <c r="F47" s="60">
        <f>SUM(F41:F46)</f>
        <v>0</v>
      </c>
    </row>
    <row r="48" spans="2:26" x14ac:dyDescent="0.5">
      <c r="C48" s="49"/>
      <c r="D48" s="49"/>
      <c r="E48" s="49"/>
      <c r="F48" s="49"/>
    </row>
    <row r="49" spans="2:6" x14ac:dyDescent="0.5">
      <c r="B49" s="15" t="s">
        <v>53</v>
      </c>
      <c r="C49" s="49"/>
      <c r="D49" s="49"/>
      <c r="E49" s="49"/>
      <c r="F49" s="46">
        <f>+E47</f>
        <v>0</v>
      </c>
    </row>
    <row r="50" spans="2:6" x14ac:dyDescent="0.5">
      <c r="B50" s="15" t="s">
        <v>54</v>
      </c>
      <c r="C50" s="49"/>
      <c r="D50" s="49"/>
      <c r="E50" s="49"/>
      <c r="F50" s="46" t="str">
        <f>IF(ISERR($F47/E11),"-",$F47/E11)</f>
        <v>-</v>
      </c>
    </row>
    <row r="51" spans="2:6" x14ac:dyDescent="0.5">
      <c r="B51" s="15" t="s">
        <v>79</v>
      </c>
      <c r="C51" s="49"/>
      <c r="D51" s="49"/>
      <c r="E51" s="49"/>
      <c r="F51" s="46" t="str">
        <f>+IF(ISERR(F49-F50),"-",F49-F50)</f>
        <v>-</v>
      </c>
    </row>
    <row r="52" spans="2:6" x14ac:dyDescent="0.5">
      <c r="C52" s="49"/>
      <c r="D52" s="49"/>
      <c r="E52" s="49"/>
      <c r="F52" s="46"/>
    </row>
    <row r="53" spans="2:6" x14ac:dyDescent="0.5">
      <c r="B53" s="44" t="s">
        <v>80</v>
      </c>
      <c r="C53" s="44"/>
      <c r="D53" s="44"/>
      <c r="E53" s="44"/>
      <c r="F53" s="46"/>
    </row>
    <row r="54" spans="2:6" ht="5.55" customHeight="1" x14ac:dyDescent="0.5">
      <c r="B54" s="16"/>
      <c r="D54" s="49"/>
      <c r="E54" s="16"/>
      <c r="F54" s="46"/>
    </row>
    <row r="55" spans="2:6" x14ac:dyDescent="0.5">
      <c r="B55" s="16"/>
      <c r="D55" s="49"/>
      <c r="E55" s="42" t="s">
        <v>83</v>
      </c>
      <c r="F55" s="46"/>
    </row>
    <row r="56" spans="2:6" x14ac:dyDescent="0.5">
      <c r="B56" s="16"/>
      <c r="D56" s="49"/>
      <c r="E56" s="42" t="s">
        <v>49</v>
      </c>
      <c r="F56" s="46"/>
    </row>
    <row r="57" spans="2:6" ht="16.8" x14ac:dyDescent="0.95">
      <c r="B57" s="19" t="s">
        <v>47</v>
      </c>
      <c r="C57" s="19" t="s">
        <v>84</v>
      </c>
      <c r="D57" s="19" t="s">
        <v>84</v>
      </c>
      <c r="E57" s="20" t="s">
        <v>51</v>
      </c>
      <c r="F57" s="46"/>
    </row>
    <row r="58" spans="2:6" x14ac:dyDescent="0.5">
      <c r="E58" s="66" t="s">
        <v>21</v>
      </c>
      <c r="F58" s="46"/>
    </row>
    <row r="59" spans="2:6" x14ac:dyDescent="0.5">
      <c r="B59" s="38" t="s">
        <v>95</v>
      </c>
      <c r="C59" s="38"/>
      <c r="D59" s="38"/>
      <c r="E59" s="50">
        <v>20.207999999999998</v>
      </c>
      <c r="F59" s="46"/>
    </row>
    <row r="60" spans="2:6" x14ac:dyDescent="0.5">
      <c r="B60" s="38"/>
      <c r="C60" s="38"/>
      <c r="D60" s="38"/>
      <c r="E60" s="50"/>
      <c r="F60" s="46"/>
    </row>
    <row r="61" spans="2:6" x14ac:dyDescent="0.5">
      <c r="B61" s="38"/>
      <c r="C61" s="38"/>
      <c r="D61" s="38"/>
      <c r="E61" s="50"/>
      <c r="F61" s="46"/>
    </row>
    <row r="62" spans="2:6" x14ac:dyDescent="0.5">
      <c r="B62" s="38"/>
      <c r="C62" s="38"/>
      <c r="D62" s="38"/>
      <c r="E62" s="50"/>
      <c r="F62" s="46"/>
    </row>
    <row r="63" spans="2:6" x14ac:dyDescent="0.5">
      <c r="B63" s="43"/>
      <c r="C63" s="43"/>
      <c r="D63" s="43"/>
      <c r="E63" s="43"/>
      <c r="F63" s="46"/>
    </row>
    <row r="64" spans="2:6" x14ac:dyDescent="0.5">
      <c r="B64" s="16" t="s">
        <v>52</v>
      </c>
      <c r="D64" s="49"/>
      <c r="E64" s="78">
        <f>SUM(E59:E63)</f>
        <v>20.207999999999998</v>
      </c>
      <c r="F64" s="46"/>
    </row>
    <row r="66" spans="2:5" x14ac:dyDescent="0.5">
      <c r="B66" s="44" t="s">
        <v>39</v>
      </c>
      <c r="C66" s="44"/>
      <c r="D66" s="44"/>
      <c r="E66" s="44"/>
    </row>
    <row r="67" spans="2:5" ht="5.25" customHeight="1" x14ac:dyDescent="0.5"/>
    <row r="68" spans="2:5" x14ac:dyDescent="0.5">
      <c r="B68" s="42"/>
      <c r="C68" s="42" t="s">
        <v>56</v>
      </c>
      <c r="D68" s="42" t="s">
        <v>57</v>
      </c>
      <c r="E68" s="42" t="s">
        <v>9</v>
      </c>
    </row>
    <row r="69" spans="2:5" ht="16.8" x14ac:dyDescent="0.95">
      <c r="B69" s="19" t="s">
        <v>55</v>
      </c>
      <c r="C69" s="20" t="s">
        <v>23</v>
      </c>
      <c r="D69" s="20" t="s">
        <v>8</v>
      </c>
      <c r="E69" s="20" t="s">
        <v>58</v>
      </c>
    </row>
    <row r="70" spans="2:5" x14ac:dyDescent="0.5">
      <c r="C70" s="66" t="s">
        <v>21</v>
      </c>
      <c r="D70" s="67" t="s">
        <v>16</v>
      </c>
      <c r="E70" s="66" t="s">
        <v>21</v>
      </c>
    </row>
    <row r="71" spans="2:5" x14ac:dyDescent="0.5">
      <c r="B71" s="38"/>
      <c r="C71" s="52"/>
      <c r="D71" s="48"/>
      <c r="E71" s="46">
        <f>IF(ISNUMBER($D71),IF($E$11&gt;$D71,$C71/$D71,0),0)</f>
        <v>0</v>
      </c>
    </row>
    <row r="72" spans="2:5" x14ac:dyDescent="0.5">
      <c r="B72" s="38"/>
      <c r="C72" s="52"/>
      <c r="D72" s="48"/>
      <c r="E72" s="46">
        <f t="shared" ref="E72:E75" si="2">IF(ISNUMBER($D72),IF($E$11&gt;$D72,$C72/$D72,0),0)</f>
        <v>0</v>
      </c>
    </row>
    <row r="73" spans="2:5" x14ac:dyDescent="0.5">
      <c r="B73" s="38"/>
      <c r="C73" s="52"/>
      <c r="D73" s="48"/>
      <c r="E73" s="46">
        <f t="shared" si="2"/>
        <v>0</v>
      </c>
    </row>
    <row r="74" spans="2:5" x14ac:dyDescent="0.5">
      <c r="B74" s="38"/>
      <c r="C74" s="52"/>
      <c r="D74" s="48"/>
      <c r="E74" s="46">
        <f t="shared" si="2"/>
        <v>0</v>
      </c>
    </row>
    <row r="75" spans="2:5" x14ac:dyDescent="0.5">
      <c r="B75" s="43"/>
      <c r="C75" s="63"/>
      <c r="D75" s="62"/>
      <c r="E75" s="51">
        <f t="shared" si="2"/>
        <v>0</v>
      </c>
    </row>
    <row r="76" spans="2:5" x14ac:dyDescent="0.5">
      <c r="B76" s="16" t="s">
        <v>52</v>
      </c>
      <c r="C76" s="64">
        <f>SUM(C71:C75)</f>
        <v>0</v>
      </c>
      <c r="D76" s="54"/>
      <c r="E76" s="59">
        <f>SUM(E71:E75)</f>
        <v>0</v>
      </c>
    </row>
    <row r="77" spans="2:5" x14ac:dyDescent="0.5">
      <c r="C77" s="49"/>
      <c r="D77" s="49"/>
      <c r="E77" s="49"/>
    </row>
    <row r="78" spans="2:5" x14ac:dyDescent="0.5">
      <c r="B78" s="15" t="s">
        <v>59</v>
      </c>
      <c r="C78" s="49"/>
      <c r="D78" s="49"/>
      <c r="E78" s="65">
        <f>SUMIF(D71:D75,"&lt;"&amp;$E$11,C71:C75)</f>
        <v>0</v>
      </c>
    </row>
    <row r="79" spans="2:5" x14ac:dyDescent="0.5">
      <c r="B79" s="15" t="s">
        <v>60</v>
      </c>
      <c r="C79" s="49"/>
      <c r="D79" s="49"/>
      <c r="E79" s="65">
        <f>+C76-E78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299F-8406-41B0-9ACD-8C49585635D5}">
  <dimension ref="A1:Z79"/>
  <sheetViews>
    <sheetView showGridLines="0" zoomScaleNormal="100" workbookViewId="0"/>
  </sheetViews>
  <sheetFormatPr defaultColWidth="11.68359375" defaultRowHeight="14.1" x14ac:dyDescent="0.5"/>
  <cols>
    <col min="1" max="1" width="5.68359375" style="15" customWidth="1"/>
    <col min="2" max="2" width="50.68359375" style="15" customWidth="1"/>
    <col min="3" max="6" width="15.68359375" style="15" customWidth="1"/>
    <col min="7" max="7" width="50.68359375" style="15" customWidth="1"/>
    <col min="8" max="9" width="15.68359375" style="15" customWidth="1"/>
    <col min="10" max="16384" width="11.68359375" style="15"/>
  </cols>
  <sheetData>
    <row r="1" spans="1:9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</row>
    <row r="2" spans="1:9" s="2" customFormat="1" ht="17.399999999999999" x14ac:dyDescent="0.5">
      <c r="A2" s="12" t="str">
        <f>_xll.ciqfunctions.udf.CIQ($E$10, "IQ_COMPANY_NAME")</f>
        <v>Netflix, Inc.</v>
      </c>
      <c r="B2" s="12"/>
      <c r="C2" s="12"/>
      <c r="D2" s="12"/>
      <c r="E2" s="12"/>
      <c r="F2" s="12"/>
      <c r="G2" s="12"/>
      <c r="H2" s="12"/>
      <c r="I2" s="12"/>
    </row>
    <row r="3" spans="1:9" s="11" customFormat="1" ht="15" x14ac:dyDescent="0.5">
      <c r="A3" s="36" t="s">
        <v>102</v>
      </c>
      <c r="B3" s="14"/>
      <c r="C3" s="14"/>
      <c r="D3" s="14"/>
      <c r="E3" s="13"/>
      <c r="F3" s="13"/>
      <c r="G3" s="13"/>
      <c r="H3" s="13"/>
      <c r="I3" s="13"/>
    </row>
    <row r="4" spans="1:9" x14ac:dyDescent="0.5">
      <c r="B4" s="15" t="str">
        <f>'Comps Data (Capital IQ))'!$AG$2</f>
        <v>Currency</v>
      </c>
      <c r="C4" s="15" t="str">
        <f>'Comps Data (Capital IQ))'!$AH$2</f>
        <v>USD</v>
      </c>
    </row>
    <row r="6" spans="1:9" ht="15" x14ac:dyDescent="0.5">
      <c r="B6" s="37" t="str">
        <f>_xll.ciqfunctions.udf.CIQ($E$10, "IQ_COMPANY_NAME")</f>
        <v>Netflix, Inc.</v>
      </c>
      <c r="C6" s="13"/>
      <c r="D6" s="13"/>
      <c r="E6" s="13"/>
      <c r="F6" s="13"/>
      <c r="G6" s="13"/>
      <c r="H6" s="13"/>
      <c r="I6" s="13"/>
    </row>
    <row r="8" spans="1:9" x14ac:dyDescent="0.5">
      <c r="B8" s="44" t="s">
        <v>24</v>
      </c>
      <c r="C8" s="44"/>
      <c r="D8" s="44"/>
      <c r="E8" s="44"/>
      <c r="G8" s="44" t="s">
        <v>43</v>
      </c>
      <c r="H8" s="45"/>
      <c r="I8" s="45"/>
    </row>
    <row r="9" spans="1:9" ht="5.25" customHeight="1" x14ac:dyDescent="0.5"/>
    <row r="10" spans="1:9" ht="16.8" x14ac:dyDescent="0.95">
      <c r="B10" s="15" t="s">
        <v>35</v>
      </c>
      <c r="E10" s="47" t="str">
        <f>_xll.ciqfunctions.udf.CIQ("NasdaqGS:NFLX", "IQ_COMPANY_TICKER")</f>
        <v>NasdaqGS:NFLX</v>
      </c>
      <c r="G10" s="39" t="s">
        <v>41</v>
      </c>
      <c r="H10" s="20" t="s">
        <v>26</v>
      </c>
      <c r="I10" s="20" t="s">
        <v>27</v>
      </c>
    </row>
    <row r="11" spans="1:9" x14ac:dyDescent="0.5">
      <c r="B11" s="15" t="s">
        <v>71</v>
      </c>
      <c r="E11" s="48">
        <f>_xll.ciqfunctions.udf.CIQ(E10, "IQ_LASTSALEPRICE", E12,$C$4)</f>
        <v>512.17999999999995</v>
      </c>
      <c r="G11" s="15" t="s">
        <v>25</v>
      </c>
      <c r="H11" s="52">
        <f>_xll.ciqfunctions.udf.CIQ($E$10, "IQ_REVENUE_EST", "FY2021",,,,$C$4)</f>
        <v>29703.321530000001</v>
      </c>
      <c r="I11" s="52">
        <f>_xll.ciqfunctions.udf.CIQ($E$10, "IQ_REVENUE_EST", "FY2022",,,,$C$4)</f>
        <v>31612.0059</v>
      </c>
    </row>
    <row r="12" spans="1:9" x14ac:dyDescent="0.5">
      <c r="B12" s="15" t="s">
        <v>36</v>
      </c>
      <c r="E12" s="81">
        <f>'Comps Data (Capital IQ))'!$AH$3</f>
        <v>44275</v>
      </c>
      <c r="G12" s="15" t="s">
        <v>11</v>
      </c>
      <c r="H12" s="52">
        <f>_xll.ciqfunctions.udf.CIQ($E$10, "IQ_EBITDA_EST", "FY2021",,,,$C$4)</f>
        <v>6720.9058599999998</v>
      </c>
      <c r="I12" s="52">
        <f>_xll.ciqfunctions.udf.CIQ($E$10, "IQ_EBITDA_EST", "FY2022",,,,$C$4)</f>
        <v>6336.7177199999996</v>
      </c>
    </row>
    <row r="13" spans="1:9" x14ac:dyDescent="0.5">
      <c r="E13" s="49"/>
      <c r="G13" s="15" t="s">
        <v>12</v>
      </c>
      <c r="H13" s="52">
        <f>_xll.ciqfunctions.udf.CIQ($E$10, "IQ_NI_REPORTED_EST", "FY2021",,,,$C$4)</f>
        <v>4884.25227</v>
      </c>
      <c r="I13" s="52">
        <f>_xll.ciqfunctions.udf.CIQ($E$10, "IQ_NI_REPORTED_EST", "FY2022",,,,$C$4)</f>
        <v>4646.4760699999997</v>
      </c>
    </row>
    <row r="14" spans="1:9" x14ac:dyDescent="0.5">
      <c r="B14" s="40" t="s">
        <v>37</v>
      </c>
      <c r="E14" s="49"/>
      <c r="G14" s="15" t="s">
        <v>28</v>
      </c>
      <c r="H14" s="52">
        <f>_xll.ciqfunctions.udf.CIQ($E$10, "IQ_CASH_OPER_EST", "FY2021",,,,$C$4)</f>
        <v>478.09744000000001</v>
      </c>
      <c r="I14" s="52">
        <f>_xll.ciqfunctions.udf.CIQ($E$10, "IQ_CASH_OPER_EST", "FY2022",,,,$C$4)</f>
        <v>1531.9472800000001</v>
      </c>
    </row>
    <row r="15" spans="1:9" x14ac:dyDescent="0.5">
      <c r="B15" s="15" t="s">
        <v>72</v>
      </c>
      <c r="E15" s="82">
        <f>_xll.ciqfunctions.udf.CIQ(E10, "IQ_TOTAL_OUTSTANDING_BS_DATE", , E12)</f>
        <v>442.89526000000001</v>
      </c>
      <c r="H15" s="49"/>
      <c r="I15" s="49"/>
    </row>
    <row r="16" spans="1:9" ht="16.5" customHeight="1" x14ac:dyDescent="0.5">
      <c r="B16" s="72" t="s">
        <v>82</v>
      </c>
      <c r="C16" s="72"/>
      <c r="D16" s="72"/>
      <c r="E16" s="75">
        <f>+E64</f>
        <v>0</v>
      </c>
      <c r="H16" s="49"/>
      <c r="I16" s="49"/>
    </row>
    <row r="17" spans="2:9" ht="16.5" customHeight="1" x14ac:dyDescent="0.5">
      <c r="B17" s="72" t="s">
        <v>73</v>
      </c>
      <c r="C17" s="72"/>
      <c r="D17" s="72"/>
      <c r="E17" s="75">
        <f>+F51</f>
        <v>13.495304903471435</v>
      </c>
      <c r="G17" s="73" t="s">
        <v>42</v>
      </c>
      <c r="H17" s="77" t="s">
        <v>26</v>
      </c>
      <c r="I17" s="77" t="s">
        <v>27</v>
      </c>
    </row>
    <row r="18" spans="2:9" ht="16.5" customHeight="1" x14ac:dyDescent="0.5">
      <c r="B18" s="74" t="s">
        <v>74</v>
      </c>
      <c r="C18" s="74"/>
      <c r="D18" s="74"/>
      <c r="E18" s="76">
        <f>+E76</f>
        <v>0</v>
      </c>
      <c r="G18" s="15" t="s">
        <v>25</v>
      </c>
      <c r="H18" s="55">
        <f>IFERROR($E$32/H11,"-")</f>
        <v>8.2165691566097383</v>
      </c>
      <c r="I18" s="55">
        <f>IFERROR($E$32/I11,"-")</f>
        <v>7.7204653290369016</v>
      </c>
    </row>
    <row r="19" spans="2:9" x14ac:dyDescent="0.5">
      <c r="B19" s="72" t="s">
        <v>81</v>
      </c>
      <c r="E19" s="79">
        <f>SUM(E15:E18)</f>
        <v>456.39056490347144</v>
      </c>
      <c r="G19" s="15" t="s">
        <v>11</v>
      </c>
      <c r="H19" s="55">
        <f>IFERROR($E$32/H12,"-")</f>
        <v>36.313467353381434</v>
      </c>
      <c r="I19" s="55">
        <f>IFERROR($E$32/I12,"-")</f>
        <v>38.515112447246587</v>
      </c>
    </row>
    <row r="20" spans="2:9" x14ac:dyDescent="0.5">
      <c r="E20" s="49"/>
      <c r="G20" s="15" t="s">
        <v>12</v>
      </c>
      <c r="H20" s="55">
        <f>IFERROR($E$21/H13,"-")</f>
        <v>47.858731820225977</v>
      </c>
      <c r="I20" s="55">
        <f>IFERROR($E$21/I13,"-")</f>
        <v>50.307828128394938</v>
      </c>
    </row>
    <row r="21" spans="2:9" x14ac:dyDescent="0.5">
      <c r="B21" s="16" t="s">
        <v>38</v>
      </c>
      <c r="C21" s="16"/>
      <c r="D21" s="16"/>
      <c r="E21" s="64">
        <f>+E11*E19</f>
        <v>233754.11953225997</v>
      </c>
      <c r="G21" s="15" t="s">
        <v>28</v>
      </c>
      <c r="H21" s="55">
        <f>IFERROR($E$21/H14,"-")</f>
        <v>488.92568747546517</v>
      </c>
      <c r="I21" s="55">
        <f>IFERROR($E$21/I14,"-")</f>
        <v>152.58626885140586</v>
      </c>
    </row>
    <row r="22" spans="2:9" x14ac:dyDescent="0.5">
      <c r="E22" s="49"/>
      <c r="H22" s="49"/>
      <c r="I22" s="49"/>
    </row>
    <row r="23" spans="2:9" x14ac:dyDescent="0.5">
      <c r="B23" s="15" t="s">
        <v>76</v>
      </c>
      <c r="E23" s="52">
        <f>_xll.ciqfunctions.udf.CIQ(E10, "IQ_CASH_EQUIV", , E12, , , $C$4)</f>
        <v>8205.5499999999993</v>
      </c>
      <c r="G23" s="15" t="s">
        <v>45</v>
      </c>
      <c r="H23" s="49"/>
      <c r="I23" s="55">
        <f>IFERROR(E29/E34,"-")</f>
        <v>1.6728806605188864</v>
      </c>
    </row>
    <row r="24" spans="2:9" x14ac:dyDescent="0.5">
      <c r="E24" s="49"/>
      <c r="G24" s="15" t="s">
        <v>77</v>
      </c>
      <c r="H24" s="49"/>
      <c r="I24" s="56">
        <f>IFERROR(E29/(E29+E34),"-")</f>
        <v>0.6258718113490821</v>
      </c>
    </row>
    <row r="25" spans="2:9" x14ac:dyDescent="0.5">
      <c r="B25" s="15" t="s">
        <v>86</v>
      </c>
      <c r="E25" s="80">
        <f>_xll.ciqfunctions.udf.CIQ(E10, "IQ_TOTAL_DEBT", , E12, , , $C$4)</f>
        <v>18510.826000000001</v>
      </c>
      <c r="G25" s="15" t="s">
        <v>78</v>
      </c>
      <c r="I25" s="56">
        <f>IFERROR(E29/(E29+E21),"-")</f>
        <v>7.3378510680283213E-2</v>
      </c>
    </row>
    <row r="26" spans="2:9" x14ac:dyDescent="0.5">
      <c r="B26" s="15" t="s">
        <v>89</v>
      </c>
      <c r="E26" s="80">
        <f>_xll.ciqfunctions.udf.CIQ(E10, "IQ_CONVERT", , E12, , , $C$4)</f>
        <v>0</v>
      </c>
      <c r="I26" s="56"/>
    </row>
    <row r="27" spans="2:9" x14ac:dyDescent="0.5">
      <c r="B27" s="15" t="s">
        <v>88</v>
      </c>
      <c r="E27" s="65">
        <f>+E25-E26</f>
        <v>18510.826000000001</v>
      </c>
    </row>
    <row r="28" spans="2:9" x14ac:dyDescent="0.5">
      <c r="B28" s="41" t="s">
        <v>90</v>
      </c>
      <c r="C28" s="41"/>
      <c r="D28" s="41"/>
      <c r="E28" s="53">
        <f>+E79</f>
        <v>0</v>
      </c>
    </row>
    <row r="29" spans="2:9" x14ac:dyDescent="0.5">
      <c r="B29" s="16" t="s">
        <v>87</v>
      </c>
      <c r="C29" s="16"/>
      <c r="D29" s="16"/>
      <c r="E29" s="64">
        <f>+E27+E28</f>
        <v>18510.826000000001</v>
      </c>
    </row>
    <row r="30" spans="2:9" x14ac:dyDescent="0.5">
      <c r="B30" s="16"/>
      <c r="C30" s="16"/>
      <c r="D30" s="16"/>
      <c r="E30" s="54"/>
    </row>
    <row r="31" spans="2:9" x14ac:dyDescent="0.5">
      <c r="B31" s="15" t="s">
        <v>10</v>
      </c>
      <c r="E31" s="65">
        <f>+E29-E23</f>
        <v>10305.276000000002</v>
      </c>
    </row>
    <row r="32" spans="2:9" x14ac:dyDescent="0.5">
      <c r="B32" s="16" t="s">
        <v>40</v>
      </c>
      <c r="C32" s="16"/>
      <c r="D32" s="16"/>
      <c r="E32" s="64">
        <f>+E21+E31</f>
        <v>244059.39553225998</v>
      </c>
    </row>
    <row r="33" spans="2:26" x14ac:dyDescent="0.5">
      <c r="E33" s="49"/>
    </row>
    <row r="34" spans="2:26" x14ac:dyDescent="0.5">
      <c r="B34" s="15" t="s">
        <v>44</v>
      </c>
      <c r="E34" s="52">
        <f>_xll.ciqfunctions.udf.CIQ(E10, "IQ_TOTAL_EQUITY", , E12, , , $C$4)</f>
        <v>11065.24</v>
      </c>
    </row>
    <row r="36" spans="2:26" x14ac:dyDescent="0.5">
      <c r="B36" s="44" t="s">
        <v>46</v>
      </c>
      <c r="C36" s="44"/>
      <c r="D36" s="44"/>
      <c r="E36" s="44"/>
      <c r="F36" s="44"/>
    </row>
    <row r="37" spans="2:26" ht="5.25" customHeight="1" x14ac:dyDescent="0.5"/>
    <row r="38" spans="2:26" x14ac:dyDescent="0.5">
      <c r="B38" s="42"/>
      <c r="C38" s="42" t="s">
        <v>49</v>
      </c>
      <c r="D38" s="42" t="s">
        <v>48</v>
      </c>
      <c r="E38" s="42" t="s">
        <v>49</v>
      </c>
      <c r="F38" s="42"/>
    </row>
    <row r="39" spans="2:26" ht="16.8" x14ac:dyDescent="0.95">
      <c r="B39" s="19" t="s">
        <v>47</v>
      </c>
      <c r="C39" s="20" t="s">
        <v>51</v>
      </c>
      <c r="D39" s="20" t="s">
        <v>8</v>
      </c>
      <c r="E39" s="20" t="s">
        <v>91</v>
      </c>
      <c r="F39" s="20" t="s">
        <v>50</v>
      </c>
    </row>
    <row r="40" spans="2:26" s="66" customFormat="1" ht="10.199999999999999" x14ac:dyDescent="0.35">
      <c r="C40" s="66" t="s">
        <v>21</v>
      </c>
      <c r="D40" s="67" t="s">
        <v>16</v>
      </c>
      <c r="E40" s="66" t="s">
        <v>21</v>
      </c>
      <c r="F40" s="67" t="s">
        <v>20</v>
      </c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9"/>
      <c r="S40" s="67"/>
      <c r="T40" s="67"/>
      <c r="U40" s="67"/>
      <c r="V40" s="67"/>
      <c r="W40" s="67"/>
      <c r="X40" s="67"/>
      <c r="Y40" s="67"/>
      <c r="Z40" s="67"/>
    </row>
    <row r="41" spans="2:26" x14ac:dyDescent="0.5">
      <c r="B41" s="38" t="s">
        <v>97</v>
      </c>
      <c r="C41" s="50">
        <v>19.369011</v>
      </c>
      <c r="D41" s="48">
        <v>155.32</v>
      </c>
      <c r="E41" s="46">
        <f>+IF(D41&lt;$E$11,C41,0)</f>
        <v>19.369011</v>
      </c>
      <c r="F41" s="57">
        <f>+D41*E41</f>
        <v>3008.39478852</v>
      </c>
    </row>
    <row r="42" spans="2:26" x14ac:dyDescent="0.5">
      <c r="B42" s="38"/>
      <c r="C42" s="50"/>
      <c r="D42" s="48"/>
      <c r="E42" s="46">
        <f t="shared" ref="E42:E46" si="0">+IF(D42&lt;$E$11,C42,0)</f>
        <v>0</v>
      </c>
      <c r="F42" s="57">
        <f t="shared" ref="F42:F46" si="1">+D42*E42</f>
        <v>0</v>
      </c>
    </row>
    <row r="43" spans="2:26" x14ac:dyDescent="0.5">
      <c r="B43" s="38"/>
      <c r="C43" s="50"/>
      <c r="D43" s="48"/>
      <c r="E43" s="46">
        <f t="shared" si="0"/>
        <v>0</v>
      </c>
      <c r="F43" s="57">
        <f t="shared" si="1"/>
        <v>0</v>
      </c>
    </row>
    <row r="44" spans="2:26" x14ac:dyDescent="0.5">
      <c r="B44" s="38"/>
      <c r="C44" s="50"/>
      <c r="D44" s="48"/>
      <c r="E44" s="46">
        <f t="shared" si="0"/>
        <v>0</v>
      </c>
      <c r="F44" s="57">
        <f t="shared" si="1"/>
        <v>0</v>
      </c>
    </row>
    <row r="45" spans="2:26" x14ac:dyDescent="0.5">
      <c r="B45" s="38"/>
      <c r="C45" s="50"/>
      <c r="D45" s="48"/>
      <c r="E45" s="46">
        <f t="shared" si="0"/>
        <v>0</v>
      </c>
      <c r="F45" s="57">
        <f t="shared" si="1"/>
        <v>0</v>
      </c>
    </row>
    <row r="46" spans="2:26" x14ac:dyDescent="0.5">
      <c r="B46" s="43"/>
      <c r="C46" s="61"/>
      <c r="D46" s="62"/>
      <c r="E46" s="51">
        <f t="shared" si="0"/>
        <v>0</v>
      </c>
      <c r="F46" s="58">
        <f t="shared" si="1"/>
        <v>0</v>
      </c>
    </row>
    <row r="47" spans="2:26" x14ac:dyDescent="0.5">
      <c r="B47" s="16" t="s">
        <v>52</v>
      </c>
      <c r="C47" s="54"/>
      <c r="D47" s="54"/>
      <c r="E47" s="59">
        <f>SUM(E41:E46)</f>
        <v>19.369011</v>
      </c>
      <c r="F47" s="60">
        <f>SUM(F41:F46)</f>
        <v>3008.39478852</v>
      </c>
    </row>
    <row r="48" spans="2:26" x14ac:dyDescent="0.5">
      <c r="C48" s="49"/>
      <c r="D48" s="49"/>
      <c r="E48" s="49"/>
      <c r="F48" s="49"/>
    </row>
    <row r="49" spans="2:6" x14ac:dyDescent="0.5">
      <c r="B49" s="15" t="s">
        <v>53</v>
      </c>
      <c r="C49" s="49"/>
      <c r="D49" s="49"/>
      <c r="E49" s="49"/>
      <c r="F49" s="46">
        <f>+E47</f>
        <v>19.369011</v>
      </c>
    </row>
    <row r="50" spans="2:6" x14ac:dyDescent="0.5">
      <c r="B50" s="15" t="s">
        <v>54</v>
      </c>
      <c r="C50" s="49"/>
      <c r="D50" s="49"/>
      <c r="E50" s="49"/>
      <c r="F50" s="46">
        <f>IF(ISERR($F47/E11),"-",$F47/E11)</f>
        <v>5.873706096528565</v>
      </c>
    </row>
    <row r="51" spans="2:6" x14ac:dyDescent="0.5">
      <c r="B51" s="15" t="s">
        <v>79</v>
      </c>
      <c r="C51" s="49"/>
      <c r="D51" s="49"/>
      <c r="E51" s="49"/>
      <c r="F51" s="46">
        <f>+IF(ISERR(F49-F50),"-",F49-F50)</f>
        <v>13.495304903471435</v>
      </c>
    </row>
    <row r="52" spans="2:6" x14ac:dyDescent="0.5">
      <c r="C52" s="49"/>
      <c r="D52" s="49"/>
      <c r="E52" s="49"/>
      <c r="F52" s="46"/>
    </row>
    <row r="53" spans="2:6" x14ac:dyDescent="0.5">
      <c r="B53" s="44" t="s">
        <v>80</v>
      </c>
      <c r="C53" s="44"/>
      <c r="D53" s="44"/>
      <c r="E53" s="44"/>
      <c r="F53" s="46"/>
    </row>
    <row r="54" spans="2:6" ht="5.55" customHeight="1" x14ac:dyDescent="0.5">
      <c r="B54" s="16"/>
      <c r="D54" s="49"/>
      <c r="E54" s="16"/>
      <c r="F54" s="46"/>
    </row>
    <row r="55" spans="2:6" x14ac:dyDescent="0.5">
      <c r="B55" s="16"/>
      <c r="D55" s="49"/>
      <c r="E55" s="42" t="s">
        <v>83</v>
      </c>
      <c r="F55" s="46"/>
    </row>
    <row r="56" spans="2:6" x14ac:dyDescent="0.5">
      <c r="B56" s="16"/>
      <c r="D56" s="49"/>
      <c r="E56" s="42" t="s">
        <v>49</v>
      </c>
      <c r="F56" s="46"/>
    </row>
    <row r="57" spans="2:6" ht="16.8" x14ac:dyDescent="0.95">
      <c r="B57" s="19" t="s">
        <v>47</v>
      </c>
      <c r="C57" s="19" t="s">
        <v>84</v>
      </c>
      <c r="D57" s="19" t="s">
        <v>84</v>
      </c>
      <c r="E57" s="20" t="s">
        <v>51</v>
      </c>
      <c r="F57" s="46"/>
    </row>
    <row r="58" spans="2:6" x14ac:dyDescent="0.5">
      <c r="E58" s="66" t="s">
        <v>21</v>
      </c>
      <c r="F58" s="46"/>
    </row>
    <row r="59" spans="2:6" x14ac:dyDescent="0.5">
      <c r="B59" s="38"/>
      <c r="C59" s="38"/>
      <c r="D59" s="38"/>
      <c r="E59" s="50"/>
      <c r="F59" s="46"/>
    </row>
    <row r="60" spans="2:6" x14ac:dyDescent="0.5">
      <c r="B60" s="38"/>
      <c r="C60" s="38"/>
      <c r="D60" s="38"/>
      <c r="E60" s="38"/>
      <c r="F60" s="46"/>
    </row>
    <row r="61" spans="2:6" x14ac:dyDescent="0.5">
      <c r="B61" s="38"/>
      <c r="C61" s="38"/>
      <c r="D61" s="38"/>
      <c r="E61" s="38"/>
      <c r="F61" s="46"/>
    </row>
    <row r="62" spans="2:6" x14ac:dyDescent="0.5">
      <c r="B62" s="38"/>
      <c r="C62" s="38"/>
      <c r="D62" s="38"/>
      <c r="E62" s="38"/>
      <c r="F62" s="46"/>
    </row>
    <row r="63" spans="2:6" x14ac:dyDescent="0.5">
      <c r="B63" s="43"/>
      <c r="C63" s="43"/>
      <c r="D63" s="43"/>
      <c r="E63" s="43"/>
      <c r="F63" s="46"/>
    </row>
    <row r="64" spans="2:6" x14ac:dyDescent="0.5">
      <c r="B64" s="16" t="s">
        <v>52</v>
      </c>
      <c r="D64" s="49"/>
      <c r="E64" s="78">
        <f>SUM(E59:E63)</f>
        <v>0</v>
      </c>
      <c r="F64" s="46"/>
    </row>
    <row r="66" spans="2:5" x14ac:dyDescent="0.5">
      <c r="B66" s="44" t="s">
        <v>39</v>
      </c>
      <c r="C66" s="44"/>
      <c r="D66" s="44"/>
      <c r="E66" s="44"/>
    </row>
    <row r="67" spans="2:5" ht="5.25" customHeight="1" x14ac:dyDescent="0.5"/>
    <row r="68" spans="2:5" x14ac:dyDescent="0.5">
      <c r="B68" s="42"/>
      <c r="C68" s="42" t="s">
        <v>56</v>
      </c>
      <c r="D68" s="42" t="s">
        <v>57</v>
      </c>
      <c r="E68" s="42" t="s">
        <v>9</v>
      </c>
    </row>
    <row r="69" spans="2:5" ht="16.8" x14ac:dyDescent="0.95">
      <c r="B69" s="19" t="s">
        <v>55</v>
      </c>
      <c r="C69" s="20" t="s">
        <v>23</v>
      </c>
      <c r="D69" s="20" t="s">
        <v>8</v>
      </c>
      <c r="E69" s="20" t="s">
        <v>58</v>
      </c>
    </row>
    <row r="70" spans="2:5" x14ac:dyDescent="0.5">
      <c r="C70" s="66" t="s">
        <v>21</v>
      </c>
      <c r="D70" s="67" t="s">
        <v>16</v>
      </c>
      <c r="E70" s="66" t="s">
        <v>21</v>
      </c>
    </row>
    <row r="71" spans="2:5" x14ac:dyDescent="0.5">
      <c r="B71" s="38"/>
      <c r="C71" s="52"/>
      <c r="D71" s="48"/>
      <c r="E71" s="46">
        <f>IF(ISNUMBER($D71),IF($E$11&gt;$D71,$C71/$D71,0),0)</f>
        <v>0</v>
      </c>
    </row>
    <row r="72" spans="2:5" x14ac:dyDescent="0.5">
      <c r="B72" s="38"/>
      <c r="C72" s="52"/>
      <c r="D72" s="48"/>
      <c r="E72" s="46">
        <f t="shared" ref="E72:E75" si="2">IF(ISNUMBER($D72),IF($E$11&gt;$D72,$C72/$D72,0),0)</f>
        <v>0</v>
      </c>
    </row>
    <row r="73" spans="2:5" x14ac:dyDescent="0.5">
      <c r="B73" s="38"/>
      <c r="C73" s="52"/>
      <c r="D73" s="48"/>
      <c r="E73" s="46">
        <f t="shared" si="2"/>
        <v>0</v>
      </c>
    </row>
    <row r="74" spans="2:5" x14ac:dyDescent="0.5">
      <c r="B74" s="38"/>
      <c r="C74" s="52"/>
      <c r="D74" s="48"/>
      <c r="E74" s="46">
        <f t="shared" si="2"/>
        <v>0</v>
      </c>
    </row>
    <row r="75" spans="2:5" x14ac:dyDescent="0.5">
      <c r="B75" s="43"/>
      <c r="C75" s="63"/>
      <c r="D75" s="62"/>
      <c r="E75" s="51">
        <f t="shared" si="2"/>
        <v>0</v>
      </c>
    </row>
    <row r="76" spans="2:5" x14ac:dyDescent="0.5">
      <c r="B76" s="16" t="s">
        <v>52</v>
      </c>
      <c r="C76" s="64">
        <f>SUM(C71:C75)</f>
        <v>0</v>
      </c>
      <c r="D76" s="54"/>
      <c r="E76" s="59">
        <f>SUM(E71:E75)</f>
        <v>0</v>
      </c>
    </row>
    <row r="77" spans="2:5" x14ac:dyDescent="0.5">
      <c r="C77" s="49"/>
      <c r="D77" s="49"/>
      <c r="E77" s="49"/>
    </row>
    <row r="78" spans="2:5" x14ac:dyDescent="0.5">
      <c r="B78" s="15" t="s">
        <v>59</v>
      </c>
      <c r="C78" s="49"/>
      <c r="D78" s="49"/>
      <c r="E78" s="65">
        <f>SUMIF(D71:D75,"&lt;"&amp;$E$11,C71:C75)</f>
        <v>0</v>
      </c>
    </row>
    <row r="79" spans="2:5" x14ac:dyDescent="0.5">
      <c r="B79" s="15" t="s">
        <v>60</v>
      </c>
      <c r="C79" s="49"/>
      <c r="D79" s="49"/>
      <c r="E79" s="65">
        <f>+C76-E78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9B48-F4E3-4B35-A3B6-8445DD9EBA6A}">
  <dimension ref="A1:Z79"/>
  <sheetViews>
    <sheetView showGridLines="0" zoomScaleNormal="100" workbookViewId="0"/>
  </sheetViews>
  <sheetFormatPr defaultColWidth="11.68359375" defaultRowHeight="14.1" x14ac:dyDescent="0.5"/>
  <cols>
    <col min="1" max="1" width="5.68359375" style="15" customWidth="1"/>
    <col min="2" max="2" width="50.68359375" style="15" customWidth="1"/>
    <col min="3" max="6" width="15.68359375" style="15" customWidth="1"/>
    <col min="7" max="7" width="50.68359375" style="15" customWidth="1"/>
    <col min="8" max="9" width="15.68359375" style="15" customWidth="1"/>
    <col min="10" max="16384" width="11.68359375" style="15"/>
  </cols>
  <sheetData>
    <row r="1" spans="1:9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</row>
    <row r="2" spans="1:9" s="2" customFormat="1" ht="17.399999999999999" x14ac:dyDescent="0.5">
      <c r="A2" s="12" t="str">
        <f>_xll.ciqfunctions.udf.CIQ($E$10, "IQ_COMPANY_NAME")</f>
        <v>Spotify Technology S.A.</v>
      </c>
      <c r="B2" s="12"/>
      <c r="C2" s="12"/>
      <c r="D2" s="12"/>
      <c r="E2" s="12"/>
      <c r="F2" s="12"/>
      <c r="G2" s="12"/>
      <c r="H2" s="12"/>
      <c r="I2" s="12"/>
    </row>
    <row r="3" spans="1:9" s="11" customFormat="1" ht="15" x14ac:dyDescent="0.5">
      <c r="A3" s="36" t="s">
        <v>102</v>
      </c>
      <c r="B3" s="14"/>
      <c r="C3" s="14"/>
      <c r="D3" s="14"/>
      <c r="E3" s="13"/>
      <c r="F3" s="13"/>
      <c r="G3" s="13"/>
      <c r="H3" s="13"/>
      <c r="I3" s="13"/>
    </row>
    <row r="4" spans="1:9" x14ac:dyDescent="0.5">
      <c r="B4" s="15" t="str">
        <f>'Comps Data (Capital IQ))'!$AG$2</f>
        <v>Currency</v>
      </c>
      <c r="C4" s="15" t="str">
        <f>'Comps Data (Capital IQ))'!$AH$2</f>
        <v>USD</v>
      </c>
    </row>
    <row r="6" spans="1:9" ht="15" x14ac:dyDescent="0.5">
      <c r="B6" s="37" t="str">
        <f>_xll.ciqfunctions.udf.CIQ($E$10, "IQ_COMPANY_NAME")</f>
        <v>Spotify Technology S.A.</v>
      </c>
      <c r="C6" s="13"/>
      <c r="D6" s="13"/>
      <c r="E6" s="13"/>
      <c r="F6" s="13"/>
      <c r="G6" s="13"/>
      <c r="H6" s="13"/>
      <c r="I6" s="13"/>
    </row>
    <row r="8" spans="1:9" x14ac:dyDescent="0.5">
      <c r="B8" s="44" t="s">
        <v>24</v>
      </c>
      <c r="C8" s="44"/>
      <c r="D8" s="44"/>
      <c r="E8" s="44"/>
      <c r="G8" s="44" t="s">
        <v>43</v>
      </c>
      <c r="H8" s="45"/>
      <c r="I8" s="45"/>
    </row>
    <row r="9" spans="1:9" ht="5.25" customHeight="1" x14ac:dyDescent="0.5"/>
    <row r="10" spans="1:9" ht="16.8" x14ac:dyDescent="0.95">
      <c r="B10" s="15" t="s">
        <v>35</v>
      </c>
      <c r="E10" s="47" t="str">
        <f>_xll.ciqfunctions.udf.CIQ("NYSE:SPOT", "IQ_COMPANY_TICKER")</f>
        <v>NYSE:SPOT</v>
      </c>
      <c r="G10" s="39" t="s">
        <v>41</v>
      </c>
      <c r="H10" s="20" t="s">
        <v>26</v>
      </c>
      <c r="I10" s="20" t="s">
        <v>27</v>
      </c>
    </row>
    <row r="11" spans="1:9" x14ac:dyDescent="0.5">
      <c r="B11" s="15" t="s">
        <v>71</v>
      </c>
      <c r="E11" s="48">
        <f>_xll.ciqfunctions.udf.CIQ(E10, "IQ_LASTSALEPRICE", E12,$C$4)</f>
        <v>272.11</v>
      </c>
      <c r="G11" s="15" t="s">
        <v>25</v>
      </c>
      <c r="H11" s="52">
        <f>_xll.ciqfunctions.udf.CIQ($E$10, "IQ_REVENUE_EST", "FY2021",,,,$C$4)</f>
        <v>10955.177519999999</v>
      </c>
      <c r="I11" s="52">
        <f>_xll.ciqfunctions.udf.CIQ($E$10, "IQ_REVENUE_EST", "FY2022",,,,$C$4)</f>
        <v>12558.48828</v>
      </c>
    </row>
    <row r="12" spans="1:9" x14ac:dyDescent="0.5">
      <c r="B12" s="15" t="s">
        <v>36</v>
      </c>
      <c r="E12" s="81">
        <f>'Comps Data (Capital IQ))'!$AH$3</f>
        <v>44275</v>
      </c>
      <c r="G12" s="15" t="s">
        <v>11</v>
      </c>
      <c r="H12" s="52">
        <f>_xll.ciqfunctions.udf.CIQ($E$10, "IQ_EBITDA_EST", "FY2021",,,,$C$4)</f>
        <v>171.93949000000001</v>
      </c>
      <c r="I12" s="52">
        <f>_xll.ciqfunctions.udf.CIQ($E$10, "IQ_EBITDA_EST", "FY2022",,,,$C$4)</f>
        <v>-576.25774999999999</v>
      </c>
    </row>
    <row r="13" spans="1:9" x14ac:dyDescent="0.5">
      <c r="E13" s="49"/>
      <c r="G13" s="15" t="s">
        <v>12</v>
      </c>
      <c r="H13" s="52">
        <f>_xll.ciqfunctions.udf.CIQ($E$10, "IQ_NI_REPORTED_EST", "FY2021",,,,$C$4)</f>
        <v>-77.454679999999996</v>
      </c>
      <c r="I13" s="52">
        <f>_xll.ciqfunctions.udf.CIQ($E$10, "IQ_NI_REPORTED_EST", "FY2022",,,,$C$4)</f>
        <v>-466.4212</v>
      </c>
    </row>
    <row r="14" spans="1:9" x14ac:dyDescent="0.5">
      <c r="B14" s="40" t="s">
        <v>37</v>
      </c>
      <c r="E14" s="49"/>
      <c r="G14" s="15" t="s">
        <v>28</v>
      </c>
      <c r="H14" s="52">
        <f>_xll.ciqfunctions.udf.CIQ($E$10, "IQ_CASH_OPER_EST", "FY2021",,,,$C$4)</f>
        <v>449.99178999999998</v>
      </c>
      <c r="I14" s="52">
        <f>_xll.ciqfunctions.udf.CIQ($E$10, "IQ_CASH_OPER_EST", "FY2022",,,,$C$4)</f>
        <v>13.12997</v>
      </c>
    </row>
    <row r="15" spans="1:9" x14ac:dyDescent="0.5">
      <c r="B15" s="15" t="s">
        <v>72</v>
      </c>
      <c r="E15" s="82">
        <f>_xll.ciqfunctions.udf.CIQ(E10, "IQ_TOTAL_OUTSTANDING_BS_DATE", , E12)</f>
        <v>190.21285</v>
      </c>
      <c r="H15" s="49"/>
      <c r="I15" s="49"/>
    </row>
    <row r="16" spans="1:9" ht="16.5" customHeight="1" x14ac:dyDescent="0.5">
      <c r="B16" s="72" t="s">
        <v>82</v>
      </c>
      <c r="C16" s="72"/>
      <c r="D16" s="72"/>
      <c r="E16" s="75">
        <f>+E64</f>
        <v>0.84194999999999998</v>
      </c>
      <c r="H16" s="49"/>
      <c r="I16" s="49"/>
    </row>
    <row r="17" spans="2:9" ht="16.5" customHeight="1" x14ac:dyDescent="0.5">
      <c r="B17" s="72" t="s">
        <v>73</v>
      </c>
      <c r="C17" s="72"/>
      <c r="D17" s="72"/>
      <c r="E17" s="75">
        <f>+F51</f>
        <v>7.344253169527029</v>
      </c>
      <c r="G17" s="73" t="s">
        <v>42</v>
      </c>
      <c r="H17" s="77" t="s">
        <v>26</v>
      </c>
      <c r="I17" s="77" t="s">
        <v>27</v>
      </c>
    </row>
    <row r="18" spans="2:9" ht="16.5" customHeight="1" x14ac:dyDescent="0.5">
      <c r="B18" s="74" t="s">
        <v>74</v>
      </c>
      <c r="C18" s="74"/>
      <c r="D18" s="74"/>
      <c r="E18" s="76">
        <f>+E76</f>
        <v>0</v>
      </c>
      <c r="G18" s="15" t="s">
        <v>25</v>
      </c>
      <c r="H18" s="55">
        <f>IFERROR($E$32/H11,"-")</f>
        <v>4.8673009707614501</v>
      </c>
      <c r="I18" s="55">
        <f>IFERROR($E$32/I11,"-")</f>
        <v>4.2459048405434361</v>
      </c>
    </row>
    <row r="19" spans="2:9" x14ac:dyDescent="0.5">
      <c r="B19" s="72" t="s">
        <v>81</v>
      </c>
      <c r="E19" s="79">
        <f>SUM(E15:E18)</f>
        <v>198.39905316952704</v>
      </c>
      <c r="G19" s="15" t="s">
        <v>11</v>
      </c>
      <c r="H19" s="55">
        <f>IFERROR($E$32/H12,"-")</f>
        <v>310.12157927163798</v>
      </c>
      <c r="I19" s="55">
        <f>IFERROR($E$32/I12,"-")</f>
        <v>-92.53176408987126</v>
      </c>
    </row>
    <row r="20" spans="2:9" x14ac:dyDescent="0.5">
      <c r="E20" s="49"/>
      <c r="G20" s="15" t="s">
        <v>12</v>
      </c>
      <c r="H20" s="55">
        <f>IFERROR($E$21/H13,"-")</f>
        <v>-697.0058666301378</v>
      </c>
      <c r="I20" s="55">
        <f>IFERROR($E$21/I13,"-")</f>
        <v>-115.74595313840796</v>
      </c>
    </row>
    <row r="21" spans="2:9" x14ac:dyDescent="0.5">
      <c r="B21" s="16" t="s">
        <v>38</v>
      </c>
      <c r="C21" s="16"/>
      <c r="D21" s="16"/>
      <c r="E21" s="64">
        <f>+E11*E19</f>
        <v>53986.366357960003</v>
      </c>
      <c r="G21" s="15" t="s">
        <v>28</v>
      </c>
      <c r="H21" s="55">
        <f>IFERROR($E$21/H14,"-")</f>
        <v>119.97189183820444</v>
      </c>
      <c r="I21" s="55">
        <f>IFERROR($E$21/I14,"-")</f>
        <v>4111.6900006595597</v>
      </c>
    </row>
    <row r="22" spans="2:9" x14ac:dyDescent="0.5">
      <c r="E22" s="49"/>
      <c r="H22" s="49"/>
      <c r="I22" s="49"/>
    </row>
    <row r="23" spans="2:9" x14ac:dyDescent="0.5">
      <c r="B23" s="15" t="s">
        <v>76</v>
      </c>
      <c r="E23" s="52">
        <f>_xll.ciqfunctions.udf.CIQ(E10, "IQ_CASH_EQUIV", , E12, , , $C$4)</f>
        <v>1407.9510700000001</v>
      </c>
      <c r="G23" s="15" t="s">
        <v>45</v>
      </c>
      <c r="H23" s="49"/>
      <c r="I23" s="55">
        <f>IFERROR(E29/E34,"-")</f>
        <v>0.21675579417915869</v>
      </c>
    </row>
    <row r="24" spans="2:9" x14ac:dyDescent="0.5">
      <c r="E24" s="49"/>
      <c r="G24" s="15" t="s">
        <v>77</v>
      </c>
      <c r="H24" s="49"/>
      <c r="I24" s="56">
        <f>IFERROR(E29/(E29+E34),"-")</f>
        <v>0.17814239736198281</v>
      </c>
    </row>
    <row r="25" spans="2:9" x14ac:dyDescent="0.5">
      <c r="B25" s="15" t="s">
        <v>86</v>
      </c>
      <c r="E25" s="80">
        <f>_xll.ciqfunctions.udf.CIQ(E10, "IQ_TOTAL_DEBT", , E12, , , $C$4)</f>
        <v>743.73089000000004</v>
      </c>
      <c r="G25" s="15" t="s">
        <v>78</v>
      </c>
      <c r="I25" s="56">
        <f>IFERROR(E29/(E29+E21),"-")</f>
        <v>1.3589065749882652E-2</v>
      </c>
    </row>
    <row r="26" spans="2:9" x14ac:dyDescent="0.5">
      <c r="B26" s="15" t="s">
        <v>89</v>
      </c>
      <c r="E26" s="80">
        <f>_xll.ciqfunctions.udf.CIQ(E10, "IQ_CONVERT", , E12, , , $C$4)</f>
        <v>0</v>
      </c>
      <c r="I26" s="56"/>
    </row>
    <row r="27" spans="2:9" x14ac:dyDescent="0.5">
      <c r="B27" s="15" t="s">
        <v>88</v>
      </c>
      <c r="E27" s="65">
        <f>+E25-E26</f>
        <v>743.73089000000004</v>
      </c>
    </row>
    <row r="28" spans="2:9" x14ac:dyDescent="0.5">
      <c r="B28" s="41" t="s">
        <v>90</v>
      </c>
      <c r="C28" s="41"/>
      <c r="D28" s="41"/>
      <c r="E28" s="53">
        <f>+E79</f>
        <v>0</v>
      </c>
    </row>
    <row r="29" spans="2:9" x14ac:dyDescent="0.5">
      <c r="B29" s="16" t="s">
        <v>87</v>
      </c>
      <c r="C29" s="16"/>
      <c r="D29" s="16"/>
      <c r="E29" s="64">
        <f>+E27+E28</f>
        <v>743.73089000000004</v>
      </c>
    </row>
    <row r="30" spans="2:9" x14ac:dyDescent="0.5">
      <c r="B30" s="16"/>
      <c r="C30" s="16"/>
      <c r="D30" s="16"/>
      <c r="E30" s="54"/>
    </row>
    <row r="31" spans="2:9" x14ac:dyDescent="0.5">
      <c r="B31" s="15" t="s">
        <v>10</v>
      </c>
      <c r="E31" s="65">
        <f>+E29-E23</f>
        <v>-664.22018000000003</v>
      </c>
    </row>
    <row r="32" spans="2:9" x14ac:dyDescent="0.5">
      <c r="B32" s="16" t="s">
        <v>40</v>
      </c>
      <c r="C32" s="16"/>
      <c r="D32" s="16"/>
      <c r="E32" s="64">
        <f>+E21+E31</f>
        <v>53322.146177960007</v>
      </c>
    </row>
    <row r="33" spans="2:26" x14ac:dyDescent="0.5">
      <c r="E33" s="49"/>
    </row>
    <row r="34" spans="2:26" x14ac:dyDescent="0.5">
      <c r="B34" s="15" t="s">
        <v>44</v>
      </c>
      <c r="E34" s="52">
        <f>_xll.ciqfunctions.udf.CIQ(E10, "IQ_TOTAL_EQUITY", , E12, , , $C$4)</f>
        <v>3431.1926600000002</v>
      </c>
    </row>
    <row r="36" spans="2:26" x14ac:dyDescent="0.5">
      <c r="B36" s="44" t="s">
        <v>46</v>
      </c>
      <c r="C36" s="44"/>
      <c r="D36" s="44"/>
      <c r="E36" s="44"/>
      <c r="F36" s="44"/>
    </row>
    <row r="37" spans="2:26" ht="5.25" customHeight="1" x14ac:dyDescent="0.5"/>
    <row r="38" spans="2:26" x14ac:dyDescent="0.5">
      <c r="B38" s="42"/>
      <c r="C38" s="42" t="s">
        <v>49</v>
      </c>
      <c r="D38" s="42" t="s">
        <v>48</v>
      </c>
      <c r="E38" s="42" t="s">
        <v>49</v>
      </c>
      <c r="F38" s="42"/>
    </row>
    <row r="39" spans="2:26" ht="16.8" x14ac:dyDescent="0.95">
      <c r="B39" s="19" t="s">
        <v>47</v>
      </c>
      <c r="C39" s="20" t="s">
        <v>51</v>
      </c>
      <c r="D39" s="20" t="s">
        <v>8</v>
      </c>
      <c r="E39" s="20" t="s">
        <v>91</v>
      </c>
      <c r="F39" s="20" t="s">
        <v>50</v>
      </c>
    </row>
    <row r="40" spans="2:26" s="66" customFormat="1" ht="10.199999999999999" x14ac:dyDescent="0.35">
      <c r="C40" s="66" t="s">
        <v>21</v>
      </c>
      <c r="D40" s="67" t="s">
        <v>16</v>
      </c>
      <c r="E40" s="66" t="s">
        <v>21</v>
      </c>
      <c r="F40" s="67" t="s">
        <v>20</v>
      </c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9"/>
      <c r="S40" s="67"/>
      <c r="T40" s="67"/>
      <c r="U40" s="67"/>
      <c r="V40" s="67"/>
      <c r="W40" s="67"/>
      <c r="X40" s="67"/>
      <c r="Y40" s="67"/>
      <c r="Z40" s="67"/>
    </row>
    <row r="41" spans="2:26" x14ac:dyDescent="0.5">
      <c r="B41" s="38" t="s">
        <v>97</v>
      </c>
      <c r="C41" s="50">
        <v>12.153772</v>
      </c>
      <c r="D41" s="48">
        <v>107.68</v>
      </c>
      <c r="E41" s="46">
        <f>+IF(D41&lt;$E$11,C41,0)</f>
        <v>12.153772</v>
      </c>
      <c r="F41" s="57">
        <f>+D41*E41</f>
        <v>1308.7181689600002</v>
      </c>
    </row>
    <row r="42" spans="2:26" x14ac:dyDescent="0.5">
      <c r="B42" s="38"/>
      <c r="C42" s="50"/>
      <c r="D42" s="48"/>
      <c r="E42" s="46">
        <f t="shared" ref="E42:E46" si="0">+IF(D42&lt;$E$11,C42,0)</f>
        <v>0</v>
      </c>
      <c r="F42" s="57">
        <f t="shared" ref="F42:F46" si="1">+D42*E42</f>
        <v>0</v>
      </c>
    </row>
    <row r="43" spans="2:26" x14ac:dyDescent="0.5">
      <c r="B43" s="38"/>
      <c r="C43" s="50"/>
      <c r="D43" s="48"/>
      <c r="E43" s="46">
        <f t="shared" si="0"/>
        <v>0</v>
      </c>
      <c r="F43" s="57">
        <f t="shared" si="1"/>
        <v>0</v>
      </c>
    </row>
    <row r="44" spans="2:26" x14ac:dyDescent="0.5">
      <c r="B44" s="38"/>
      <c r="C44" s="50"/>
      <c r="D44" s="48"/>
      <c r="E44" s="46">
        <f t="shared" si="0"/>
        <v>0</v>
      </c>
      <c r="F44" s="57">
        <f t="shared" si="1"/>
        <v>0</v>
      </c>
    </row>
    <row r="45" spans="2:26" x14ac:dyDescent="0.5">
      <c r="B45" s="38"/>
      <c r="C45" s="50"/>
      <c r="D45" s="48"/>
      <c r="E45" s="46">
        <f t="shared" si="0"/>
        <v>0</v>
      </c>
      <c r="F45" s="57">
        <f t="shared" si="1"/>
        <v>0</v>
      </c>
    </row>
    <row r="46" spans="2:26" x14ac:dyDescent="0.5">
      <c r="B46" s="43"/>
      <c r="C46" s="61"/>
      <c r="D46" s="62"/>
      <c r="E46" s="51">
        <f t="shared" si="0"/>
        <v>0</v>
      </c>
      <c r="F46" s="58">
        <f t="shared" si="1"/>
        <v>0</v>
      </c>
    </row>
    <row r="47" spans="2:26" x14ac:dyDescent="0.5">
      <c r="B47" s="16" t="s">
        <v>52</v>
      </c>
      <c r="C47" s="54"/>
      <c r="D47" s="54"/>
      <c r="E47" s="59">
        <f>SUM(E41:E46)</f>
        <v>12.153772</v>
      </c>
      <c r="F47" s="60">
        <f>SUM(F41:F46)</f>
        <v>1308.7181689600002</v>
      </c>
    </row>
    <row r="48" spans="2:26" x14ac:dyDescent="0.5">
      <c r="C48" s="49"/>
      <c r="D48" s="49"/>
      <c r="E48" s="49"/>
      <c r="F48" s="49"/>
    </row>
    <row r="49" spans="2:6" x14ac:dyDescent="0.5">
      <c r="B49" s="15" t="s">
        <v>53</v>
      </c>
      <c r="C49" s="49"/>
      <c r="D49" s="49"/>
      <c r="E49" s="49"/>
      <c r="F49" s="46">
        <f>+E47</f>
        <v>12.153772</v>
      </c>
    </row>
    <row r="50" spans="2:6" x14ac:dyDescent="0.5">
      <c r="B50" s="15" t="s">
        <v>54</v>
      </c>
      <c r="C50" s="49"/>
      <c r="D50" s="49"/>
      <c r="E50" s="49"/>
      <c r="F50" s="46">
        <f>IF(ISERR($F47/E11),"-",$F47/E11)</f>
        <v>4.809518830472971</v>
      </c>
    </row>
    <row r="51" spans="2:6" x14ac:dyDescent="0.5">
      <c r="B51" s="15" t="s">
        <v>79</v>
      </c>
      <c r="C51" s="49"/>
      <c r="D51" s="49"/>
      <c r="E51" s="49"/>
      <c r="F51" s="46">
        <f>+IF(ISERR(F49-F50),"-",F49-F50)</f>
        <v>7.344253169527029</v>
      </c>
    </row>
    <row r="52" spans="2:6" x14ac:dyDescent="0.5">
      <c r="C52" s="49"/>
      <c r="D52" s="49"/>
      <c r="E52" s="49"/>
      <c r="F52" s="46"/>
    </row>
    <row r="53" spans="2:6" x14ac:dyDescent="0.5">
      <c r="B53" s="44" t="s">
        <v>80</v>
      </c>
      <c r="C53" s="44"/>
      <c r="D53" s="44"/>
      <c r="E53" s="44"/>
      <c r="F53" s="46"/>
    </row>
    <row r="54" spans="2:6" ht="5.55" customHeight="1" x14ac:dyDescent="0.5">
      <c r="B54" s="16"/>
      <c r="D54" s="49"/>
      <c r="E54" s="16"/>
      <c r="F54" s="46"/>
    </row>
    <row r="55" spans="2:6" x14ac:dyDescent="0.5">
      <c r="B55" s="16"/>
      <c r="D55" s="49"/>
      <c r="E55" s="42" t="s">
        <v>83</v>
      </c>
      <c r="F55" s="46"/>
    </row>
    <row r="56" spans="2:6" x14ac:dyDescent="0.5">
      <c r="B56" s="16"/>
      <c r="D56" s="49"/>
      <c r="E56" s="42" t="s">
        <v>49</v>
      </c>
      <c r="F56" s="46"/>
    </row>
    <row r="57" spans="2:6" ht="16.8" x14ac:dyDescent="0.95">
      <c r="B57" s="19" t="s">
        <v>47</v>
      </c>
      <c r="C57" s="19" t="s">
        <v>84</v>
      </c>
      <c r="D57" s="19" t="s">
        <v>84</v>
      </c>
      <c r="E57" s="20" t="s">
        <v>51</v>
      </c>
      <c r="F57" s="46"/>
    </row>
    <row r="58" spans="2:6" x14ac:dyDescent="0.5">
      <c r="E58" s="66" t="s">
        <v>21</v>
      </c>
      <c r="F58" s="46"/>
    </row>
    <row r="59" spans="2:6" x14ac:dyDescent="0.5">
      <c r="B59" s="38" t="s">
        <v>95</v>
      </c>
      <c r="C59" s="38"/>
      <c r="D59" s="38"/>
      <c r="E59" s="50">
        <v>0.63834999999999997</v>
      </c>
      <c r="F59" s="46"/>
    </row>
    <row r="60" spans="2:6" x14ac:dyDescent="0.5">
      <c r="B60" s="38" t="s">
        <v>110</v>
      </c>
      <c r="C60" s="38"/>
      <c r="D60" s="38"/>
      <c r="E60" s="50">
        <v>4.1279999999999997E-2</v>
      </c>
      <c r="F60" s="46"/>
    </row>
    <row r="61" spans="2:6" x14ac:dyDescent="0.5">
      <c r="B61" s="38" t="s">
        <v>119</v>
      </c>
      <c r="C61" s="38"/>
      <c r="D61" s="38"/>
      <c r="E61" s="50">
        <v>0.16231999999999999</v>
      </c>
      <c r="F61" s="46"/>
    </row>
    <row r="62" spans="2:6" x14ac:dyDescent="0.5">
      <c r="B62" s="38"/>
      <c r="C62" s="38"/>
      <c r="D62" s="38"/>
      <c r="E62" s="50"/>
      <c r="F62" s="46"/>
    </row>
    <row r="63" spans="2:6" x14ac:dyDescent="0.5">
      <c r="B63" s="43"/>
      <c r="C63" s="43"/>
      <c r="D63" s="43"/>
      <c r="E63" s="43"/>
      <c r="F63" s="46"/>
    </row>
    <row r="64" spans="2:6" x14ac:dyDescent="0.5">
      <c r="B64" s="16" t="s">
        <v>52</v>
      </c>
      <c r="D64" s="49"/>
      <c r="E64" s="78">
        <f>SUM(E59:E63)</f>
        <v>0.84194999999999998</v>
      </c>
      <c r="F64" s="46"/>
    </row>
    <row r="66" spans="2:5" x14ac:dyDescent="0.5">
      <c r="B66" s="44" t="s">
        <v>39</v>
      </c>
      <c r="C66" s="44"/>
      <c r="D66" s="44"/>
      <c r="E66" s="44"/>
    </row>
    <row r="67" spans="2:5" ht="5.25" customHeight="1" x14ac:dyDescent="0.5"/>
    <row r="68" spans="2:5" x14ac:dyDescent="0.5">
      <c r="B68" s="42"/>
      <c r="C68" s="42" t="s">
        <v>56</v>
      </c>
      <c r="D68" s="42" t="s">
        <v>57</v>
      </c>
      <c r="E68" s="42" t="s">
        <v>9</v>
      </c>
    </row>
    <row r="69" spans="2:5" ht="16.8" x14ac:dyDescent="0.95">
      <c r="B69" s="19" t="s">
        <v>55</v>
      </c>
      <c r="C69" s="20" t="s">
        <v>23</v>
      </c>
      <c r="D69" s="20" t="s">
        <v>8</v>
      </c>
      <c r="E69" s="20" t="s">
        <v>58</v>
      </c>
    </row>
    <row r="70" spans="2:5" x14ac:dyDescent="0.5">
      <c r="C70" s="66" t="s">
        <v>21</v>
      </c>
      <c r="D70" s="67" t="s">
        <v>16</v>
      </c>
      <c r="E70" s="66" t="s">
        <v>21</v>
      </c>
    </row>
    <row r="71" spans="2:5" x14ac:dyDescent="0.5">
      <c r="B71" s="38"/>
      <c r="C71" s="52"/>
      <c r="D71" s="48"/>
      <c r="E71" s="46">
        <f>IF(ISNUMBER($D71),IF($E$11&gt;$D71,$C71/$D71,0),0)</f>
        <v>0</v>
      </c>
    </row>
    <row r="72" spans="2:5" x14ac:dyDescent="0.5">
      <c r="B72" s="38"/>
      <c r="C72" s="52"/>
      <c r="D72" s="48"/>
      <c r="E72" s="46">
        <f t="shared" ref="E72:E75" si="2">IF(ISNUMBER($D72),IF($E$11&gt;$D72,$C72/$D72,0),0)</f>
        <v>0</v>
      </c>
    </row>
    <row r="73" spans="2:5" x14ac:dyDescent="0.5">
      <c r="B73" s="38"/>
      <c r="C73" s="52"/>
      <c r="D73" s="48"/>
      <c r="E73" s="46">
        <f t="shared" si="2"/>
        <v>0</v>
      </c>
    </row>
    <row r="74" spans="2:5" x14ac:dyDescent="0.5">
      <c r="B74" s="38"/>
      <c r="C74" s="52"/>
      <c r="D74" s="48"/>
      <c r="E74" s="46">
        <f t="shared" si="2"/>
        <v>0</v>
      </c>
    </row>
    <row r="75" spans="2:5" x14ac:dyDescent="0.5">
      <c r="B75" s="43"/>
      <c r="C75" s="63"/>
      <c r="D75" s="62"/>
      <c r="E75" s="51">
        <f t="shared" si="2"/>
        <v>0</v>
      </c>
    </row>
    <row r="76" spans="2:5" x14ac:dyDescent="0.5">
      <c r="B76" s="16" t="s">
        <v>52</v>
      </c>
      <c r="C76" s="64">
        <f>SUM(C71:C75)</f>
        <v>0</v>
      </c>
      <c r="D76" s="54"/>
      <c r="E76" s="59">
        <f>SUM(E71:E75)</f>
        <v>0</v>
      </c>
    </row>
    <row r="77" spans="2:5" x14ac:dyDescent="0.5">
      <c r="C77" s="49"/>
      <c r="D77" s="49"/>
      <c r="E77" s="49"/>
    </row>
    <row r="78" spans="2:5" x14ac:dyDescent="0.5">
      <c r="B78" s="15" t="s">
        <v>59</v>
      </c>
      <c r="C78" s="49"/>
      <c r="D78" s="49"/>
      <c r="E78" s="65">
        <f>SUMIF(D71:D75,"&lt;"&amp;$E$11,C71:C75)</f>
        <v>0</v>
      </c>
    </row>
    <row r="79" spans="2:5" x14ac:dyDescent="0.5">
      <c r="B79" s="15" t="s">
        <v>60</v>
      </c>
      <c r="C79" s="49"/>
      <c r="D79" s="49"/>
      <c r="E79" s="65">
        <f>+C76-E78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3B2E-5933-4003-9426-66006051036E}">
  <dimension ref="A1:Z79"/>
  <sheetViews>
    <sheetView showGridLines="0" zoomScaleNormal="100" workbookViewId="0"/>
  </sheetViews>
  <sheetFormatPr defaultColWidth="11.68359375" defaultRowHeight="14.1" x14ac:dyDescent="0.5"/>
  <cols>
    <col min="1" max="1" width="5.68359375" style="15" customWidth="1"/>
    <col min="2" max="2" width="50.68359375" style="15" customWidth="1"/>
    <col min="3" max="6" width="15.68359375" style="15" customWidth="1"/>
    <col min="7" max="7" width="50.68359375" style="15" customWidth="1"/>
    <col min="8" max="9" width="15.68359375" style="15" customWidth="1"/>
    <col min="10" max="16384" width="11.68359375" style="15"/>
  </cols>
  <sheetData>
    <row r="1" spans="1:9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</row>
    <row r="2" spans="1:9" s="2" customFormat="1" ht="17.399999999999999" x14ac:dyDescent="0.5">
      <c r="A2" s="12" t="str">
        <f>_xll.ciqfunctions.udf.CIQ($E$10, "IQ_COMPANY_NAME")</f>
        <v>Roku, Inc.</v>
      </c>
      <c r="B2" s="12"/>
      <c r="C2" s="12"/>
      <c r="D2" s="12"/>
      <c r="E2" s="12"/>
      <c r="F2" s="12"/>
      <c r="G2" s="12"/>
      <c r="H2" s="12"/>
      <c r="I2" s="12"/>
    </row>
    <row r="3" spans="1:9" s="11" customFormat="1" ht="15" x14ac:dyDescent="0.5">
      <c r="A3" s="36" t="s">
        <v>102</v>
      </c>
      <c r="B3" s="14"/>
      <c r="C3" s="14"/>
      <c r="D3" s="14"/>
      <c r="E3" s="13"/>
      <c r="F3" s="13"/>
      <c r="G3" s="13"/>
      <c r="H3" s="13"/>
      <c r="I3" s="13"/>
    </row>
    <row r="4" spans="1:9" x14ac:dyDescent="0.5">
      <c r="B4" s="15" t="str">
        <f>'Comps Data (Capital IQ))'!$AG$2</f>
        <v>Currency</v>
      </c>
      <c r="C4" s="15" t="str">
        <f>'Comps Data (Capital IQ))'!$AH$2</f>
        <v>USD</v>
      </c>
    </row>
    <row r="6" spans="1:9" ht="15" x14ac:dyDescent="0.5">
      <c r="B6" s="37" t="str">
        <f>_xll.ciqfunctions.udf.CIQ($E$10, "IQ_COMPANY_NAME")</f>
        <v>Roku, Inc.</v>
      </c>
      <c r="C6" s="13"/>
      <c r="D6" s="13"/>
      <c r="E6" s="13"/>
      <c r="F6" s="13"/>
      <c r="G6" s="13"/>
      <c r="H6" s="13"/>
      <c r="I6" s="13"/>
    </row>
    <row r="8" spans="1:9" x14ac:dyDescent="0.5">
      <c r="B8" s="44" t="s">
        <v>24</v>
      </c>
      <c r="C8" s="44"/>
      <c r="D8" s="44"/>
      <c r="E8" s="44"/>
      <c r="G8" s="44" t="s">
        <v>43</v>
      </c>
      <c r="H8" s="45"/>
      <c r="I8" s="45"/>
    </row>
    <row r="9" spans="1:9" ht="5.25" customHeight="1" x14ac:dyDescent="0.5"/>
    <row r="10" spans="1:9" ht="16.8" x14ac:dyDescent="0.95">
      <c r="B10" s="15" t="s">
        <v>35</v>
      </c>
      <c r="E10" s="47" t="str">
        <f>_xll.ciqfunctions.udf.CIQ("NasdaqGS:ROKU", "IQ_COMPANY_TICKER")</f>
        <v>NasdaqGS:ROKU</v>
      </c>
      <c r="G10" s="39" t="s">
        <v>41</v>
      </c>
      <c r="H10" s="20" t="s">
        <v>26</v>
      </c>
      <c r="I10" s="20" t="s">
        <v>27</v>
      </c>
    </row>
    <row r="11" spans="1:9" x14ac:dyDescent="0.5">
      <c r="B11" s="15" t="s">
        <v>71</v>
      </c>
      <c r="E11" s="48">
        <f>_xll.ciqfunctions.udf.CIQ(E10, "IQ_LASTSALEPRICE", E12,$C$4)</f>
        <v>347.51</v>
      </c>
      <c r="G11" s="15" t="s">
        <v>25</v>
      </c>
      <c r="H11" s="52">
        <f>_xll.ciqfunctions.udf.CIQ($E$10, "IQ_REVENUE_EST", "FY2021",,,,$C$4)</f>
        <v>2792.01739</v>
      </c>
      <c r="I11" s="52">
        <f>_xll.ciqfunctions.udf.CIQ($E$10, "IQ_REVENUE_EST", "FY2022",,,,$C$4)</f>
        <v>3060.1315599999998</v>
      </c>
    </row>
    <row r="12" spans="1:9" x14ac:dyDescent="0.5">
      <c r="B12" s="15" t="s">
        <v>36</v>
      </c>
      <c r="E12" s="81">
        <f>'Comps Data (Capital IQ))'!$AH$3</f>
        <v>44275</v>
      </c>
      <c r="G12" s="15" t="s">
        <v>11</v>
      </c>
      <c r="H12" s="52">
        <f>_xll.ciqfunctions.udf.CIQ($E$10, "IQ_EBITDA_EST", "FY2021",,,,$C$4)</f>
        <v>452.49367999999998</v>
      </c>
      <c r="I12" s="52">
        <f>_xll.ciqfunctions.udf.CIQ($E$10, "IQ_EBITDA_EST", "FY2022",,,,$C$4)</f>
        <v>-120.72559</v>
      </c>
    </row>
    <row r="13" spans="1:9" x14ac:dyDescent="0.5">
      <c r="E13" s="49"/>
      <c r="G13" s="15" t="s">
        <v>12</v>
      </c>
      <c r="H13" s="52">
        <f>_xll.ciqfunctions.udf.CIQ($E$10, "IQ_NI_REPORTED_EST", "FY2021",,,,$C$4)</f>
        <v>226.13061999999999</v>
      </c>
      <c r="I13" s="52">
        <f>_xll.ciqfunctions.udf.CIQ($E$10, "IQ_NI_REPORTED_EST", "FY2022",,,,$C$4)</f>
        <v>-495.94880999999998</v>
      </c>
    </row>
    <row r="14" spans="1:9" x14ac:dyDescent="0.5">
      <c r="B14" s="40" t="s">
        <v>37</v>
      </c>
      <c r="E14" s="49"/>
      <c r="G14" s="15" t="s">
        <v>28</v>
      </c>
      <c r="H14" s="52">
        <f>_xll.ciqfunctions.udf.CIQ($E$10, "IQ_CASH_OPER_EST", "FY2021",,,,$C$4)</f>
        <v>377.91928999999999</v>
      </c>
      <c r="I14" s="52">
        <f>_xll.ciqfunctions.udf.CIQ($E$10, "IQ_CASH_OPER_EST", "FY2022",,,,$C$4)</f>
        <v>-91.579890000000006</v>
      </c>
    </row>
    <row r="15" spans="1:9" x14ac:dyDescent="0.5">
      <c r="B15" s="15" t="s">
        <v>72</v>
      </c>
      <c r="E15" s="82">
        <f>_xll.ciqfunctions.udf.CIQ(E10, "IQ_TOTAL_OUTSTANDING_BS_DATE", , E12)</f>
        <v>128.00399999999999</v>
      </c>
      <c r="H15" s="49"/>
      <c r="I15" s="49"/>
    </row>
    <row r="16" spans="1:9" ht="16.5" customHeight="1" x14ac:dyDescent="0.5">
      <c r="B16" s="72" t="s">
        <v>82</v>
      </c>
      <c r="C16" s="72"/>
      <c r="D16" s="72"/>
      <c r="E16" s="75">
        <f>+E64</f>
        <v>4.649</v>
      </c>
      <c r="H16" s="49"/>
      <c r="I16" s="49"/>
    </row>
    <row r="17" spans="2:9" ht="16.5" customHeight="1" x14ac:dyDescent="0.5">
      <c r="B17" s="72" t="s">
        <v>73</v>
      </c>
      <c r="C17" s="72"/>
      <c r="D17" s="72"/>
      <c r="E17" s="75">
        <f>+F51</f>
        <v>8.8905355241575776</v>
      </c>
      <c r="G17" s="73" t="s">
        <v>42</v>
      </c>
      <c r="H17" s="77" t="s">
        <v>26</v>
      </c>
      <c r="I17" s="77" t="s">
        <v>27</v>
      </c>
    </row>
    <row r="18" spans="2:9" ht="16.5" customHeight="1" x14ac:dyDescent="0.5">
      <c r="B18" s="74" t="s">
        <v>74</v>
      </c>
      <c r="C18" s="74"/>
      <c r="D18" s="74"/>
      <c r="E18" s="76">
        <f>+E76</f>
        <v>0</v>
      </c>
      <c r="G18" s="15" t="s">
        <v>25</v>
      </c>
      <c r="H18" s="55">
        <f>IFERROR($E$32/H11,"-")</f>
        <v>17.382880279982782</v>
      </c>
      <c r="I18" s="55">
        <f>IFERROR($E$32/I11,"-")</f>
        <v>15.859875001583264</v>
      </c>
    </row>
    <row r="19" spans="2:9" x14ac:dyDescent="0.5">
      <c r="B19" s="72" t="s">
        <v>81</v>
      </c>
      <c r="E19" s="79">
        <f>SUM(E15:E18)</f>
        <v>141.54353552415756</v>
      </c>
      <c r="G19" s="15" t="s">
        <v>11</v>
      </c>
      <c r="H19" s="55">
        <f>IFERROR($E$32/H12,"-")</f>
        <v>107.25741855665254</v>
      </c>
      <c r="I19" s="55">
        <f>IFERROR($E$32/I12,"-")</f>
        <v>-402.01339276950307</v>
      </c>
    </row>
    <row r="20" spans="2:9" x14ac:dyDescent="0.5">
      <c r="E20" s="49"/>
      <c r="G20" s="15" t="s">
        <v>12</v>
      </c>
      <c r="H20" s="55">
        <f>IFERROR($E$21/H13,"-")</f>
        <v>217.51938782107436</v>
      </c>
      <c r="I20" s="55">
        <f>IFERROR($E$21/I13,"-")</f>
        <v>-99.179175427399443</v>
      </c>
    </row>
    <row r="21" spans="2:9" x14ac:dyDescent="0.5">
      <c r="B21" s="16" t="s">
        <v>38</v>
      </c>
      <c r="C21" s="16"/>
      <c r="D21" s="16"/>
      <c r="E21" s="64">
        <f>+E11*E19</f>
        <v>49187.79402999999</v>
      </c>
      <c r="G21" s="15" t="s">
        <v>28</v>
      </c>
      <c r="H21" s="55">
        <f>IFERROR($E$21/H14,"-")</f>
        <v>130.15422957108115</v>
      </c>
      <c r="I21" s="55">
        <f>IFERROR($E$21/I14,"-")</f>
        <v>-537.10256727759759</v>
      </c>
    </row>
    <row r="22" spans="2:9" x14ac:dyDescent="0.5">
      <c r="E22" s="49"/>
      <c r="H22" s="49"/>
      <c r="I22" s="49"/>
    </row>
    <row r="23" spans="2:9" x14ac:dyDescent="0.5">
      <c r="B23" s="15" t="s">
        <v>76</v>
      </c>
      <c r="E23" s="52">
        <f>_xll.ciqfunctions.udf.CIQ(E10, "IQ_CASH_EQUIV", , E12, , , $C$4)</f>
        <v>1092.8150000000001</v>
      </c>
      <c r="G23" s="15" t="s">
        <v>45</v>
      </c>
      <c r="H23" s="49"/>
      <c r="I23" s="55">
        <f>IFERROR(E29/E34,"-")</f>
        <v>0.33006027793360765</v>
      </c>
    </row>
    <row r="24" spans="2:9" x14ac:dyDescent="0.5">
      <c r="E24" s="49"/>
      <c r="G24" s="15" t="s">
        <v>77</v>
      </c>
      <c r="H24" s="49"/>
      <c r="I24" s="56">
        <f>IFERROR(E29/(E29+E34),"-")</f>
        <v>0.24815437571475477</v>
      </c>
    </row>
    <row r="25" spans="2:9" x14ac:dyDescent="0.5">
      <c r="B25" s="15" t="s">
        <v>86</v>
      </c>
      <c r="E25" s="80">
        <f>_xll.ciqfunctions.udf.CIQ(E10, "IQ_TOTAL_DEBT", , E12, , , $C$4)</f>
        <v>438.32499999999999</v>
      </c>
      <c r="G25" s="15" t="s">
        <v>78</v>
      </c>
      <c r="I25" s="56">
        <f>IFERROR(E29/(E29+E21),"-")</f>
        <v>8.8325464204650726E-3</v>
      </c>
    </row>
    <row r="26" spans="2:9" x14ac:dyDescent="0.5">
      <c r="B26" s="15" t="s">
        <v>89</v>
      </c>
      <c r="E26" s="80">
        <f>_xll.ciqfunctions.udf.CIQ(E10, "IQ_CONVERT", , E12, , , $C$4)</f>
        <v>0</v>
      </c>
      <c r="I26" s="56"/>
    </row>
    <row r="27" spans="2:9" x14ac:dyDescent="0.5">
      <c r="B27" s="15" t="s">
        <v>88</v>
      </c>
      <c r="E27" s="65">
        <f>+E25-E26</f>
        <v>438.32499999999999</v>
      </c>
    </row>
    <row r="28" spans="2:9" x14ac:dyDescent="0.5">
      <c r="B28" s="41" t="s">
        <v>90</v>
      </c>
      <c r="C28" s="41"/>
      <c r="D28" s="41"/>
      <c r="E28" s="53">
        <f>+E79</f>
        <v>0</v>
      </c>
    </row>
    <row r="29" spans="2:9" x14ac:dyDescent="0.5">
      <c r="B29" s="16" t="s">
        <v>87</v>
      </c>
      <c r="C29" s="16"/>
      <c r="D29" s="16"/>
      <c r="E29" s="64">
        <f>+E27+E28</f>
        <v>438.32499999999999</v>
      </c>
    </row>
    <row r="30" spans="2:9" x14ac:dyDescent="0.5">
      <c r="B30" s="16"/>
      <c r="C30" s="16"/>
      <c r="D30" s="16"/>
      <c r="E30" s="54"/>
    </row>
    <row r="31" spans="2:9" x14ac:dyDescent="0.5">
      <c r="B31" s="15" t="s">
        <v>10</v>
      </c>
      <c r="E31" s="65">
        <f>+E29-E23</f>
        <v>-654.49</v>
      </c>
    </row>
    <row r="32" spans="2:9" x14ac:dyDescent="0.5">
      <c r="B32" s="16" t="s">
        <v>40</v>
      </c>
      <c r="C32" s="16"/>
      <c r="D32" s="16"/>
      <c r="E32" s="64">
        <f>+E21+E31</f>
        <v>48533.304029999992</v>
      </c>
    </row>
    <row r="33" spans="2:26" x14ac:dyDescent="0.5">
      <c r="E33" s="49"/>
    </row>
    <row r="34" spans="2:26" x14ac:dyDescent="0.5">
      <c r="B34" s="15" t="s">
        <v>44</v>
      </c>
      <c r="E34" s="52">
        <f>_xll.ciqfunctions.udf.CIQ(E10, "IQ_TOTAL_EQUITY", , E12, , , $C$4)</f>
        <v>1328.0150000000001</v>
      </c>
    </row>
    <row r="36" spans="2:26" x14ac:dyDescent="0.5">
      <c r="B36" s="44" t="s">
        <v>46</v>
      </c>
      <c r="C36" s="44"/>
      <c r="D36" s="44"/>
      <c r="E36" s="44"/>
      <c r="F36" s="44"/>
    </row>
    <row r="37" spans="2:26" ht="5.25" customHeight="1" x14ac:dyDescent="0.5"/>
    <row r="38" spans="2:26" x14ac:dyDescent="0.5">
      <c r="B38" s="42"/>
      <c r="C38" s="42" t="s">
        <v>49</v>
      </c>
      <c r="D38" s="42" t="s">
        <v>48</v>
      </c>
      <c r="E38" s="42" t="s">
        <v>49</v>
      </c>
      <c r="F38" s="42"/>
    </row>
    <row r="39" spans="2:26" ht="16.8" x14ac:dyDescent="0.95">
      <c r="B39" s="19" t="s">
        <v>47</v>
      </c>
      <c r="C39" s="20" t="s">
        <v>51</v>
      </c>
      <c r="D39" s="20" t="s">
        <v>8</v>
      </c>
      <c r="E39" s="20" t="s">
        <v>91</v>
      </c>
      <c r="F39" s="20" t="s">
        <v>50</v>
      </c>
    </row>
    <row r="40" spans="2:26" s="66" customFormat="1" ht="10.199999999999999" x14ac:dyDescent="0.35">
      <c r="C40" s="66" t="s">
        <v>21</v>
      </c>
      <c r="D40" s="67" t="s">
        <v>16</v>
      </c>
      <c r="E40" s="66" t="s">
        <v>21</v>
      </c>
      <c r="F40" s="67" t="s">
        <v>20</v>
      </c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9"/>
      <c r="S40" s="67"/>
      <c r="T40" s="67"/>
      <c r="U40" s="67"/>
      <c r="V40" s="67"/>
      <c r="W40" s="67"/>
      <c r="X40" s="67"/>
      <c r="Y40" s="67"/>
      <c r="Z40" s="67"/>
    </row>
    <row r="41" spans="2:26" x14ac:dyDescent="0.5">
      <c r="B41" s="38" t="s">
        <v>97</v>
      </c>
      <c r="C41" s="50">
        <v>9.58</v>
      </c>
      <c r="D41" s="48">
        <v>25.01</v>
      </c>
      <c r="E41" s="46">
        <f>+IF(D41&lt;$E$11,C41,0)</f>
        <v>9.58</v>
      </c>
      <c r="F41" s="57">
        <f>+D41*E41</f>
        <v>239.59580000000003</v>
      </c>
    </row>
    <row r="42" spans="2:26" x14ac:dyDescent="0.5">
      <c r="B42" s="38"/>
      <c r="C42" s="50"/>
      <c r="D42" s="48"/>
      <c r="E42" s="46">
        <f t="shared" ref="E42:E46" si="0">+IF(D42&lt;$E$11,C42,0)</f>
        <v>0</v>
      </c>
      <c r="F42" s="57">
        <f t="shared" ref="F42:F46" si="1">+D42*E42</f>
        <v>0</v>
      </c>
    </row>
    <row r="43" spans="2:26" x14ac:dyDescent="0.5">
      <c r="B43" s="38"/>
      <c r="C43" s="50"/>
      <c r="D43" s="48"/>
      <c r="E43" s="46">
        <f t="shared" si="0"/>
        <v>0</v>
      </c>
      <c r="F43" s="57">
        <f t="shared" si="1"/>
        <v>0</v>
      </c>
    </row>
    <row r="44" spans="2:26" x14ac:dyDescent="0.5">
      <c r="B44" s="38"/>
      <c r="C44" s="50"/>
      <c r="D44" s="48"/>
      <c r="E44" s="46">
        <f t="shared" si="0"/>
        <v>0</v>
      </c>
      <c r="F44" s="57">
        <f t="shared" si="1"/>
        <v>0</v>
      </c>
    </row>
    <row r="45" spans="2:26" x14ac:dyDescent="0.5">
      <c r="B45" s="38"/>
      <c r="C45" s="50"/>
      <c r="D45" s="48"/>
      <c r="E45" s="46">
        <f t="shared" si="0"/>
        <v>0</v>
      </c>
      <c r="F45" s="57">
        <f t="shared" si="1"/>
        <v>0</v>
      </c>
    </row>
    <row r="46" spans="2:26" x14ac:dyDescent="0.5">
      <c r="B46" s="43"/>
      <c r="C46" s="61"/>
      <c r="D46" s="62"/>
      <c r="E46" s="51">
        <f t="shared" si="0"/>
        <v>0</v>
      </c>
      <c r="F46" s="58">
        <f t="shared" si="1"/>
        <v>0</v>
      </c>
    </row>
    <row r="47" spans="2:26" x14ac:dyDescent="0.5">
      <c r="B47" s="16" t="s">
        <v>52</v>
      </c>
      <c r="C47" s="54"/>
      <c r="D47" s="54"/>
      <c r="E47" s="59">
        <f>SUM(E41:E46)</f>
        <v>9.58</v>
      </c>
      <c r="F47" s="60">
        <f>SUM(F41:F46)</f>
        <v>239.59580000000003</v>
      </c>
    </row>
    <row r="48" spans="2:26" x14ac:dyDescent="0.5">
      <c r="C48" s="49"/>
      <c r="D48" s="49"/>
      <c r="E48" s="49"/>
      <c r="F48" s="49"/>
    </row>
    <row r="49" spans="2:6" x14ac:dyDescent="0.5">
      <c r="B49" s="15" t="s">
        <v>53</v>
      </c>
      <c r="C49" s="49"/>
      <c r="D49" s="49"/>
      <c r="E49" s="49"/>
      <c r="F49" s="46">
        <f>+E47</f>
        <v>9.58</v>
      </c>
    </row>
    <row r="50" spans="2:6" x14ac:dyDescent="0.5">
      <c r="B50" s="15" t="s">
        <v>54</v>
      </c>
      <c r="C50" s="49"/>
      <c r="D50" s="49"/>
      <c r="E50" s="49"/>
      <c r="F50" s="46">
        <f>IF(ISERR($F47/E11),"-",$F47/E11)</f>
        <v>0.68946447584242188</v>
      </c>
    </row>
    <row r="51" spans="2:6" x14ac:dyDescent="0.5">
      <c r="B51" s="15" t="s">
        <v>79</v>
      </c>
      <c r="C51" s="49"/>
      <c r="D51" s="49"/>
      <c r="E51" s="49"/>
      <c r="F51" s="46">
        <f>+IF(ISERR(F49-F50),"-",F49-F50)</f>
        <v>8.8905355241575776</v>
      </c>
    </row>
    <row r="52" spans="2:6" x14ac:dyDescent="0.5">
      <c r="C52" s="49"/>
      <c r="D52" s="49"/>
      <c r="E52" s="49"/>
      <c r="F52" s="46"/>
    </row>
    <row r="53" spans="2:6" x14ac:dyDescent="0.5">
      <c r="B53" s="44" t="s">
        <v>80</v>
      </c>
      <c r="C53" s="44"/>
      <c r="D53" s="44"/>
      <c r="E53" s="44"/>
      <c r="F53" s="46"/>
    </row>
    <row r="54" spans="2:6" ht="5.55" customHeight="1" x14ac:dyDescent="0.5">
      <c r="B54" s="16"/>
      <c r="D54" s="49"/>
      <c r="E54" s="16"/>
      <c r="F54" s="46"/>
    </row>
    <row r="55" spans="2:6" x14ac:dyDescent="0.5">
      <c r="B55" s="16"/>
      <c r="D55" s="49"/>
      <c r="E55" s="42" t="s">
        <v>83</v>
      </c>
      <c r="F55" s="46"/>
    </row>
    <row r="56" spans="2:6" x14ac:dyDescent="0.5">
      <c r="B56" s="16"/>
      <c r="D56" s="49"/>
      <c r="E56" s="42" t="s">
        <v>49</v>
      </c>
      <c r="F56" s="46"/>
    </row>
    <row r="57" spans="2:6" ht="16.8" x14ac:dyDescent="0.95">
      <c r="B57" s="19" t="s">
        <v>47</v>
      </c>
      <c r="C57" s="19" t="s">
        <v>84</v>
      </c>
      <c r="D57" s="19" t="s">
        <v>84</v>
      </c>
      <c r="E57" s="20" t="s">
        <v>51</v>
      </c>
      <c r="F57" s="46"/>
    </row>
    <row r="58" spans="2:6" x14ac:dyDescent="0.5">
      <c r="E58" s="66" t="s">
        <v>21</v>
      </c>
      <c r="F58" s="46"/>
    </row>
    <row r="59" spans="2:6" x14ac:dyDescent="0.5">
      <c r="B59" s="38" t="s">
        <v>95</v>
      </c>
      <c r="C59" s="38"/>
      <c r="D59" s="38"/>
      <c r="E59" s="50">
        <v>4.649</v>
      </c>
      <c r="F59" s="46"/>
    </row>
    <row r="60" spans="2:6" x14ac:dyDescent="0.5">
      <c r="B60" s="38"/>
      <c r="C60" s="38"/>
      <c r="D60" s="38"/>
      <c r="E60" s="38"/>
      <c r="F60" s="46"/>
    </row>
    <row r="61" spans="2:6" x14ac:dyDescent="0.5">
      <c r="B61" s="38"/>
      <c r="C61" s="38"/>
      <c r="D61" s="38"/>
      <c r="E61" s="38"/>
      <c r="F61" s="46"/>
    </row>
    <row r="62" spans="2:6" x14ac:dyDescent="0.5">
      <c r="B62" s="38"/>
      <c r="C62" s="38"/>
      <c r="D62" s="38"/>
      <c r="E62" s="38"/>
      <c r="F62" s="46"/>
    </row>
    <row r="63" spans="2:6" x14ac:dyDescent="0.5">
      <c r="B63" s="43"/>
      <c r="C63" s="43"/>
      <c r="D63" s="43"/>
      <c r="E63" s="43"/>
      <c r="F63" s="46"/>
    </row>
    <row r="64" spans="2:6" x14ac:dyDescent="0.5">
      <c r="B64" s="16" t="s">
        <v>52</v>
      </c>
      <c r="D64" s="49"/>
      <c r="E64" s="78">
        <f>SUM(E59:E63)</f>
        <v>4.649</v>
      </c>
      <c r="F64" s="46"/>
    </row>
    <row r="66" spans="2:5" x14ac:dyDescent="0.5">
      <c r="B66" s="44" t="s">
        <v>39</v>
      </c>
      <c r="C66" s="44"/>
      <c r="D66" s="44"/>
      <c r="E66" s="44"/>
    </row>
    <row r="67" spans="2:5" ht="5.25" customHeight="1" x14ac:dyDescent="0.5"/>
    <row r="68" spans="2:5" x14ac:dyDescent="0.5">
      <c r="B68" s="42"/>
      <c r="C68" s="42" t="s">
        <v>56</v>
      </c>
      <c r="D68" s="42" t="s">
        <v>57</v>
      </c>
      <c r="E68" s="42" t="s">
        <v>9</v>
      </c>
    </row>
    <row r="69" spans="2:5" ht="16.8" x14ac:dyDescent="0.95">
      <c r="B69" s="19" t="s">
        <v>55</v>
      </c>
      <c r="C69" s="20" t="s">
        <v>23</v>
      </c>
      <c r="D69" s="20" t="s">
        <v>8</v>
      </c>
      <c r="E69" s="20" t="s">
        <v>58</v>
      </c>
    </row>
    <row r="70" spans="2:5" x14ac:dyDescent="0.5">
      <c r="C70" s="66" t="s">
        <v>21</v>
      </c>
      <c r="D70" s="67" t="s">
        <v>16</v>
      </c>
      <c r="E70" s="66" t="s">
        <v>21</v>
      </c>
    </row>
    <row r="71" spans="2:5" x14ac:dyDescent="0.5">
      <c r="B71" s="38"/>
      <c r="C71" s="52"/>
      <c r="D71" s="48"/>
      <c r="E71" s="46">
        <f>IF(ISNUMBER($D71),IF($E$11&gt;$D71,$C71/$D71,0),0)</f>
        <v>0</v>
      </c>
    </row>
    <row r="72" spans="2:5" x14ac:dyDescent="0.5">
      <c r="B72" s="38"/>
      <c r="C72" s="52"/>
      <c r="D72" s="48"/>
      <c r="E72" s="46">
        <f t="shared" ref="E72:E75" si="2">IF(ISNUMBER($D72),IF($E$11&gt;$D72,$C72/$D72,0),0)</f>
        <v>0</v>
      </c>
    </row>
    <row r="73" spans="2:5" x14ac:dyDescent="0.5">
      <c r="B73" s="38"/>
      <c r="C73" s="52"/>
      <c r="D73" s="48"/>
      <c r="E73" s="46">
        <f t="shared" si="2"/>
        <v>0</v>
      </c>
    </row>
    <row r="74" spans="2:5" x14ac:dyDescent="0.5">
      <c r="B74" s="38"/>
      <c r="C74" s="52"/>
      <c r="D74" s="48"/>
      <c r="E74" s="46">
        <f t="shared" si="2"/>
        <v>0</v>
      </c>
    </row>
    <row r="75" spans="2:5" x14ac:dyDescent="0.5">
      <c r="B75" s="43"/>
      <c r="C75" s="63"/>
      <c r="D75" s="62"/>
      <c r="E75" s="51">
        <f t="shared" si="2"/>
        <v>0</v>
      </c>
    </row>
    <row r="76" spans="2:5" x14ac:dyDescent="0.5">
      <c r="B76" s="16" t="s">
        <v>52</v>
      </c>
      <c r="C76" s="64">
        <f>SUM(C71:C75)</f>
        <v>0</v>
      </c>
      <c r="D76" s="54"/>
      <c r="E76" s="59">
        <f>SUM(E71:E75)</f>
        <v>0</v>
      </c>
    </row>
    <row r="77" spans="2:5" x14ac:dyDescent="0.5">
      <c r="C77" s="49"/>
      <c r="D77" s="49"/>
      <c r="E77" s="49"/>
    </row>
    <row r="78" spans="2:5" x14ac:dyDescent="0.5">
      <c r="B78" s="15" t="s">
        <v>59</v>
      </c>
      <c r="C78" s="49"/>
      <c r="D78" s="49"/>
      <c r="E78" s="65">
        <f>SUMIF(D71:D75,"&lt;"&amp;$E$11,C71:C75)</f>
        <v>0</v>
      </c>
    </row>
    <row r="79" spans="2:5" x14ac:dyDescent="0.5">
      <c r="B79" s="15" t="s">
        <v>60</v>
      </c>
      <c r="C79" s="49"/>
      <c r="D79" s="49"/>
      <c r="E79" s="65">
        <f>+C76-E78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C854-1880-4BCF-8F3C-B54CD6E5C9F0}">
  <dimension ref="A1:Z79"/>
  <sheetViews>
    <sheetView showGridLines="0" zoomScaleNormal="100" workbookViewId="0"/>
  </sheetViews>
  <sheetFormatPr defaultColWidth="11.68359375" defaultRowHeight="14.1" x14ac:dyDescent="0.5"/>
  <cols>
    <col min="1" max="1" width="5.68359375" style="15" customWidth="1"/>
    <col min="2" max="2" width="50.68359375" style="15" customWidth="1"/>
    <col min="3" max="6" width="15.68359375" style="15" customWidth="1"/>
    <col min="7" max="7" width="50.68359375" style="15" customWidth="1"/>
    <col min="8" max="9" width="15.68359375" style="15" customWidth="1"/>
    <col min="10" max="16384" width="11.68359375" style="15"/>
  </cols>
  <sheetData>
    <row r="1" spans="1:9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</row>
    <row r="2" spans="1:9" s="2" customFormat="1" ht="17.399999999999999" x14ac:dyDescent="0.5">
      <c r="A2" s="12" t="str">
        <f>_xll.ciqfunctions.udf.CIQ($E$10, "IQ_COMPANY_NAME")</f>
        <v>Sirius XM Holdings Inc.</v>
      </c>
      <c r="B2" s="12"/>
      <c r="C2" s="12"/>
      <c r="D2" s="12"/>
      <c r="E2" s="12"/>
      <c r="F2" s="12"/>
      <c r="G2" s="12"/>
      <c r="H2" s="12"/>
      <c r="I2" s="12"/>
    </row>
    <row r="3" spans="1:9" s="11" customFormat="1" ht="15" x14ac:dyDescent="0.5">
      <c r="A3" s="36" t="s">
        <v>102</v>
      </c>
      <c r="B3" s="14"/>
      <c r="C3" s="14"/>
      <c r="D3" s="14"/>
      <c r="E3" s="13"/>
      <c r="F3" s="13"/>
      <c r="G3" s="13"/>
      <c r="H3" s="13"/>
      <c r="I3" s="13"/>
    </row>
    <row r="4" spans="1:9" x14ac:dyDescent="0.5">
      <c r="B4" s="15" t="str">
        <f>'Comps Data (Capital IQ))'!$AG$2</f>
        <v>Currency</v>
      </c>
      <c r="C4" s="15" t="str">
        <f>'Comps Data (Capital IQ))'!$AH$2</f>
        <v>USD</v>
      </c>
    </row>
    <row r="6" spans="1:9" ht="15" x14ac:dyDescent="0.5">
      <c r="B6" s="37" t="str">
        <f>_xll.ciqfunctions.udf.CIQ($E$10, "IQ_COMPANY_NAME")</f>
        <v>Sirius XM Holdings Inc.</v>
      </c>
      <c r="C6" s="13"/>
      <c r="D6" s="13"/>
      <c r="E6" s="13"/>
      <c r="F6" s="13"/>
      <c r="G6" s="13"/>
      <c r="H6" s="13"/>
      <c r="I6" s="13"/>
    </row>
    <row r="8" spans="1:9" x14ac:dyDescent="0.5">
      <c r="B8" s="44" t="s">
        <v>24</v>
      </c>
      <c r="C8" s="44"/>
      <c r="D8" s="44"/>
      <c r="E8" s="44"/>
      <c r="G8" s="44" t="s">
        <v>43</v>
      </c>
      <c r="H8" s="45"/>
      <c r="I8" s="45"/>
    </row>
    <row r="9" spans="1:9" ht="5.25" customHeight="1" x14ac:dyDescent="0.5"/>
    <row r="10" spans="1:9" ht="16.8" x14ac:dyDescent="0.95">
      <c r="B10" s="15" t="s">
        <v>35</v>
      </c>
      <c r="E10" s="47" t="str">
        <f>_xll.ciqfunctions.udf.CIQ("NASDAQGS: SIRI", "IQ_COMPANY_TICKER")</f>
        <v>NasdaqGS:SIRI</v>
      </c>
      <c r="G10" s="39" t="s">
        <v>41</v>
      </c>
      <c r="H10" s="20" t="s">
        <v>26</v>
      </c>
      <c r="I10" s="20" t="s">
        <v>27</v>
      </c>
    </row>
    <row r="11" spans="1:9" x14ac:dyDescent="0.5">
      <c r="B11" s="15" t="s">
        <v>71</v>
      </c>
      <c r="E11" s="48">
        <f>_xll.ciqfunctions.udf.CIQ(E10, "IQ_LASTSALEPRICE", E12,$C$4)</f>
        <v>6.08</v>
      </c>
      <c r="G11" s="15" t="s">
        <v>25</v>
      </c>
      <c r="H11" s="52">
        <f>_xll.ciqfunctions.udf.CIQ($E$10, "IQ_REVENUE_EST", "FY2021",,,,$C$4)</f>
        <v>8660.1707499999993</v>
      </c>
      <c r="I11" s="52">
        <f>_xll.ciqfunctions.udf.CIQ($E$10, "IQ_REVENUE_EST", "FY2022",,,,$C$4)</f>
        <v>9026.5552399999997</v>
      </c>
    </row>
    <row r="12" spans="1:9" x14ac:dyDescent="0.5">
      <c r="B12" s="15" t="s">
        <v>36</v>
      </c>
      <c r="E12" s="81">
        <f>'Comps Data (Capital IQ))'!$AH$3</f>
        <v>44275</v>
      </c>
      <c r="G12" s="15" t="s">
        <v>11</v>
      </c>
      <c r="H12" s="52">
        <f>_xll.ciqfunctions.udf.CIQ($E$10, "IQ_EBITDA_EST", "FY2021",,,,$C$4)</f>
        <v>2752.47039</v>
      </c>
      <c r="I12" s="52">
        <f>_xll.ciqfunctions.udf.CIQ($E$10, "IQ_EBITDA_EST", "FY2022",,,,$C$4)</f>
        <v>2792.6287400000001</v>
      </c>
    </row>
    <row r="13" spans="1:9" x14ac:dyDescent="0.5">
      <c r="E13" s="49"/>
      <c r="G13" s="15" t="s">
        <v>12</v>
      </c>
      <c r="H13" s="52">
        <f>_xll.ciqfunctions.udf.CIQ($E$10, "IQ_NI_REPORTED_EST", "FY2021",,,,$C$4)</f>
        <v>1291.88249</v>
      </c>
      <c r="I13" s="52">
        <f>_xll.ciqfunctions.udf.CIQ($E$10, "IQ_NI_REPORTED_EST", "FY2022",,,,$C$4)</f>
        <v>1184.1750500000001</v>
      </c>
    </row>
    <row r="14" spans="1:9" x14ac:dyDescent="0.5">
      <c r="B14" s="40" t="s">
        <v>37</v>
      </c>
      <c r="E14" s="49"/>
      <c r="G14" s="15" t="s">
        <v>28</v>
      </c>
      <c r="H14" s="52">
        <f>_xll.ciqfunctions.udf.CIQ($E$10, "IQ_CASH_OPER_EST", "FY2021",,,,$C$4)</f>
        <v>1954.5</v>
      </c>
      <c r="I14" s="52">
        <f>_xll.ciqfunctions.udf.CIQ($E$10, "IQ_CASH_OPER_EST", "FY2022",,,,$C$4)</f>
        <v>1918.6</v>
      </c>
    </row>
    <row r="15" spans="1:9" x14ac:dyDescent="0.5">
      <c r="B15" s="15" t="s">
        <v>72</v>
      </c>
      <c r="E15" s="82">
        <f>_xll.ciqfunctions.udf.CIQ(E10, "IQ_TOTAL_OUTSTANDING_BS_DATE", , E12)</f>
        <v>4173</v>
      </c>
      <c r="H15" s="49"/>
      <c r="I15" s="49"/>
    </row>
    <row r="16" spans="1:9" ht="16.5" customHeight="1" x14ac:dyDescent="0.5">
      <c r="B16" s="72" t="s">
        <v>82</v>
      </c>
      <c r="C16" s="72"/>
      <c r="D16" s="72"/>
      <c r="E16" s="75">
        <f>+E64</f>
        <v>7.5999999999999998E-2</v>
      </c>
      <c r="H16" s="49"/>
      <c r="I16" s="49"/>
    </row>
    <row r="17" spans="2:9" ht="16.5" customHeight="1" x14ac:dyDescent="0.5">
      <c r="B17" s="72" t="s">
        <v>73</v>
      </c>
      <c r="C17" s="72"/>
      <c r="D17" s="72"/>
      <c r="E17" s="75">
        <f>+F51</f>
        <v>4.7388157894736826E-2</v>
      </c>
      <c r="G17" s="73" t="s">
        <v>42</v>
      </c>
      <c r="H17" s="77" t="s">
        <v>26</v>
      </c>
      <c r="I17" s="77" t="s">
        <v>27</v>
      </c>
    </row>
    <row r="18" spans="2:9" ht="16.5" customHeight="1" x14ac:dyDescent="0.5">
      <c r="B18" s="74" t="s">
        <v>74</v>
      </c>
      <c r="C18" s="74"/>
      <c r="D18" s="74"/>
      <c r="E18" s="76">
        <f>+E76</f>
        <v>0</v>
      </c>
      <c r="G18" s="15" t="s">
        <v>25</v>
      </c>
      <c r="H18" s="55">
        <f>IFERROR($E$32/H11,"-")</f>
        <v>3.9571494823009119</v>
      </c>
      <c r="I18" s="55">
        <f>IFERROR($E$32/I11,"-")</f>
        <v>3.7965302697244669</v>
      </c>
    </row>
    <row r="19" spans="2:9" x14ac:dyDescent="0.5">
      <c r="B19" s="72" t="s">
        <v>81</v>
      </c>
      <c r="E19" s="79">
        <f>SUM(E15:E18)</f>
        <v>4173.1233881578946</v>
      </c>
      <c r="G19" s="15" t="s">
        <v>11</v>
      </c>
      <c r="H19" s="55">
        <f>IFERROR($E$32/H12,"-")</f>
        <v>12.450484599036868</v>
      </c>
      <c r="I19" s="55">
        <f>IFERROR($E$32/I12,"-")</f>
        <v>12.271445075796219</v>
      </c>
    </row>
    <row r="20" spans="2:9" x14ac:dyDescent="0.5">
      <c r="E20" s="49"/>
      <c r="G20" s="15" t="s">
        <v>12</v>
      </c>
      <c r="H20" s="55">
        <f>IFERROR($E$21/H13,"-")</f>
        <v>19.640014007775584</v>
      </c>
      <c r="I20" s="55">
        <f>IFERROR($E$21/I13,"-")</f>
        <v>21.426384722427649</v>
      </c>
    </row>
    <row r="21" spans="2:9" x14ac:dyDescent="0.5">
      <c r="B21" s="16" t="s">
        <v>38</v>
      </c>
      <c r="C21" s="16"/>
      <c r="D21" s="16"/>
      <c r="E21" s="64">
        <f>+E11*E19</f>
        <v>25372.590199999999</v>
      </c>
      <c r="G21" s="15" t="s">
        <v>28</v>
      </c>
      <c r="H21" s="55">
        <f>IFERROR($E$21/H14,"-")</f>
        <v>12.981627116909696</v>
      </c>
      <c r="I21" s="55">
        <f>IFERROR($E$21/I14,"-")</f>
        <v>13.224533618263317</v>
      </c>
    </row>
    <row r="22" spans="2:9" x14ac:dyDescent="0.5">
      <c r="E22" s="49"/>
      <c r="H22" s="49"/>
      <c r="I22" s="49"/>
    </row>
    <row r="23" spans="2:9" x14ac:dyDescent="0.5">
      <c r="B23" s="15" t="s">
        <v>76</v>
      </c>
      <c r="E23" s="52">
        <f>_xll.ciqfunctions.udf.CIQ(E10, "IQ_CASH_EQUIV", , E12, , , $C$4)</f>
        <v>71</v>
      </c>
      <c r="G23" s="15" t="s">
        <v>45</v>
      </c>
      <c r="H23" s="49"/>
      <c r="I23" s="55">
        <f>IFERROR(E29/E34,"-")</f>
        <v>-3.9247264770240702</v>
      </c>
    </row>
    <row r="24" spans="2:9" x14ac:dyDescent="0.5">
      <c r="E24" s="49"/>
      <c r="G24" s="15" t="s">
        <v>77</v>
      </c>
      <c r="H24" s="49"/>
      <c r="I24" s="56">
        <f>IFERROR(E29/(E29+E34),"-")</f>
        <v>1.3419123148286698</v>
      </c>
    </row>
    <row r="25" spans="2:9" x14ac:dyDescent="0.5">
      <c r="B25" s="15" t="s">
        <v>86</v>
      </c>
      <c r="E25" s="80">
        <f>_xll.ciqfunctions.udf.CIQ(E10, "IQ_TOTAL_DEBT", , E12, , , $C$4)</f>
        <v>8967</v>
      </c>
      <c r="G25" s="15" t="s">
        <v>78</v>
      </c>
      <c r="I25" s="56">
        <f>IFERROR(E29/(E29+E21),"-")</f>
        <v>0.26114868579049644</v>
      </c>
    </row>
    <row r="26" spans="2:9" x14ac:dyDescent="0.5">
      <c r="B26" s="15" t="s">
        <v>89</v>
      </c>
      <c r="E26" s="80">
        <f>_xll.ciqfunctions.udf.CIQ(E10, "IQ_CONVERT", , E12, , , $C$4)</f>
        <v>193</v>
      </c>
      <c r="I26" s="56"/>
    </row>
    <row r="27" spans="2:9" x14ac:dyDescent="0.5">
      <c r="B27" s="15" t="s">
        <v>88</v>
      </c>
      <c r="E27" s="65">
        <f>+E25-E26</f>
        <v>8774</v>
      </c>
    </row>
    <row r="28" spans="2:9" x14ac:dyDescent="0.5">
      <c r="B28" s="41" t="s">
        <v>90</v>
      </c>
      <c r="C28" s="41"/>
      <c r="D28" s="41"/>
      <c r="E28" s="53">
        <f>+E79</f>
        <v>194</v>
      </c>
    </row>
    <row r="29" spans="2:9" x14ac:dyDescent="0.5">
      <c r="B29" s="16" t="s">
        <v>87</v>
      </c>
      <c r="C29" s="16"/>
      <c r="D29" s="16"/>
      <c r="E29" s="64">
        <f>+E27+E28</f>
        <v>8968</v>
      </c>
    </row>
    <row r="30" spans="2:9" x14ac:dyDescent="0.5">
      <c r="B30" s="16"/>
      <c r="C30" s="16"/>
      <c r="D30" s="16"/>
      <c r="E30" s="54"/>
    </row>
    <row r="31" spans="2:9" x14ac:dyDescent="0.5">
      <c r="B31" s="15" t="s">
        <v>10</v>
      </c>
      <c r="E31" s="65">
        <f>+E29-E23</f>
        <v>8897</v>
      </c>
    </row>
    <row r="32" spans="2:9" x14ac:dyDescent="0.5">
      <c r="B32" s="16" t="s">
        <v>40</v>
      </c>
      <c r="C32" s="16"/>
      <c r="D32" s="16"/>
      <c r="E32" s="64">
        <f>+E21+E31</f>
        <v>34269.590199999999</v>
      </c>
    </row>
    <row r="33" spans="2:26" x14ac:dyDescent="0.5">
      <c r="E33" s="49"/>
    </row>
    <row r="34" spans="2:26" x14ac:dyDescent="0.5">
      <c r="B34" s="15" t="s">
        <v>44</v>
      </c>
      <c r="E34" s="52">
        <f>_xll.ciqfunctions.udf.CIQ(E10, "IQ_TOTAL_EQUITY", , E12, , , $C$4)</f>
        <v>-2285</v>
      </c>
    </row>
    <row r="36" spans="2:26" x14ac:dyDescent="0.5">
      <c r="B36" s="44" t="s">
        <v>46</v>
      </c>
      <c r="C36" s="44"/>
      <c r="D36" s="44"/>
      <c r="E36" s="44"/>
      <c r="F36" s="44"/>
    </row>
    <row r="37" spans="2:26" ht="5.25" customHeight="1" x14ac:dyDescent="0.5"/>
    <row r="38" spans="2:26" x14ac:dyDescent="0.5">
      <c r="B38" s="42"/>
      <c r="C38" s="42" t="s">
        <v>49</v>
      </c>
      <c r="D38" s="42" t="s">
        <v>48</v>
      </c>
      <c r="E38" s="42" t="s">
        <v>49</v>
      </c>
      <c r="F38" s="42"/>
    </row>
    <row r="39" spans="2:26" ht="16.8" x14ac:dyDescent="0.95">
      <c r="B39" s="19" t="s">
        <v>47</v>
      </c>
      <c r="C39" s="20" t="s">
        <v>51</v>
      </c>
      <c r="D39" s="20" t="s">
        <v>8</v>
      </c>
      <c r="E39" s="20" t="s">
        <v>91</v>
      </c>
      <c r="F39" s="20" t="s">
        <v>50</v>
      </c>
    </row>
    <row r="40" spans="2:26" s="66" customFormat="1" ht="10.199999999999999" x14ac:dyDescent="0.35">
      <c r="C40" s="66" t="s">
        <v>21</v>
      </c>
      <c r="D40" s="67" t="s">
        <v>16</v>
      </c>
      <c r="E40" s="66" t="s">
        <v>21</v>
      </c>
      <c r="F40" s="67" t="s">
        <v>20</v>
      </c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9"/>
      <c r="S40" s="67"/>
      <c r="T40" s="67"/>
      <c r="U40" s="67"/>
      <c r="V40" s="67"/>
      <c r="W40" s="67"/>
      <c r="X40" s="67"/>
      <c r="Y40" s="67"/>
      <c r="Z40" s="67"/>
    </row>
    <row r="41" spans="2:26" x14ac:dyDescent="0.5">
      <c r="B41" s="38" t="s">
        <v>97</v>
      </c>
      <c r="C41" s="50">
        <v>0.19600000000000001</v>
      </c>
      <c r="D41" s="48">
        <v>4.6100000000000003</v>
      </c>
      <c r="E41" s="46">
        <f>+IF(D41&lt;$E$11,C41,0)</f>
        <v>0.19600000000000001</v>
      </c>
      <c r="F41" s="57">
        <f>+D41*E41</f>
        <v>0.90356000000000014</v>
      </c>
    </row>
    <row r="42" spans="2:26" x14ac:dyDescent="0.5">
      <c r="B42" s="38"/>
      <c r="C42" s="50"/>
      <c r="D42" s="48"/>
      <c r="E42" s="46">
        <f t="shared" ref="E42:E46" si="0">+IF(D42&lt;$E$11,C42,0)</f>
        <v>0</v>
      </c>
      <c r="F42" s="57">
        <f t="shared" ref="F42:F46" si="1">+D42*E42</f>
        <v>0</v>
      </c>
    </row>
    <row r="43" spans="2:26" x14ac:dyDescent="0.5">
      <c r="B43" s="38"/>
      <c r="C43" s="50"/>
      <c r="D43" s="48"/>
      <c r="E43" s="46">
        <f t="shared" si="0"/>
        <v>0</v>
      </c>
      <c r="F43" s="57">
        <f t="shared" si="1"/>
        <v>0</v>
      </c>
    </row>
    <row r="44" spans="2:26" x14ac:dyDescent="0.5">
      <c r="B44" s="38"/>
      <c r="C44" s="50"/>
      <c r="D44" s="48"/>
      <c r="E44" s="46">
        <f t="shared" si="0"/>
        <v>0</v>
      </c>
      <c r="F44" s="57">
        <f t="shared" si="1"/>
        <v>0</v>
      </c>
    </row>
    <row r="45" spans="2:26" x14ac:dyDescent="0.5">
      <c r="B45" s="38"/>
      <c r="C45" s="50"/>
      <c r="D45" s="48"/>
      <c r="E45" s="46">
        <f t="shared" si="0"/>
        <v>0</v>
      </c>
      <c r="F45" s="57">
        <f t="shared" si="1"/>
        <v>0</v>
      </c>
    </row>
    <row r="46" spans="2:26" x14ac:dyDescent="0.5">
      <c r="B46" s="43"/>
      <c r="C46" s="61"/>
      <c r="D46" s="62"/>
      <c r="E46" s="51">
        <f t="shared" si="0"/>
        <v>0</v>
      </c>
      <c r="F46" s="58">
        <f t="shared" si="1"/>
        <v>0</v>
      </c>
    </row>
    <row r="47" spans="2:26" x14ac:dyDescent="0.5">
      <c r="B47" s="16" t="s">
        <v>52</v>
      </c>
      <c r="C47" s="54"/>
      <c r="D47" s="54"/>
      <c r="E47" s="59">
        <f>SUM(E41:E46)</f>
        <v>0.19600000000000001</v>
      </c>
      <c r="F47" s="60">
        <f>SUM(F41:F46)</f>
        <v>0.90356000000000014</v>
      </c>
    </row>
    <row r="48" spans="2:26" x14ac:dyDescent="0.5">
      <c r="C48" s="49"/>
      <c r="D48" s="49"/>
      <c r="E48" s="49"/>
      <c r="F48" s="49"/>
    </row>
    <row r="49" spans="2:6" x14ac:dyDescent="0.5">
      <c r="B49" s="15" t="s">
        <v>53</v>
      </c>
      <c r="C49" s="49"/>
      <c r="D49" s="49"/>
      <c r="E49" s="49"/>
      <c r="F49" s="46">
        <f>+E47</f>
        <v>0.19600000000000001</v>
      </c>
    </row>
    <row r="50" spans="2:6" x14ac:dyDescent="0.5">
      <c r="B50" s="15" t="s">
        <v>54</v>
      </c>
      <c r="C50" s="49"/>
      <c r="D50" s="49"/>
      <c r="E50" s="49"/>
      <c r="F50" s="46">
        <f>IF(ISERR($F47/E11),"-",$F47/E11)</f>
        <v>0.14861184210526318</v>
      </c>
    </row>
    <row r="51" spans="2:6" x14ac:dyDescent="0.5">
      <c r="B51" s="15" t="s">
        <v>79</v>
      </c>
      <c r="C51" s="49"/>
      <c r="D51" s="49"/>
      <c r="E51" s="49"/>
      <c r="F51" s="46">
        <f>+IF(ISERR(F49-F50),"-",F49-F50)</f>
        <v>4.7388157894736826E-2</v>
      </c>
    </row>
    <row r="52" spans="2:6" x14ac:dyDescent="0.5">
      <c r="C52" s="49"/>
      <c r="D52" s="49"/>
      <c r="E52" s="49"/>
      <c r="F52" s="46"/>
    </row>
    <row r="53" spans="2:6" x14ac:dyDescent="0.5">
      <c r="B53" s="44" t="s">
        <v>80</v>
      </c>
      <c r="C53" s="44"/>
      <c r="D53" s="44"/>
      <c r="E53" s="44"/>
      <c r="F53" s="46"/>
    </row>
    <row r="54" spans="2:6" ht="5.55" customHeight="1" x14ac:dyDescent="0.5">
      <c r="B54" s="16"/>
      <c r="D54" s="49"/>
      <c r="E54" s="16"/>
      <c r="F54" s="46"/>
    </row>
    <row r="55" spans="2:6" x14ac:dyDescent="0.5">
      <c r="B55" s="16"/>
      <c r="D55" s="49"/>
      <c r="E55" s="42" t="s">
        <v>83</v>
      </c>
      <c r="F55" s="46"/>
    </row>
    <row r="56" spans="2:6" x14ac:dyDescent="0.5">
      <c r="B56" s="16"/>
      <c r="D56" s="49"/>
      <c r="E56" s="42" t="s">
        <v>49</v>
      </c>
      <c r="F56" s="46"/>
    </row>
    <row r="57" spans="2:6" ht="16.8" x14ac:dyDescent="0.95">
      <c r="B57" s="19" t="s">
        <v>47</v>
      </c>
      <c r="C57" s="19" t="s">
        <v>84</v>
      </c>
      <c r="D57" s="19" t="s">
        <v>84</v>
      </c>
      <c r="E57" s="20" t="s">
        <v>51</v>
      </c>
      <c r="F57" s="46"/>
    </row>
    <row r="58" spans="2:6" x14ac:dyDescent="0.5">
      <c r="E58" s="66" t="s">
        <v>21</v>
      </c>
      <c r="F58" s="46"/>
    </row>
    <row r="59" spans="2:6" x14ac:dyDescent="0.5">
      <c r="B59" s="38" t="s">
        <v>122</v>
      </c>
      <c r="C59" s="38"/>
      <c r="D59" s="38"/>
      <c r="E59" s="50">
        <v>7.5999999999999998E-2</v>
      </c>
      <c r="F59" s="46"/>
    </row>
    <row r="60" spans="2:6" x14ac:dyDescent="0.5">
      <c r="B60" s="38"/>
      <c r="C60" s="38"/>
      <c r="D60" s="38"/>
      <c r="E60" s="50"/>
      <c r="F60" s="46"/>
    </row>
    <row r="61" spans="2:6" x14ac:dyDescent="0.5">
      <c r="B61" s="38"/>
      <c r="C61" s="38"/>
      <c r="D61" s="38"/>
      <c r="E61" s="50"/>
      <c r="F61" s="46"/>
    </row>
    <row r="62" spans="2:6" x14ac:dyDescent="0.5">
      <c r="B62" s="38"/>
      <c r="C62" s="38"/>
      <c r="D62" s="38"/>
      <c r="E62" s="50"/>
      <c r="F62" s="46"/>
    </row>
    <row r="63" spans="2:6" x14ac:dyDescent="0.5">
      <c r="B63" s="43"/>
      <c r="C63" s="43"/>
      <c r="D63" s="43"/>
      <c r="E63" s="43"/>
      <c r="F63" s="46"/>
    </row>
    <row r="64" spans="2:6" x14ac:dyDescent="0.5">
      <c r="B64" s="16" t="s">
        <v>52</v>
      </c>
      <c r="D64" s="49"/>
      <c r="E64" s="78">
        <f>SUM(E59:E63)</f>
        <v>7.5999999999999998E-2</v>
      </c>
      <c r="F64" s="46"/>
    </row>
    <row r="66" spans="2:5" x14ac:dyDescent="0.5">
      <c r="B66" s="44" t="s">
        <v>39</v>
      </c>
      <c r="C66" s="44"/>
      <c r="D66" s="44"/>
      <c r="E66" s="44"/>
    </row>
    <row r="67" spans="2:5" ht="5.25" customHeight="1" x14ac:dyDescent="0.5"/>
    <row r="68" spans="2:5" x14ac:dyDescent="0.5">
      <c r="B68" s="42"/>
      <c r="C68" s="42" t="s">
        <v>56</v>
      </c>
      <c r="D68" s="42" t="s">
        <v>57</v>
      </c>
      <c r="E68" s="42" t="s">
        <v>9</v>
      </c>
    </row>
    <row r="69" spans="2:5" ht="16.8" x14ac:dyDescent="0.95">
      <c r="B69" s="19" t="s">
        <v>55</v>
      </c>
      <c r="C69" s="20" t="s">
        <v>23</v>
      </c>
      <c r="D69" s="20" t="s">
        <v>8</v>
      </c>
      <c r="E69" s="20" t="s">
        <v>58</v>
      </c>
    </row>
    <row r="70" spans="2:5" x14ac:dyDescent="0.5">
      <c r="C70" s="66" t="s">
        <v>21</v>
      </c>
      <c r="D70" s="67" t="s">
        <v>16</v>
      </c>
      <c r="E70" s="66" t="s">
        <v>21</v>
      </c>
    </row>
    <row r="71" spans="2:5" x14ac:dyDescent="0.5">
      <c r="B71" s="38" t="s">
        <v>120</v>
      </c>
      <c r="C71" s="52">
        <v>1</v>
      </c>
      <c r="D71" s="48">
        <f>1000/88.5816</f>
        <v>11.289026163447037</v>
      </c>
      <c r="E71" s="46">
        <f>IF(ISNUMBER($D71),IF($E$11&gt;$D71,$C71/$D71,0),0)</f>
        <v>0</v>
      </c>
    </row>
    <row r="72" spans="2:5" x14ac:dyDescent="0.5">
      <c r="B72" s="38" t="s">
        <v>121</v>
      </c>
      <c r="C72" s="52">
        <v>193</v>
      </c>
      <c r="D72" s="48">
        <f>1000/151.9533</f>
        <v>6.5809692846420571</v>
      </c>
      <c r="E72" s="46">
        <f t="shared" ref="E72:E75" si="2">IF(ISNUMBER($D72),IF($E$11&gt;$D72,$C72/$D72,0),0)</f>
        <v>0</v>
      </c>
    </row>
    <row r="73" spans="2:5" x14ac:dyDescent="0.5">
      <c r="B73" s="38"/>
      <c r="C73" s="52"/>
      <c r="D73" s="48"/>
      <c r="E73" s="46">
        <f t="shared" si="2"/>
        <v>0</v>
      </c>
    </row>
    <row r="74" spans="2:5" x14ac:dyDescent="0.5">
      <c r="B74" s="38"/>
      <c r="C74" s="52"/>
      <c r="D74" s="48"/>
      <c r="E74" s="46">
        <f t="shared" si="2"/>
        <v>0</v>
      </c>
    </row>
    <row r="75" spans="2:5" x14ac:dyDescent="0.5">
      <c r="B75" s="43"/>
      <c r="C75" s="63"/>
      <c r="D75" s="62"/>
      <c r="E75" s="51">
        <f t="shared" si="2"/>
        <v>0</v>
      </c>
    </row>
    <row r="76" spans="2:5" x14ac:dyDescent="0.5">
      <c r="B76" s="16" t="s">
        <v>52</v>
      </c>
      <c r="C76" s="64">
        <f>SUM(C71:C75)</f>
        <v>194</v>
      </c>
      <c r="D76" s="54"/>
      <c r="E76" s="59">
        <f>SUM(E71:E75)</f>
        <v>0</v>
      </c>
    </row>
    <row r="77" spans="2:5" x14ac:dyDescent="0.5">
      <c r="C77" s="49"/>
      <c r="D77" s="49"/>
      <c r="E77" s="49"/>
    </row>
    <row r="78" spans="2:5" x14ac:dyDescent="0.5">
      <c r="B78" s="15" t="s">
        <v>59</v>
      </c>
      <c r="C78" s="49"/>
      <c r="D78" s="49"/>
      <c r="E78" s="65">
        <f>SUMIF(D71:D75,"&lt;"&amp;$E$11,C71:C75)</f>
        <v>0</v>
      </c>
    </row>
    <row r="79" spans="2:5" x14ac:dyDescent="0.5">
      <c r="B79" s="15" t="s">
        <v>60</v>
      </c>
      <c r="C79" s="49"/>
      <c r="D79" s="49"/>
      <c r="E79" s="65">
        <f>+C76-E78</f>
        <v>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12AC-E020-4D24-BA06-3F97869C7489}">
  <sheetPr>
    <tabColor rgb="FF92D050"/>
  </sheetPr>
  <dimension ref="A1:Z79"/>
  <sheetViews>
    <sheetView showGridLines="0" zoomScaleNormal="100" workbookViewId="0"/>
  </sheetViews>
  <sheetFormatPr defaultColWidth="11.68359375" defaultRowHeight="14.1" x14ac:dyDescent="0.5"/>
  <cols>
    <col min="1" max="1" width="5.68359375" style="15" customWidth="1"/>
    <col min="2" max="2" width="50.68359375" style="15" customWidth="1"/>
    <col min="3" max="6" width="15.68359375" style="15" customWidth="1"/>
    <col min="7" max="7" width="50.68359375" style="15" customWidth="1"/>
    <col min="8" max="9" width="15.68359375" style="15" customWidth="1"/>
    <col min="10" max="16384" width="11.68359375" style="15"/>
  </cols>
  <sheetData>
    <row r="1" spans="1:9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</row>
    <row r="2" spans="1:9" s="2" customFormat="1" ht="17.399999999999999" x14ac:dyDescent="0.5">
      <c r="A2" s="12" t="s">
        <v>66</v>
      </c>
      <c r="B2" s="12"/>
      <c r="C2" s="12"/>
      <c r="D2" s="12"/>
      <c r="E2" s="12"/>
      <c r="F2" s="12"/>
      <c r="G2" s="12"/>
      <c r="H2" s="12"/>
      <c r="I2" s="12"/>
    </row>
    <row r="3" spans="1:9" s="11" customFormat="1" ht="15" x14ac:dyDescent="0.5">
      <c r="A3" s="36" t="s">
        <v>102</v>
      </c>
      <c r="B3" s="14"/>
      <c r="C3" s="14"/>
      <c r="D3" s="14"/>
      <c r="E3" s="13"/>
      <c r="F3" s="13"/>
      <c r="G3" s="13"/>
      <c r="H3" s="13"/>
      <c r="I3" s="13"/>
    </row>
    <row r="6" spans="1:9" ht="15" x14ac:dyDescent="0.5">
      <c r="B6" s="37" t="s">
        <v>61</v>
      </c>
      <c r="C6" s="13"/>
      <c r="D6" s="13"/>
      <c r="E6" s="13"/>
      <c r="F6" s="13"/>
      <c r="G6" s="13"/>
      <c r="H6" s="13"/>
      <c r="I6" s="13"/>
    </row>
    <row r="8" spans="1:9" x14ac:dyDescent="0.5">
      <c r="B8" s="44" t="s">
        <v>24</v>
      </c>
      <c r="C8" s="44"/>
      <c r="D8" s="44"/>
      <c r="E8" s="44"/>
      <c r="G8" s="44" t="s">
        <v>43</v>
      </c>
      <c r="H8" s="45"/>
      <c r="I8" s="45"/>
    </row>
    <row r="9" spans="1:9" ht="5.25" customHeight="1" x14ac:dyDescent="0.5"/>
    <row r="10" spans="1:9" ht="16.8" x14ac:dyDescent="0.95">
      <c r="B10" s="15" t="s">
        <v>35</v>
      </c>
      <c r="E10" s="47"/>
      <c r="G10" s="39" t="s">
        <v>41</v>
      </c>
      <c r="H10" s="20" t="s">
        <v>26</v>
      </c>
      <c r="I10" s="20" t="s">
        <v>27</v>
      </c>
    </row>
    <row r="11" spans="1:9" x14ac:dyDescent="0.5">
      <c r="B11" s="15" t="s">
        <v>71</v>
      </c>
      <c r="E11" s="48"/>
      <c r="G11" s="15" t="s">
        <v>25</v>
      </c>
      <c r="H11" s="52"/>
      <c r="I11" s="52"/>
    </row>
    <row r="12" spans="1:9" x14ac:dyDescent="0.5">
      <c r="B12" s="15" t="s">
        <v>36</v>
      </c>
      <c r="E12" s="47"/>
      <c r="G12" s="15" t="s">
        <v>11</v>
      </c>
      <c r="H12" s="52"/>
      <c r="I12" s="52"/>
    </row>
    <row r="13" spans="1:9" x14ac:dyDescent="0.5">
      <c r="E13" s="49"/>
      <c r="G13" s="15" t="s">
        <v>12</v>
      </c>
      <c r="H13" s="52"/>
      <c r="I13" s="52"/>
    </row>
    <row r="14" spans="1:9" x14ac:dyDescent="0.5">
      <c r="B14" s="40" t="s">
        <v>37</v>
      </c>
      <c r="E14" s="49"/>
      <c r="G14" s="15" t="s">
        <v>28</v>
      </c>
      <c r="H14" s="52"/>
      <c r="I14" s="52"/>
    </row>
    <row r="15" spans="1:9" x14ac:dyDescent="0.5">
      <c r="B15" s="15" t="s">
        <v>72</v>
      </c>
      <c r="E15" s="50"/>
      <c r="H15" s="49"/>
      <c r="I15" s="49"/>
    </row>
    <row r="16" spans="1:9" ht="16.5" customHeight="1" x14ac:dyDescent="0.5">
      <c r="B16" s="72" t="s">
        <v>82</v>
      </c>
      <c r="C16" s="72"/>
      <c r="D16" s="72"/>
      <c r="E16" s="75">
        <f>+E64</f>
        <v>0</v>
      </c>
      <c r="H16" s="49"/>
      <c r="I16" s="49"/>
    </row>
    <row r="17" spans="2:9" ht="16.5" customHeight="1" x14ac:dyDescent="0.5">
      <c r="B17" s="72" t="s">
        <v>73</v>
      </c>
      <c r="C17" s="72"/>
      <c r="D17" s="72"/>
      <c r="E17" s="75" t="str">
        <f>+F51</f>
        <v>-</v>
      </c>
      <c r="G17" s="73" t="s">
        <v>42</v>
      </c>
      <c r="H17" s="77" t="s">
        <v>26</v>
      </c>
      <c r="I17" s="77" t="s">
        <v>27</v>
      </c>
    </row>
    <row r="18" spans="2:9" ht="16.5" customHeight="1" x14ac:dyDescent="0.5">
      <c r="B18" s="74" t="s">
        <v>74</v>
      </c>
      <c r="C18" s="74"/>
      <c r="D18" s="74"/>
      <c r="E18" s="76">
        <f>+E76</f>
        <v>0</v>
      </c>
      <c r="G18" s="15" t="s">
        <v>25</v>
      </c>
      <c r="H18" s="55" t="str">
        <f>IFERROR($E$32/H11,"-")</f>
        <v>-</v>
      </c>
      <c r="I18" s="55" t="str">
        <f>IFERROR($E$32/I11,"-")</f>
        <v>-</v>
      </c>
    </row>
    <row r="19" spans="2:9" x14ac:dyDescent="0.5">
      <c r="B19" s="72" t="s">
        <v>81</v>
      </c>
      <c r="E19" s="79">
        <f>SUM(E15:E18)</f>
        <v>0</v>
      </c>
      <c r="G19" s="15" t="s">
        <v>11</v>
      </c>
      <c r="H19" s="55" t="str">
        <f>IFERROR($E$32/H12,"-")</f>
        <v>-</v>
      </c>
      <c r="I19" s="55" t="str">
        <f>IFERROR($E$32/I12,"-")</f>
        <v>-</v>
      </c>
    </row>
    <row r="20" spans="2:9" x14ac:dyDescent="0.5">
      <c r="E20" s="49"/>
      <c r="G20" s="15" t="s">
        <v>12</v>
      </c>
      <c r="H20" s="55" t="str">
        <f>IFERROR($E$21/H13,"-")</f>
        <v>-</v>
      </c>
      <c r="I20" s="55" t="str">
        <f>IFERROR($E$21/I13,"-")</f>
        <v>-</v>
      </c>
    </row>
    <row r="21" spans="2:9" x14ac:dyDescent="0.5">
      <c r="B21" s="16" t="s">
        <v>38</v>
      </c>
      <c r="C21" s="16"/>
      <c r="D21" s="16"/>
      <c r="E21" s="64">
        <f>+E11*E19</f>
        <v>0</v>
      </c>
      <c r="G21" s="15" t="s">
        <v>28</v>
      </c>
      <c r="H21" s="55" t="str">
        <f>IFERROR($E$21/H14,"-")</f>
        <v>-</v>
      </c>
      <c r="I21" s="55" t="str">
        <f>IFERROR($E$21/I14,"-")</f>
        <v>-</v>
      </c>
    </row>
    <row r="22" spans="2:9" x14ac:dyDescent="0.5">
      <c r="E22" s="49"/>
      <c r="H22" s="49"/>
      <c r="I22" s="49"/>
    </row>
    <row r="23" spans="2:9" x14ac:dyDescent="0.5">
      <c r="B23" s="15" t="s">
        <v>76</v>
      </c>
      <c r="E23" s="52"/>
      <c r="G23" s="15" t="s">
        <v>45</v>
      </c>
      <c r="H23" s="49"/>
      <c r="I23" s="55" t="str">
        <f>IFERROR(E29/E34,"-")</f>
        <v>-</v>
      </c>
    </row>
    <row r="24" spans="2:9" x14ac:dyDescent="0.5">
      <c r="E24" s="49"/>
      <c r="G24" s="15" t="s">
        <v>77</v>
      </c>
      <c r="H24" s="49"/>
      <c r="I24" s="56" t="str">
        <f>IFERROR(E29/(E29+E34),"-")</f>
        <v>-</v>
      </c>
    </row>
    <row r="25" spans="2:9" x14ac:dyDescent="0.5">
      <c r="B25" s="15" t="s">
        <v>86</v>
      </c>
      <c r="E25" s="80"/>
      <c r="G25" s="15" t="s">
        <v>78</v>
      </c>
      <c r="I25" s="56" t="str">
        <f>IFERROR(E29/(E29+E21),"-")</f>
        <v>-</v>
      </c>
    </row>
    <row r="26" spans="2:9" x14ac:dyDescent="0.5">
      <c r="B26" s="15" t="s">
        <v>89</v>
      </c>
      <c r="E26" s="80"/>
      <c r="I26" s="56"/>
    </row>
    <row r="27" spans="2:9" x14ac:dyDescent="0.5">
      <c r="B27" s="15" t="s">
        <v>88</v>
      </c>
      <c r="E27" s="65">
        <f>+E25-E26</f>
        <v>0</v>
      </c>
    </row>
    <row r="28" spans="2:9" x14ac:dyDescent="0.5">
      <c r="B28" s="41" t="s">
        <v>90</v>
      </c>
      <c r="C28" s="41"/>
      <c r="D28" s="41"/>
      <c r="E28" s="53">
        <f>+E79</f>
        <v>0</v>
      </c>
    </row>
    <row r="29" spans="2:9" x14ac:dyDescent="0.5">
      <c r="B29" s="16" t="s">
        <v>87</v>
      </c>
      <c r="C29" s="16"/>
      <c r="D29" s="16"/>
      <c r="E29" s="64">
        <f>+E27+E28</f>
        <v>0</v>
      </c>
    </row>
    <row r="30" spans="2:9" x14ac:dyDescent="0.5">
      <c r="B30" s="16"/>
      <c r="C30" s="16"/>
      <c r="D30" s="16"/>
      <c r="E30" s="54"/>
    </row>
    <row r="31" spans="2:9" x14ac:dyDescent="0.5">
      <c r="B31" s="15" t="s">
        <v>10</v>
      </c>
      <c r="E31" s="65">
        <f>+E29-E23</f>
        <v>0</v>
      </c>
    </row>
    <row r="32" spans="2:9" x14ac:dyDescent="0.5">
      <c r="B32" s="16" t="s">
        <v>40</v>
      </c>
      <c r="C32" s="16"/>
      <c r="D32" s="16"/>
      <c r="E32" s="64">
        <f>+E21+E31</f>
        <v>0</v>
      </c>
    </row>
    <row r="33" spans="2:26" x14ac:dyDescent="0.5">
      <c r="E33" s="49"/>
    </row>
    <row r="34" spans="2:26" x14ac:dyDescent="0.5">
      <c r="B34" s="15" t="s">
        <v>44</v>
      </c>
      <c r="E34" s="52"/>
    </row>
    <row r="36" spans="2:26" x14ac:dyDescent="0.5">
      <c r="B36" s="44" t="s">
        <v>46</v>
      </c>
      <c r="C36" s="44"/>
      <c r="D36" s="44"/>
      <c r="E36" s="44"/>
      <c r="F36" s="44"/>
    </row>
    <row r="37" spans="2:26" ht="5.25" customHeight="1" x14ac:dyDescent="0.5"/>
    <row r="38" spans="2:26" x14ac:dyDescent="0.5">
      <c r="B38" s="42"/>
      <c r="C38" s="42" t="s">
        <v>49</v>
      </c>
      <c r="D38" s="42" t="s">
        <v>48</v>
      </c>
      <c r="E38" s="42" t="s">
        <v>49</v>
      </c>
      <c r="F38" s="42"/>
    </row>
    <row r="39" spans="2:26" ht="16.8" x14ac:dyDescent="0.95">
      <c r="B39" s="19" t="s">
        <v>47</v>
      </c>
      <c r="C39" s="20" t="s">
        <v>51</v>
      </c>
      <c r="D39" s="20" t="s">
        <v>8</v>
      </c>
      <c r="E39" s="20" t="s">
        <v>91</v>
      </c>
      <c r="F39" s="20" t="s">
        <v>50</v>
      </c>
    </row>
    <row r="40" spans="2:26" s="66" customFormat="1" ht="10.199999999999999" x14ac:dyDescent="0.35">
      <c r="C40" s="66" t="s">
        <v>21</v>
      </c>
      <c r="D40" s="67" t="s">
        <v>16</v>
      </c>
      <c r="E40" s="66" t="s">
        <v>21</v>
      </c>
      <c r="F40" s="67" t="s">
        <v>20</v>
      </c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9"/>
      <c r="S40" s="67"/>
      <c r="T40" s="67"/>
      <c r="U40" s="67"/>
      <c r="V40" s="67"/>
      <c r="W40" s="67"/>
      <c r="X40" s="67"/>
      <c r="Y40" s="67"/>
      <c r="Z40" s="67"/>
    </row>
    <row r="41" spans="2:26" x14ac:dyDescent="0.5">
      <c r="B41" s="38"/>
      <c r="C41" s="50"/>
      <c r="D41" s="48"/>
      <c r="E41" s="46">
        <f>+IF(D41&lt;$E$11,C41,0)</f>
        <v>0</v>
      </c>
      <c r="F41" s="57">
        <f>+D41*E41</f>
        <v>0</v>
      </c>
    </row>
    <row r="42" spans="2:26" x14ac:dyDescent="0.5">
      <c r="B42" s="38"/>
      <c r="C42" s="50"/>
      <c r="D42" s="48"/>
      <c r="E42" s="46">
        <f t="shared" ref="E42:E46" si="0">+IF(D42&lt;$E$11,C42,0)</f>
        <v>0</v>
      </c>
      <c r="F42" s="57">
        <f t="shared" ref="F42:F46" si="1">+D42*E42</f>
        <v>0</v>
      </c>
    </row>
    <row r="43" spans="2:26" x14ac:dyDescent="0.5">
      <c r="B43" s="38"/>
      <c r="C43" s="50"/>
      <c r="D43" s="48"/>
      <c r="E43" s="46">
        <f t="shared" si="0"/>
        <v>0</v>
      </c>
      <c r="F43" s="57">
        <f t="shared" si="1"/>
        <v>0</v>
      </c>
    </row>
    <row r="44" spans="2:26" x14ac:dyDescent="0.5">
      <c r="B44" s="38"/>
      <c r="C44" s="50"/>
      <c r="D44" s="48"/>
      <c r="E44" s="46">
        <f t="shared" si="0"/>
        <v>0</v>
      </c>
      <c r="F44" s="57">
        <f t="shared" si="1"/>
        <v>0</v>
      </c>
    </row>
    <row r="45" spans="2:26" x14ac:dyDescent="0.5">
      <c r="B45" s="38"/>
      <c r="C45" s="50"/>
      <c r="D45" s="48"/>
      <c r="E45" s="46">
        <f t="shared" si="0"/>
        <v>0</v>
      </c>
      <c r="F45" s="57">
        <f t="shared" si="1"/>
        <v>0</v>
      </c>
    </row>
    <row r="46" spans="2:26" x14ac:dyDescent="0.5">
      <c r="B46" s="43"/>
      <c r="C46" s="61"/>
      <c r="D46" s="62"/>
      <c r="E46" s="51">
        <f t="shared" si="0"/>
        <v>0</v>
      </c>
      <c r="F46" s="58">
        <f t="shared" si="1"/>
        <v>0</v>
      </c>
    </row>
    <row r="47" spans="2:26" x14ac:dyDescent="0.5">
      <c r="B47" s="16" t="s">
        <v>52</v>
      </c>
      <c r="C47" s="54"/>
      <c r="D47" s="54"/>
      <c r="E47" s="59">
        <f>SUM(E41:E46)</f>
        <v>0</v>
      </c>
      <c r="F47" s="60">
        <f>SUM(F41:F46)</f>
        <v>0</v>
      </c>
    </row>
    <row r="48" spans="2:26" x14ac:dyDescent="0.5">
      <c r="C48" s="49"/>
      <c r="D48" s="49"/>
      <c r="E48" s="49"/>
      <c r="F48" s="49"/>
    </row>
    <row r="49" spans="2:6" x14ac:dyDescent="0.5">
      <c r="B49" s="15" t="s">
        <v>53</v>
      </c>
      <c r="C49" s="49"/>
      <c r="D49" s="49"/>
      <c r="E49" s="49"/>
      <c r="F49" s="46">
        <f>+E47</f>
        <v>0</v>
      </c>
    </row>
    <row r="50" spans="2:6" x14ac:dyDescent="0.5">
      <c r="B50" s="15" t="s">
        <v>54</v>
      </c>
      <c r="C50" s="49"/>
      <c r="D50" s="49"/>
      <c r="E50" s="49"/>
      <c r="F50" s="46" t="str">
        <f>IF(ISERR($F47/E11),"-",$F47/E11)</f>
        <v>-</v>
      </c>
    </row>
    <row r="51" spans="2:6" x14ac:dyDescent="0.5">
      <c r="B51" s="15" t="s">
        <v>79</v>
      </c>
      <c r="C51" s="49"/>
      <c r="D51" s="49"/>
      <c r="E51" s="49"/>
      <c r="F51" s="46" t="str">
        <f>+IF(ISERR(F49-F50),"-",F49-F50)</f>
        <v>-</v>
      </c>
    </row>
    <row r="52" spans="2:6" x14ac:dyDescent="0.5">
      <c r="C52" s="49"/>
      <c r="D52" s="49"/>
      <c r="E52" s="49"/>
      <c r="F52" s="46"/>
    </row>
    <row r="53" spans="2:6" x14ac:dyDescent="0.5">
      <c r="B53" s="44" t="s">
        <v>80</v>
      </c>
      <c r="C53" s="44"/>
      <c r="D53" s="44"/>
      <c r="E53" s="44"/>
      <c r="F53" s="46"/>
    </row>
    <row r="54" spans="2:6" ht="5.55" customHeight="1" x14ac:dyDescent="0.5">
      <c r="B54" s="16"/>
      <c r="D54" s="49"/>
      <c r="E54" s="16"/>
      <c r="F54" s="46"/>
    </row>
    <row r="55" spans="2:6" x14ac:dyDescent="0.5">
      <c r="B55" s="16"/>
      <c r="D55" s="49"/>
      <c r="E55" s="42" t="s">
        <v>83</v>
      </c>
      <c r="F55" s="46"/>
    </row>
    <row r="56" spans="2:6" x14ac:dyDescent="0.5">
      <c r="B56" s="16"/>
      <c r="D56" s="49"/>
      <c r="E56" s="42" t="s">
        <v>49</v>
      </c>
      <c r="F56" s="46"/>
    </row>
    <row r="57" spans="2:6" ht="16.8" x14ac:dyDescent="0.95">
      <c r="B57" s="19" t="s">
        <v>47</v>
      </c>
      <c r="C57" s="19" t="s">
        <v>84</v>
      </c>
      <c r="D57" s="19" t="s">
        <v>84</v>
      </c>
      <c r="E57" s="20" t="s">
        <v>51</v>
      </c>
      <c r="F57" s="46"/>
    </row>
    <row r="58" spans="2:6" x14ac:dyDescent="0.5">
      <c r="E58" s="66" t="s">
        <v>21</v>
      </c>
      <c r="F58" s="46"/>
    </row>
    <row r="59" spans="2:6" x14ac:dyDescent="0.5">
      <c r="B59" s="38"/>
      <c r="C59" s="38"/>
      <c r="D59" s="38"/>
      <c r="E59" s="38"/>
      <c r="F59" s="46"/>
    </row>
    <row r="60" spans="2:6" x14ac:dyDescent="0.5">
      <c r="B60" s="38"/>
      <c r="C60" s="38"/>
      <c r="D60" s="38"/>
      <c r="E60" s="38"/>
      <c r="F60" s="46"/>
    </row>
    <row r="61" spans="2:6" x14ac:dyDescent="0.5">
      <c r="B61" s="38"/>
      <c r="C61" s="38"/>
      <c r="D61" s="38"/>
      <c r="E61" s="38"/>
      <c r="F61" s="46"/>
    </row>
    <row r="62" spans="2:6" x14ac:dyDescent="0.5">
      <c r="B62" s="38"/>
      <c r="C62" s="38"/>
      <c r="D62" s="38"/>
      <c r="E62" s="38"/>
      <c r="F62" s="46"/>
    </row>
    <row r="63" spans="2:6" x14ac:dyDescent="0.5">
      <c r="B63" s="43"/>
      <c r="C63" s="43"/>
      <c r="D63" s="43"/>
      <c r="E63" s="43"/>
      <c r="F63" s="46"/>
    </row>
    <row r="64" spans="2:6" x14ac:dyDescent="0.5">
      <c r="B64" s="16" t="s">
        <v>52</v>
      </c>
      <c r="D64" s="49"/>
      <c r="E64" s="78">
        <f>SUM(E59:E63)</f>
        <v>0</v>
      </c>
      <c r="F64" s="46"/>
    </row>
    <row r="66" spans="2:5" x14ac:dyDescent="0.5">
      <c r="B66" s="44" t="s">
        <v>39</v>
      </c>
      <c r="C66" s="44"/>
      <c r="D66" s="44"/>
      <c r="E66" s="44"/>
    </row>
    <row r="67" spans="2:5" ht="5.25" customHeight="1" x14ac:dyDescent="0.5"/>
    <row r="68" spans="2:5" x14ac:dyDescent="0.5">
      <c r="B68" s="42"/>
      <c r="C68" s="42" t="s">
        <v>56</v>
      </c>
      <c r="D68" s="42" t="s">
        <v>57</v>
      </c>
      <c r="E68" s="42" t="s">
        <v>9</v>
      </c>
    </row>
    <row r="69" spans="2:5" ht="16.8" x14ac:dyDescent="0.95">
      <c r="B69" s="19" t="s">
        <v>55</v>
      </c>
      <c r="C69" s="20" t="s">
        <v>23</v>
      </c>
      <c r="D69" s="20" t="s">
        <v>8</v>
      </c>
      <c r="E69" s="20" t="s">
        <v>58</v>
      </c>
    </row>
    <row r="70" spans="2:5" x14ac:dyDescent="0.5">
      <c r="C70" s="66" t="s">
        <v>21</v>
      </c>
      <c r="D70" s="67" t="s">
        <v>16</v>
      </c>
      <c r="E70" s="66" t="s">
        <v>21</v>
      </c>
    </row>
    <row r="71" spans="2:5" x14ac:dyDescent="0.5">
      <c r="B71" s="38"/>
      <c r="C71" s="52"/>
      <c r="D71" s="48"/>
      <c r="E71" s="46">
        <f>IF(ISNUMBER($D71),IF($E$11&gt;$D71,$C71/$D71,0),0)</f>
        <v>0</v>
      </c>
    </row>
    <row r="72" spans="2:5" x14ac:dyDescent="0.5">
      <c r="B72" s="38"/>
      <c r="C72" s="52"/>
      <c r="D72" s="48"/>
      <c r="E72" s="46">
        <f t="shared" ref="E72:E75" si="2">IF(ISNUMBER($D72),IF($E$11&gt;$D72,$C72/$D72,0),0)</f>
        <v>0</v>
      </c>
    </row>
    <row r="73" spans="2:5" x14ac:dyDescent="0.5">
      <c r="B73" s="38"/>
      <c r="C73" s="52"/>
      <c r="D73" s="48"/>
      <c r="E73" s="46">
        <f t="shared" si="2"/>
        <v>0</v>
      </c>
    </row>
    <row r="74" spans="2:5" x14ac:dyDescent="0.5">
      <c r="B74" s="38"/>
      <c r="C74" s="52"/>
      <c r="D74" s="48"/>
      <c r="E74" s="46">
        <f t="shared" si="2"/>
        <v>0</v>
      </c>
    </row>
    <row r="75" spans="2:5" x14ac:dyDescent="0.5">
      <c r="B75" s="43"/>
      <c r="C75" s="63"/>
      <c r="D75" s="62"/>
      <c r="E75" s="51">
        <f t="shared" si="2"/>
        <v>0</v>
      </c>
    </row>
    <row r="76" spans="2:5" x14ac:dyDescent="0.5">
      <c r="B76" s="16" t="s">
        <v>52</v>
      </c>
      <c r="C76" s="64">
        <f>SUM(C71:C75)</f>
        <v>0</v>
      </c>
      <c r="D76" s="54"/>
      <c r="E76" s="59">
        <f>SUM(E71:E75)</f>
        <v>0</v>
      </c>
    </row>
    <row r="77" spans="2:5" x14ac:dyDescent="0.5">
      <c r="C77" s="49"/>
      <c r="D77" s="49"/>
      <c r="E77" s="49"/>
    </row>
    <row r="78" spans="2:5" x14ac:dyDescent="0.5">
      <c r="B78" s="15" t="s">
        <v>59</v>
      </c>
      <c r="C78" s="49"/>
      <c r="D78" s="49"/>
      <c r="E78" s="65">
        <f>SUMIF(D71:D75,"&lt;"&amp;$E$11,C71:C75)</f>
        <v>0</v>
      </c>
    </row>
    <row r="79" spans="2:5" x14ac:dyDescent="0.5">
      <c r="B79" s="15" t="s">
        <v>60</v>
      </c>
      <c r="C79" s="49"/>
      <c r="D79" s="49"/>
      <c r="E79" s="65">
        <f>+C76-E78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054E4-C4C6-4131-B691-0A982D124051}">
  <sheetPr>
    <tabColor rgb="FF92D050"/>
  </sheetPr>
  <dimension ref="A1:AH45"/>
  <sheetViews>
    <sheetView showGridLines="0" zoomScaleNormal="100" workbookViewId="0"/>
  </sheetViews>
  <sheetFormatPr defaultColWidth="11.68359375" defaultRowHeight="14.1" outlineLevelCol="1" x14ac:dyDescent="0.5"/>
  <cols>
    <col min="1" max="1" width="5.68359375" style="2" customWidth="1"/>
    <col min="2" max="2" width="30.68359375" style="2" customWidth="1"/>
    <col min="3" max="3" width="0.83984375" style="2" customWidth="1"/>
    <col min="4" max="4" width="11.68359375" style="2"/>
    <col min="5" max="5" width="11.68359375" style="2" hidden="1" customWidth="1" outlineLevel="1"/>
    <col min="6" max="6" width="11.68359375" style="2" collapsed="1"/>
    <col min="7" max="10" width="11.68359375" style="2"/>
    <col min="11" max="11" width="0.83984375" style="2" customWidth="1"/>
    <col min="12" max="19" width="11.68359375" style="2" hidden="1" customWidth="1" outlineLevel="1"/>
    <col min="20" max="20" width="0.83984375" style="2" hidden="1" customWidth="1" outlineLevel="1"/>
    <col min="21" max="21" width="11.68359375" style="2" collapsed="1"/>
    <col min="22" max="28" width="11.68359375" style="2"/>
    <col min="29" max="29" width="0.83984375" style="2" customWidth="1"/>
    <col min="30" max="16384" width="11.68359375" style="2"/>
  </cols>
  <sheetData>
    <row r="1" spans="1:34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4" ht="17.399999999999999" x14ac:dyDescent="0.5">
      <c r="A2" s="12" t="s">
        <v>32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4" s="11" customFormat="1" ht="15" x14ac:dyDescent="0.5">
      <c r="A3" s="36" t="s">
        <v>102</v>
      </c>
      <c r="B3" s="14"/>
      <c r="C3" s="13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H3" s="97"/>
    </row>
    <row r="4" spans="1:34" x14ac:dyDescent="0.5">
      <c r="A4" s="15"/>
    </row>
    <row r="5" spans="1:34" s="17" customFormat="1" ht="23.25" customHeight="1" x14ac:dyDescent="0.95">
      <c r="A5" s="16"/>
      <c r="D5" s="18" t="s">
        <v>24</v>
      </c>
      <c r="E5" s="18"/>
      <c r="F5" s="18"/>
      <c r="G5" s="18"/>
      <c r="H5" s="18"/>
      <c r="I5" s="18"/>
      <c r="J5" s="18"/>
      <c r="L5" s="18" t="s">
        <v>130</v>
      </c>
      <c r="M5" s="18"/>
      <c r="N5" s="18"/>
      <c r="O5" s="18"/>
      <c r="P5" s="18"/>
      <c r="Q5" s="18"/>
      <c r="R5" s="18"/>
      <c r="S5" s="18"/>
      <c r="U5" s="18" t="s">
        <v>124</v>
      </c>
      <c r="V5" s="18"/>
      <c r="W5" s="18"/>
      <c r="X5" s="18"/>
      <c r="Y5" s="18"/>
      <c r="Z5" s="18"/>
      <c r="AA5" s="18"/>
      <c r="AB5" s="18"/>
      <c r="AD5" s="18" t="s">
        <v>62</v>
      </c>
      <c r="AE5" s="18"/>
    </row>
    <row r="6" spans="1:34" s="84" customFormat="1" ht="16.8" x14ac:dyDescent="0.95">
      <c r="B6" s="85"/>
      <c r="C6" s="85"/>
      <c r="D6" s="86" t="s">
        <v>17</v>
      </c>
      <c r="E6" s="86"/>
      <c r="F6" s="86" t="s">
        <v>18</v>
      </c>
      <c r="H6" s="86"/>
      <c r="I6" s="85"/>
      <c r="J6" s="86" t="s">
        <v>22</v>
      </c>
      <c r="K6" s="85"/>
      <c r="L6" s="18" t="s">
        <v>25</v>
      </c>
      <c r="M6" s="87"/>
      <c r="N6" s="18" t="s">
        <v>11</v>
      </c>
      <c r="O6" s="87"/>
      <c r="P6" s="18" t="s">
        <v>12</v>
      </c>
      <c r="Q6" s="87"/>
      <c r="R6" s="18" t="s">
        <v>28</v>
      </c>
      <c r="S6" s="87"/>
      <c r="T6" s="85"/>
      <c r="U6" s="18" t="s">
        <v>29</v>
      </c>
      <c r="V6" s="87"/>
      <c r="W6" s="18" t="s">
        <v>13</v>
      </c>
      <c r="X6" s="87"/>
      <c r="Y6" s="18" t="s">
        <v>14</v>
      </c>
      <c r="Z6" s="87"/>
      <c r="AA6" s="18" t="s">
        <v>30</v>
      </c>
      <c r="AB6" s="87"/>
      <c r="AC6" s="85"/>
      <c r="AD6" s="18" t="s">
        <v>63</v>
      </c>
      <c r="AE6" s="18"/>
    </row>
    <row r="7" spans="1:34" s="84" customFormat="1" ht="22.2" x14ac:dyDescent="0.95">
      <c r="B7" s="19" t="s">
        <v>15</v>
      </c>
      <c r="C7" s="86"/>
      <c r="D7" s="20" t="s">
        <v>8</v>
      </c>
      <c r="E7" s="20" t="s">
        <v>131</v>
      </c>
      <c r="F7" s="20" t="s">
        <v>132</v>
      </c>
      <c r="G7" s="20" t="s">
        <v>125</v>
      </c>
      <c r="H7" s="20" t="s">
        <v>126</v>
      </c>
      <c r="I7" s="20" t="s">
        <v>10</v>
      </c>
      <c r="J7" s="20" t="s">
        <v>153</v>
      </c>
      <c r="K7" s="86"/>
      <c r="L7" s="20" t="s">
        <v>26</v>
      </c>
      <c r="M7" s="20" t="s">
        <v>27</v>
      </c>
      <c r="N7" s="20" t="s">
        <v>26</v>
      </c>
      <c r="O7" s="20" t="s">
        <v>27</v>
      </c>
      <c r="P7" s="20" t="s">
        <v>26</v>
      </c>
      <c r="Q7" s="20" t="s">
        <v>27</v>
      </c>
      <c r="R7" s="20" t="s">
        <v>26</v>
      </c>
      <c r="S7" s="20" t="s">
        <v>27</v>
      </c>
      <c r="T7" s="86"/>
      <c r="U7" s="20" t="s">
        <v>26</v>
      </c>
      <c r="V7" s="20" t="s">
        <v>27</v>
      </c>
      <c r="W7" s="20" t="s">
        <v>26</v>
      </c>
      <c r="X7" s="20" t="s">
        <v>27</v>
      </c>
      <c r="Y7" s="20" t="s">
        <v>26</v>
      </c>
      <c r="Z7" s="20" t="s">
        <v>27</v>
      </c>
      <c r="AA7" s="20" t="s">
        <v>26</v>
      </c>
      <c r="AB7" s="20" t="s">
        <v>27</v>
      </c>
      <c r="AC7" s="86"/>
      <c r="AD7" s="20" t="s">
        <v>64</v>
      </c>
      <c r="AE7" s="20" t="s">
        <v>101</v>
      </c>
    </row>
    <row r="8" spans="1:34" s="66" customFormat="1" ht="10.199999999999999" x14ac:dyDescent="0.35">
      <c r="C8" s="68"/>
      <c r="D8" s="67" t="s">
        <v>16</v>
      </c>
      <c r="E8" s="88" t="s">
        <v>21</v>
      </c>
      <c r="F8" s="67" t="s">
        <v>20</v>
      </c>
      <c r="G8" s="67"/>
      <c r="H8" s="67"/>
      <c r="I8" s="67" t="s">
        <v>20</v>
      </c>
      <c r="J8" s="67" t="s">
        <v>20</v>
      </c>
      <c r="K8" s="68"/>
      <c r="L8" s="67" t="s">
        <v>20</v>
      </c>
      <c r="M8" s="67" t="s">
        <v>20</v>
      </c>
      <c r="N8" s="67" t="s">
        <v>20</v>
      </c>
      <c r="O8" s="67" t="s">
        <v>20</v>
      </c>
      <c r="P8" s="67" t="s">
        <v>20</v>
      </c>
      <c r="Q8" s="67" t="s">
        <v>20</v>
      </c>
      <c r="R8" s="67" t="s">
        <v>20</v>
      </c>
      <c r="S8" s="67" t="s">
        <v>20</v>
      </c>
      <c r="T8" s="69"/>
      <c r="U8" s="67" t="s">
        <v>31</v>
      </c>
      <c r="V8" s="67" t="s">
        <v>31</v>
      </c>
      <c r="W8" s="67" t="s">
        <v>31</v>
      </c>
      <c r="X8" s="67" t="s">
        <v>31</v>
      </c>
      <c r="Y8" s="67" t="s">
        <v>31</v>
      </c>
      <c r="Z8" s="67" t="s">
        <v>31</v>
      </c>
      <c r="AA8" s="67" t="s">
        <v>31</v>
      </c>
      <c r="AB8" s="67" t="s">
        <v>31</v>
      </c>
      <c r="AC8" s="68"/>
      <c r="AD8" s="67" t="s">
        <v>31</v>
      </c>
      <c r="AE8" s="67" t="s">
        <v>65</v>
      </c>
    </row>
    <row r="9" spans="1:34" s="66" customFormat="1" ht="10.199999999999999" x14ac:dyDescent="0.35">
      <c r="C9" s="68"/>
      <c r="D9" s="67"/>
      <c r="E9" s="88"/>
      <c r="F9" s="67"/>
      <c r="G9" s="67"/>
      <c r="H9" s="67"/>
      <c r="I9" s="67"/>
      <c r="J9" s="67"/>
      <c r="K9" s="68"/>
      <c r="L9" s="67"/>
      <c r="M9" s="67"/>
      <c r="N9" s="67"/>
      <c r="O9" s="67"/>
      <c r="P9" s="67"/>
      <c r="Q9" s="67"/>
      <c r="R9" s="67"/>
      <c r="S9" s="67"/>
      <c r="T9" s="69"/>
      <c r="U9" s="67"/>
      <c r="V9" s="67"/>
      <c r="W9" s="67"/>
      <c r="X9" s="67"/>
      <c r="Y9" s="67"/>
      <c r="Z9" s="67"/>
      <c r="AA9" s="67"/>
      <c r="AB9" s="67"/>
      <c r="AC9" s="68"/>
      <c r="AD9" s="67"/>
      <c r="AE9" s="67"/>
    </row>
    <row r="10" spans="1:34" s="21" customFormat="1" x14ac:dyDescent="0.5">
      <c r="B10" s="24" t="s">
        <v>133</v>
      </c>
      <c r="C10" s="25"/>
      <c r="D10" s="23">
        <v>3074.96</v>
      </c>
      <c r="E10" s="24">
        <v>518.20000000000005</v>
      </c>
      <c r="F10" s="25">
        <v>1593444.2720000001</v>
      </c>
      <c r="G10" s="25">
        <v>101229</v>
      </c>
      <c r="H10" s="25">
        <v>42122</v>
      </c>
      <c r="I10" s="25">
        <v>59107</v>
      </c>
      <c r="J10" s="25">
        <f t="shared" ref="J10" si="0">+F10+I10</f>
        <v>1652551.2720000001</v>
      </c>
      <c r="K10" s="25"/>
      <c r="L10" s="25">
        <v>472903.18890000001</v>
      </c>
      <c r="M10" s="25">
        <v>557294.06279</v>
      </c>
      <c r="N10" s="25">
        <v>72595.857380000001</v>
      </c>
      <c r="O10" s="25">
        <v>90109.997310000006</v>
      </c>
      <c r="P10" s="25">
        <v>24840.682000000001</v>
      </c>
      <c r="Q10" s="25">
        <v>35107.151360000003</v>
      </c>
      <c r="R10" s="25">
        <v>71886.194589999999</v>
      </c>
      <c r="S10" s="25">
        <v>89037.85656</v>
      </c>
      <c r="T10" s="22"/>
      <c r="U10" s="26"/>
      <c r="V10" s="26"/>
      <c r="W10" s="26"/>
      <c r="X10" s="26"/>
      <c r="Y10" s="26"/>
      <c r="Z10" s="26"/>
      <c r="AA10" s="26"/>
      <c r="AB10" s="26"/>
      <c r="AC10" s="25"/>
      <c r="AD10" s="70">
        <v>1.0837758554237507</v>
      </c>
      <c r="AE10" s="71">
        <v>0.5201019354374643</v>
      </c>
    </row>
    <row r="11" spans="1:34" s="21" customFormat="1" x14ac:dyDescent="0.5">
      <c r="B11" s="24"/>
      <c r="C11" s="25"/>
      <c r="D11" s="23"/>
      <c r="E11" s="24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2"/>
      <c r="U11" s="26"/>
      <c r="V11" s="26"/>
      <c r="W11" s="26"/>
      <c r="X11" s="26"/>
      <c r="Y11" s="26"/>
      <c r="Z11" s="26"/>
      <c r="AA11" s="26"/>
      <c r="AB11" s="26"/>
      <c r="AC11" s="25"/>
      <c r="AD11" s="70"/>
      <c r="AE11" s="71"/>
    </row>
    <row r="12" spans="1:34" s="21" customFormat="1" x14ac:dyDescent="0.5">
      <c r="B12" s="89" t="s">
        <v>103</v>
      </c>
      <c r="C12" s="90"/>
      <c r="D12" s="91"/>
      <c r="E12" s="89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2"/>
      <c r="U12" s="93"/>
      <c r="V12" s="93"/>
      <c r="W12" s="93"/>
      <c r="X12" s="93"/>
      <c r="Y12" s="93"/>
      <c r="Z12" s="93"/>
      <c r="AA12" s="93"/>
      <c r="AB12" s="93"/>
      <c r="AC12" s="90"/>
      <c r="AD12" s="94"/>
      <c r="AE12" s="95"/>
    </row>
    <row r="13" spans="1:34" s="21" customFormat="1" x14ac:dyDescent="0.5">
      <c r="B13" s="24" t="s">
        <v>134</v>
      </c>
      <c r="C13" s="25"/>
      <c r="D13" s="23">
        <v>131.74</v>
      </c>
      <c r="E13" s="24">
        <v>2850.306</v>
      </c>
      <c r="F13" s="25">
        <f t="shared" ref="F13:F16" si="1">+D13*E13</f>
        <v>375499.31244000001</v>
      </c>
      <c r="G13" s="25">
        <v>63702</v>
      </c>
      <c r="H13" s="25">
        <v>17741</v>
      </c>
      <c r="I13" s="25">
        <v>45961</v>
      </c>
      <c r="J13" s="25">
        <f t="shared" ref="J13:J16" si="2">+F13+I13</f>
        <v>421460.31244000001</v>
      </c>
      <c r="K13" s="25"/>
      <c r="L13" s="25">
        <v>552181.35774000001</v>
      </c>
      <c r="M13" s="25">
        <v>549416.58513999998</v>
      </c>
      <c r="N13" s="25">
        <v>35135.367689999999</v>
      </c>
      <c r="O13" s="25">
        <v>34222.162709999997</v>
      </c>
      <c r="P13" s="25">
        <v>18621.81494</v>
      </c>
      <c r="Q13" s="25">
        <v>15511.63768</v>
      </c>
      <c r="R13" s="25">
        <v>30037.416669999999</v>
      </c>
      <c r="S13" s="25">
        <v>26304.909090000001</v>
      </c>
      <c r="T13" s="22"/>
      <c r="U13" s="26"/>
      <c r="V13" s="26"/>
      <c r="W13" s="26"/>
      <c r="X13" s="26"/>
      <c r="Y13" s="26"/>
      <c r="Z13" s="26"/>
      <c r="AA13" s="26"/>
      <c r="AB13" s="26"/>
      <c r="AC13" s="25"/>
      <c r="AD13" s="70">
        <v>0.72776502039277513</v>
      </c>
      <c r="AE13" s="71">
        <v>0.42121759139870268</v>
      </c>
    </row>
    <row r="14" spans="1:34" s="21" customFormat="1" x14ac:dyDescent="0.5">
      <c r="B14" s="24" t="s">
        <v>135</v>
      </c>
      <c r="C14" s="25"/>
      <c r="D14" s="23">
        <v>289.10000000000002</v>
      </c>
      <c r="E14" s="24">
        <v>1077.2231162919404</v>
      </c>
      <c r="F14" s="25">
        <f t="shared" si="1"/>
        <v>311425.20292000001</v>
      </c>
      <c r="G14" s="25">
        <v>43422</v>
      </c>
      <c r="H14" s="25">
        <v>7895</v>
      </c>
      <c r="I14" s="25">
        <v>35527</v>
      </c>
      <c r="J14" s="25">
        <f t="shared" si="2"/>
        <v>346952.20292000001</v>
      </c>
      <c r="K14" s="25"/>
      <c r="L14" s="25">
        <v>130345.63876</v>
      </c>
      <c r="M14" s="25">
        <v>135501.82561999999</v>
      </c>
      <c r="N14" s="25">
        <v>20628.049360000001</v>
      </c>
      <c r="O14" s="25">
        <v>21809.92035</v>
      </c>
      <c r="P14" s="25">
        <v>12803.230390000001</v>
      </c>
      <c r="Q14" s="25">
        <v>13494.422629999999</v>
      </c>
      <c r="R14" s="25">
        <v>16602.2</v>
      </c>
      <c r="S14" s="25">
        <v>16511.545450000001</v>
      </c>
      <c r="T14" s="22"/>
      <c r="U14" s="26"/>
      <c r="V14" s="26"/>
      <c r="W14" s="26"/>
      <c r="X14" s="26"/>
      <c r="Y14" s="26"/>
      <c r="Z14" s="26"/>
      <c r="AA14" s="26"/>
      <c r="AB14" s="26"/>
      <c r="AC14" s="25"/>
      <c r="AD14" s="70">
        <v>13.162170354652925</v>
      </c>
      <c r="AE14" s="71">
        <v>0.92938935382376231</v>
      </c>
    </row>
    <row r="15" spans="1:34" s="21" customFormat="1" x14ac:dyDescent="0.5">
      <c r="B15" s="24" t="s">
        <v>136</v>
      </c>
      <c r="C15" s="25"/>
      <c r="D15" s="23">
        <v>179.49</v>
      </c>
      <c r="E15" s="24">
        <v>735.39225539027245</v>
      </c>
      <c r="F15" s="25">
        <f>+D15*E15</f>
        <v>131995.55592000001</v>
      </c>
      <c r="G15" s="25">
        <v>26211</v>
      </c>
      <c r="H15" s="25">
        <v>4690</v>
      </c>
      <c r="I15" s="25">
        <v>21521</v>
      </c>
      <c r="J15" s="25">
        <f t="shared" si="2"/>
        <v>153516.55592000001</v>
      </c>
      <c r="K15" s="25"/>
      <c r="L15" s="25">
        <v>88607.103929999997</v>
      </c>
      <c r="M15" s="25">
        <v>86709.025899999993</v>
      </c>
      <c r="N15" s="25">
        <v>11134.244769999999</v>
      </c>
      <c r="O15" s="25">
        <v>11558.8452</v>
      </c>
      <c r="P15" s="25">
        <v>6024.8232500000004</v>
      </c>
      <c r="Q15" s="25">
        <v>6736.84627</v>
      </c>
      <c r="R15" s="25">
        <v>9679.0833299999995</v>
      </c>
      <c r="S15" s="25">
        <v>8934.2727300000006</v>
      </c>
      <c r="T15" s="22"/>
      <c r="U15" s="26"/>
      <c r="V15" s="26"/>
      <c r="W15" s="26"/>
      <c r="X15" s="26"/>
      <c r="Y15" s="26"/>
      <c r="Z15" s="26"/>
      <c r="AA15" s="26"/>
      <c r="AB15" s="26"/>
      <c r="AC15" s="25"/>
      <c r="AD15" s="70">
        <v>18.240083507306888</v>
      </c>
      <c r="AE15" s="71">
        <v>0.94802517361111116</v>
      </c>
    </row>
    <row r="16" spans="1:34" s="21" customFormat="1" x14ac:dyDescent="0.5">
      <c r="B16" s="24" t="s">
        <v>137</v>
      </c>
      <c r="C16" s="25"/>
      <c r="D16" s="23">
        <v>187.55</v>
      </c>
      <c r="E16" s="24">
        <v>510.50993079978679</v>
      </c>
      <c r="F16" s="25">
        <f t="shared" si="1"/>
        <v>95746.137521500015</v>
      </c>
      <c r="G16" s="25">
        <v>15109</v>
      </c>
      <c r="H16" s="25">
        <v>8511</v>
      </c>
      <c r="I16" s="25">
        <v>6598</v>
      </c>
      <c r="J16" s="25">
        <f t="shared" si="2"/>
        <v>102344.13752150002</v>
      </c>
      <c r="K16" s="25"/>
      <c r="L16" s="25">
        <v>92600.040420000005</v>
      </c>
      <c r="M16" s="25">
        <v>89625.535659999994</v>
      </c>
      <c r="N16" s="25">
        <v>8872.8074300000007</v>
      </c>
      <c r="O16" s="25">
        <v>8462.5085899999995</v>
      </c>
      <c r="P16" s="25">
        <v>4417.3888900000002</v>
      </c>
      <c r="Q16" s="25">
        <v>4389.3666700000003</v>
      </c>
      <c r="R16" s="25">
        <v>7645.15</v>
      </c>
      <c r="S16" s="25">
        <v>6808.4888899999996</v>
      </c>
      <c r="T16" s="22"/>
      <c r="U16" s="26"/>
      <c r="V16" s="26"/>
      <c r="W16" s="26"/>
      <c r="X16" s="26"/>
      <c r="Y16" s="26"/>
      <c r="Z16" s="26"/>
      <c r="AA16" s="26"/>
      <c r="AB16" s="26"/>
      <c r="AC16" s="25"/>
      <c r="AD16" s="70">
        <v>1.0463296398891966</v>
      </c>
      <c r="AE16" s="98">
        <v>0.51132018003993362</v>
      </c>
    </row>
    <row r="17" spans="2:31" s="21" customFormat="1" x14ac:dyDescent="0.5">
      <c r="B17" s="24"/>
      <c r="C17" s="25"/>
      <c r="D17" s="23"/>
      <c r="E17" s="24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2"/>
      <c r="U17" s="26"/>
      <c r="V17" s="26"/>
      <c r="W17" s="26"/>
      <c r="X17" s="26"/>
      <c r="Y17" s="26"/>
      <c r="Z17" s="26"/>
      <c r="AA17" s="26"/>
      <c r="AB17" s="26"/>
      <c r="AC17" s="25"/>
      <c r="AD17" s="70"/>
      <c r="AE17" s="71"/>
    </row>
    <row r="18" spans="2:31" s="21" customFormat="1" x14ac:dyDescent="0.5">
      <c r="B18" s="89" t="s">
        <v>104</v>
      </c>
      <c r="C18" s="90"/>
      <c r="D18" s="91"/>
      <c r="E18" s="8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2"/>
      <c r="U18" s="93"/>
      <c r="V18" s="93"/>
      <c r="W18" s="93"/>
      <c r="X18" s="93"/>
      <c r="Y18" s="93"/>
      <c r="Z18" s="93"/>
      <c r="AA18" s="93"/>
      <c r="AB18" s="93"/>
      <c r="AC18" s="90"/>
      <c r="AD18" s="94"/>
      <c r="AE18" s="95"/>
    </row>
    <row r="19" spans="2:31" s="21" customFormat="1" x14ac:dyDescent="0.5">
      <c r="B19" s="24" t="s">
        <v>138</v>
      </c>
      <c r="C19" s="25"/>
      <c r="D19" s="23">
        <v>239.79</v>
      </c>
      <c r="E19" s="24">
        <v>2779.6848480195172</v>
      </c>
      <c r="F19" s="25">
        <f t="shared" ref="F19:F21" si="3">+D19*E19</f>
        <v>666540.62970659998</v>
      </c>
      <c r="G19" s="25">
        <v>22676.377759999999</v>
      </c>
      <c r="H19" s="25">
        <v>47810.709739999998</v>
      </c>
      <c r="I19" s="25">
        <v>-25134.331979999999</v>
      </c>
      <c r="J19" s="25">
        <f t="shared" ref="J19:J21" si="4">+F19+I19</f>
        <v>641406.29772659997</v>
      </c>
      <c r="K19" s="25"/>
      <c r="L19" s="25">
        <v>109347.02148</v>
      </c>
      <c r="M19" s="25">
        <v>142802.19070000001</v>
      </c>
      <c r="N19" s="25">
        <v>31910.3796</v>
      </c>
      <c r="O19" s="25">
        <v>39825.065390000003</v>
      </c>
      <c r="P19" s="25">
        <v>26265.21184</v>
      </c>
      <c r="Q19" s="25">
        <v>26230.71586</v>
      </c>
      <c r="R19" s="25">
        <v>40281.82632</v>
      </c>
      <c r="S19" s="25">
        <v>44889.683920000003</v>
      </c>
      <c r="T19" s="22"/>
      <c r="U19" s="26"/>
      <c r="V19" s="26"/>
      <c r="W19" s="26"/>
      <c r="X19" s="26"/>
      <c r="Y19" s="26"/>
      <c r="Z19" s="26"/>
      <c r="AA19" s="26"/>
      <c r="AB19" s="26"/>
      <c r="AC19" s="25"/>
      <c r="AD19" s="70">
        <v>0.1378559303512687</v>
      </c>
      <c r="AE19" s="71">
        <v>0.12115411685617444</v>
      </c>
    </row>
    <row r="20" spans="2:31" s="21" customFormat="1" x14ac:dyDescent="0.5">
      <c r="B20" s="24" t="s">
        <v>139</v>
      </c>
      <c r="C20" s="25"/>
      <c r="D20" s="23">
        <v>59.73</v>
      </c>
      <c r="E20" s="24">
        <v>714</v>
      </c>
      <c r="F20" s="25">
        <f t="shared" si="3"/>
        <v>42647.22</v>
      </c>
      <c r="G20" s="25">
        <v>8317</v>
      </c>
      <c r="H20" s="25">
        <v>1428</v>
      </c>
      <c r="I20" s="25">
        <v>6889</v>
      </c>
      <c r="J20" s="25">
        <f t="shared" si="4"/>
        <v>49536.22</v>
      </c>
      <c r="K20" s="25"/>
      <c r="L20" s="25">
        <v>11917.06796</v>
      </c>
      <c r="M20" s="25">
        <v>12740.373869999999</v>
      </c>
      <c r="N20" s="25">
        <v>4203.6440599999996</v>
      </c>
      <c r="O20" s="25">
        <v>4595.6410699999997</v>
      </c>
      <c r="P20" s="25">
        <v>2285.2234600000002</v>
      </c>
      <c r="Q20" s="25">
        <v>2605.4357100000002</v>
      </c>
      <c r="R20" s="25">
        <v>3661.7280000000001</v>
      </c>
      <c r="S20" s="25">
        <v>3978.1798899999999</v>
      </c>
      <c r="T20" s="22"/>
      <c r="U20" s="26"/>
      <c r="V20" s="26"/>
      <c r="W20" s="26"/>
      <c r="X20" s="26"/>
      <c r="Y20" s="26"/>
      <c r="Z20" s="26"/>
      <c r="AA20" s="26"/>
      <c r="AB20" s="26"/>
      <c r="AC20" s="25"/>
      <c r="AD20" s="70">
        <v>2.335579893288402</v>
      </c>
      <c r="AE20" s="71">
        <v>0.70020205421788184</v>
      </c>
    </row>
    <row r="21" spans="2:31" s="21" customFormat="1" x14ac:dyDescent="0.5">
      <c r="B21" s="24" t="s">
        <v>140</v>
      </c>
      <c r="C21" s="25"/>
      <c r="D21" s="23">
        <v>215.41</v>
      </c>
      <c r="E21" s="24">
        <v>144.63449480180751</v>
      </c>
      <c r="F21" s="25">
        <f t="shared" si="3"/>
        <v>31155.716525257354</v>
      </c>
      <c r="G21" s="25">
        <v>-206.38200000000006</v>
      </c>
      <c r="H21" s="25">
        <v>1244.0989999999999</v>
      </c>
      <c r="I21" s="25">
        <v>-1450.481</v>
      </c>
      <c r="J21" s="25">
        <f t="shared" si="4"/>
        <v>29705.235525257354</v>
      </c>
      <c r="K21" s="25"/>
      <c r="L21" s="25">
        <v>2165.5370200000002</v>
      </c>
      <c r="M21" s="25">
        <v>2578.8431099999998</v>
      </c>
      <c r="N21" s="25">
        <v>649.72310000000004</v>
      </c>
      <c r="O21" s="25">
        <v>786.47409000000005</v>
      </c>
      <c r="P21" s="25">
        <v>443.44204000000002</v>
      </c>
      <c r="Q21" s="25">
        <v>547.65554999999995</v>
      </c>
      <c r="R21" s="25">
        <v>620.60207000000003</v>
      </c>
      <c r="S21" s="25">
        <v>730.79529000000002</v>
      </c>
      <c r="T21" s="22"/>
      <c r="U21" s="26"/>
      <c r="V21" s="26"/>
      <c r="W21" s="26"/>
      <c r="X21" s="26"/>
      <c r="Y21" s="26"/>
      <c r="Z21" s="26"/>
      <c r="AA21" s="26"/>
      <c r="AB21" s="26"/>
      <c r="AC21" s="25"/>
      <c r="AD21" s="70">
        <v>-0.27798400913763571</v>
      </c>
      <c r="AE21" s="98">
        <v>-0.38501087601344686</v>
      </c>
    </row>
    <row r="22" spans="2:31" s="21" customFormat="1" x14ac:dyDescent="0.5">
      <c r="B22" s="24"/>
      <c r="C22" s="25"/>
      <c r="D22" s="23"/>
      <c r="E22" s="24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2"/>
      <c r="U22" s="26"/>
      <c r="V22" s="26"/>
      <c r="W22" s="26"/>
      <c r="X22" s="26"/>
      <c r="Y22" s="26"/>
      <c r="Z22" s="26"/>
      <c r="AA22" s="26"/>
      <c r="AB22" s="26"/>
      <c r="AC22" s="25"/>
      <c r="AD22" s="70"/>
      <c r="AE22" s="71"/>
    </row>
    <row r="23" spans="2:31" s="21" customFormat="1" x14ac:dyDescent="0.5">
      <c r="B23" s="89" t="s">
        <v>105</v>
      </c>
      <c r="C23" s="90"/>
      <c r="D23" s="91"/>
      <c r="E23" s="89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2"/>
      <c r="U23" s="93"/>
      <c r="V23" s="93"/>
      <c r="W23" s="93"/>
      <c r="X23" s="93"/>
      <c r="Y23" s="93"/>
      <c r="Z23" s="93"/>
      <c r="AA23" s="93"/>
      <c r="AB23" s="93"/>
      <c r="AC23" s="90"/>
      <c r="AD23" s="94"/>
      <c r="AE23" s="95"/>
    </row>
    <row r="24" spans="2:31" s="21" customFormat="1" x14ac:dyDescent="0.5">
      <c r="B24" s="24" t="s">
        <v>141</v>
      </c>
      <c r="C24" s="25"/>
      <c r="D24" s="23">
        <v>2026.96</v>
      </c>
      <c r="E24" s="24">
        <v>698.46669399999996</v>
      </c>
      <c r="F24" s="25">
        <f t="shared" ref="F24:F26" si="5">+D24*E24</f>
        <v>1415764.0500702399</v>
      </c>
      <c r="G24" s="25">
        <v>27872</v>
      </c>
      <c r="H24" s="25">
        <v>26465</v>
      </c>
      <c r="I24" s="25">
        <v>1407</v>
      </c>
      <c r="J24" s="25">
        <f t="shared" ref="J24:J26" si="6">+F24+I24</f>
        <v>1417171.0500702399</v>
      </c>
      <c r="K24" s="25"/>
      <c r="L24" s="25">
        <v>225492.86996000001</v>
      </c>
      <c r="M24" s="25">
        <v>263226.96321999998</v>
      </c>
      <c r="N24" s="25">
        <v>83040.118489999993</v>
      </c>
      <c r="O24" s="25">
        <v>97894.609710000004</v>
      </c>
      <c r="P24" s="25">
        <v>47115.029139999999</v>
      </c>
      <c r="Q24" s="25">
        <v>54858.74641</v>
      </c>
      <c r="R24" s="25">
        <v>78171.9228</v>
      </c>
      <c r="S24" s="25">
        <v>90193.719710000005</v>
      </c>
      <c r="T24" s="22"/>
      <c r="U24" s="26"/>
      <c r="V24" s="26"/>
      <c r="W24" s="26"/>
      <c r="X24" s="26"/>
      <c r="Y24" s="26"/>
      <c r="Z24" s="26"/>
      <c r="AA24" s="26"/>
      <c r="AB24" s="26"/>
      <c r="AC24" s="25"/>
      <c r="AD24" s="70">
        <v>0.12524264864476239</v>
      </c>
      <c r="AE24" s="71">
        <v>0.11130279215385598</v>
      </c>
    </row>
    <row r="25" spans="2:31" s="21" customFormat="1" x14ac:dyDescent="0.5">
      <c r="B25" s="24" t="s">
        <v>142</v>
      </c>
      <c r="C25" s="25"/>
      <c r="D25" s="23">
        <v>290.11</v>
      </c>
      <c r="E25" s="24">
        <v>2955.2570000000001</v>
      </c>
      <c r="F25" s="25">
        <f t="shared" si="5"/>
        <v>857349.60827000008</v>
      </c>
      <c r="G25" s="25">
        <v>11177</v>
      </c>
      <c r="H25" s="25">
        <v>17576</v>
      </c>
      <c r="I25" s="25">
        <v>-6399</v>
      </c>
      <c r="J25" s="25">
        <f t="shared" si="6"/>
        <v>850950.60827000008</v>
      </c>
      <c r="K25" s="25"/>
      <c r="L25" s="25">
        <v>107640.68154000001</v>
      </c>
      <c r="M25" s="25">
        <v>128587.15763</v>
      </c>
      <c r="N25" s="25">
        <v>54305.981529999997</v>
      </c>
      <c r="O25" s="25">
        <v>65211.832920000001</v>
      </c>
      <c r="P25" s="25">
        <v>32703.955620000001</v>
      </c>
      <c r="Q25" s="25">
        <v>39218.975769999997</v>
      </c>
      <c r="R25" s="25">
        <v>51470.586669999997</v>
      </c>
      <c r="S25" s="25">
        <v>59559.92</v>
      </c>
      <c r="T25" s="22"/>
      <c r="U25" s="26"/>
      <c r="V25" s="26"/>
      <c r="W25" s="26"/>
      <c r="X25" s="26"/>
      <c r="Y25" s="26"/>
      <c r="Z25" s="26"/>
      <c r="AA25" s="26"/>
      <c r="AB25" s="26"/>
      <c r="AC25" s="25"/>
      <c r="AD25" s="70">
        <v>8.7122924623898979E-2</v>
      </c>
      <c r="AE25" s="71">
        <v>8.0140821843160029E-2</v>
      </c>
    </row>
    <row r="26" spans="2:31" s="21" customFormat="1" x14ac:dyDescent="0.5">
      <c r="B26" s="24" t="s">
        <v>143</v>
      </c>
      <c r="C26" s="25"/>
      <c r="D26" s="23">
        <v>66.23</v>
      </c>
      <c r="E26" s="24">
        <v>885.10652969542036</v>
      </c>
      <c r="F26" s="25">
        <f t="shared" si="5"/>
        <v>58620.605461727697</v>
      </c>
      <c r="G26" s="25">
        <v>2644.4559999999997</v>
      </c>
      <c r="H26" s="25">
        <v>1988.4290000000001</v>
      </c>
      <c r="I26" s="25">
        <v>656.02699999999959</v>
      </c>
      <c r="J26" s="25">
        <f t="shared" si="6"/>
        <v>59276.632461727699</v>
      </c>
      <c r="K26" s="25"/>
      <c r="L26" s="25">
        <v>4810.4875499999998</v>
      </c>
      <c r="M26" s="25">
        <v>5807.9865900000004</v>
      </c>
      <c r="N26" s="25">
        <v>1461.8734199999999</v>
      </c>
      <c r="O26" s="25">
        <v>1874.3901800000001</v>
      </c>
      <c r="P26" s="25">
        <v>193.92546999999999</v>
      </c>
      <c r="Q26" s="25">
        <v>399.27827000000002</v>
      </c>
      <c r="R26" s="25">
        <v>1280.7209</v>
      </c>
      <c r="S26" s="25">
        <v>1788.0740900000001</v>
      </c>
      <c r="T26" s="22"/>
      <c r="U26" s="26"/>
      <c r="V26" s="26"/>
      <c r="W26" s="26"/>
      <c r="X26" s="26"/>
      <c r="Y26" s="26"/>
      <c r="Z26" s="26"/>
      <c r="AA26" s="26"/>
      <c r="AB26" s="26"/>
      <c r="AC26" s="25"/>
      <c r="AD26" s="70">
        <v>0.33179784097578913</v>
      </c>
      <c r="AE26" s="98">
        <v>0.24913528973187524</v>
      </c>
    </row>
    <row r="27" spans="2:31" s="21" customFormat="1" x14ac:dyDescent="0.5">
      <c r="B27" s="24"/>
      <c r="C27" s="25"/>
      <c r="D27" s="23"/>
      <c r="E27" s="24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2"/>
      <c r="U27" s="26"/>
      <c r="V27" s="26"/>
      <c r="W27" s="26"/>
      <c r="X27" s="26"/>
      <c r="Y27" s="26"/>
      <c r="Z27" s="26"/>
      <c r="AA27" s="26"/>
      <c r="AB27" s="26"/>
      <c r="AC27" s="25"/>
      <c r="AD27" s="70"/>
      <c r="AE27" s="71"/>
    </row>
    <row r="28" spans="2:31" s="21" customFormat="1" x14ac:dyDescent="0.5">
      <c r="B28" s="89" t="s">
        <v>106</v>
      </c>
      <c r="C28" s="90"/>
      <c r="D28" s="91"/>
      <c r="E28" s="8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2"/>
      <c r="U28" s="93"/>
      <c r="V28" s="93"/>
      <c r="W28" s="93"/>
      <c r="X28" s="93"/>
      <c r="Y28" s="93"/>
      <c r="Z28" s="93"/>
      <c r="AA28" s="93"/>
      <c r="AB28" s="93"/>
      <c r="AC28" s="90"/>
      <c r="AD28" s="94"/>
      <c r="AE28" s="95"/>
    </row>
    <row r="29" spans="2:31" s="21" customFormat="1" x14ac:dyDescent="0.5">
      <c r="B29" s="24" t="s">
        <v>144</v>
      </c>
      <c r="C29" s="25"/>
      <c r="D29" s="23">
        <v>212.2</v>
      </c>
      <c r="E29" s="24">
        <v>963.81903864278979</v>
      </c>
      <c r="F29" s="25">
        <f t="shared" ref="F29:F32" si="7">+D29*E29</f>
        <v>204522.4</v>
      </c>
      <c r="G29" s="25">
        <v>6413</v>
      </c>
      <c r="H29" s="25">
        <v>6195</v>
      </c>
      <c r="I29" s="25">
        <v>218</v>
      </c>
      <c r="J29" s="25">
        <f t="shared" ref="J29:J32" si="8">+F29+I29</f>
        <v>204740.4</v>
      </c>
      <c r="K29" s="25"/>
      <c r="L29" s="25">
        <v>21116.503550000001</v>
      </c>
      <c r="M29" s="25">
        <v>25701.604480000002</v>
      </c>
      <c r="N29" s="25">
        <v>6337.2324500000004</v>
      </c>
      <c r="O29" s="25">
        <v>7651.0971499999996</v>
      </c>
      <c r="P29" s="25">
        <v>3853.5125200000002</v>
      </c>
      <c r="Q29" s="25">
        <v>134.87329</v>
      </c>
      <c r="R29" s="25">
        <v>4850.5675700000002</v>
      </c>
      <c r="S29" s="25">
        <v>5465.7944600000001</v>
      </c>
      <c r="T29" s="22"/>
      <c r="U29" s="26"/>
      <c r="V29" s="26"/>
      <c r="W29" s="26"/>
      <c r="X29" s="26"/>
      <c r="Y29" s="26"/>
      <c r="Z29" s="26"/>
      <c r="AA29" s="26"/>
      <c r="AB29" s="26"/>
      <c r="AC29" s="25"/>
      <c r="AD29" s="70">
        <v>0.15455619020075675</v>
      </c>
      <c r="AE29" s="71">
        <v>0.13386632154636163</v>
      </c>
    </row>
    <row r="30" spans="2:31" s="21" customFormat="1" x14ac:dyDescent="0.5">
      <c r="B30" s="24" t="s">
        <v>145</v>
      </c>
      <c r="C30" s="25"/>
      <c r="D30" s="23">
        <v>66.260000000000005</v>
      </c>
      <c r="E30" s="24">
        <v>2917</v>
      </c>
      <c r="F30" s="25">
        <f t="shared" si="7"/>
        <v>193280.42</v>
      </c>
      <c r="G30" s="25">
        <v>69299</v>
      </c>
      <c r="H30" s="25">
        <v>22321</v>
      </c>
      <c r="I30" s="25">
        <v>46978</v>
      </c>
      <c r="J30" s="25">
        <f t="shared" si="8"/>
        <v>240258.42</v>
      </c>
      <c r="K30" s="25"/>
      <c r="L30" s="25">
        <v>40012.432399999998</v>
      </c>
      <c r="M30" s="25">
        <v>41013.555549999997</v>
      </c>
      <c r="N30" s="25">
        <v>20306.649720000001</v>
      </c>
      <c r="O30" s="25">
        <v>20590.603650000001</v>
      </c>
      <c r="P30" s="25">
        <v>10368.871419999999</v>
      </c>
      <c r="Q30" s="25">
        <v>10794.986150000001</v>
      </c>
      <c r="R30" s="25">
        <v>14197.866669999999</v>
      </c>
      <c r="S30" s="25">
        <v>14954.488240000001</v>
      </c>
      <c r="T30" s="22"/>
      <c r="U30" s="26"/>
      <c r="V30" s="26"/>
      <c r="W30" s="26"/>
      <c r="X30" s="26"/>
      <c r="Y30" s="26"/>
      <c r="Z30" s="26"/>
      <c r="AA30" s="26"/>
      <c r="AB30" s="26"/>
      <c r="AC30" s="25"/>
      <c r="AD30" s="70">
        <v>7.1909307875894992</v>
      </c>
      <c r="AE30" s="71">
        <v>0.87791375291375295</v>
      </c>
    </row>
    <row r="31" spans="2:31" s="21" customFormat="1" x14ac:dyDescent="0.5">
      <c r="B31" s="24" t="s">
        <v>146</v>
      </c>
      <c r="C31" s="25"/>
      <c r="D31" s="23">
        <v>123.30398</v>
      </c>
      <c r="E31" s="24">
        <v>1196.7125659154813</v>
      </c>
      <c r="F31" s="25">
        <f t="shared" si="7"/>
        <v>147559.42229339117</v>
      </c>
      <c r="G31" s="25">
        <v>18914.984710000001</v>
      </c>
      <c r="H31" s="25">
        <v>6496.6360800000002</v>
      </c>
      <c r="I31" s="25">
        <v>12418.34863</v>
      </c>
      <c r="J31" s="25">
        <f t="shared" si="8"/>
        <v>159977.77092339116</v>
      </c>
      <c r="K31" s="25"/>
      <c r="L31" s="25">
        <v>32812.765039999998</v>
      </c>
      <c r="M31" s="25">
        <v>34043.374669999997</v>
      </c>
      <c r="N31" s="25">
        <v>11490.18958</v>
      </c>
      <c r="O31" s="25">
        <v>11755.686960000001</v>
      </c>
      <c r="P31" s="25">
        <v>4983.72606</v>
      </c>
      <c r="Q31" s="25">
        <v>5375.7334499999997</v>
      </c>
      <c r="R31" s="25">
        <v>6956.5965999999999</v>
      </c>
      <c r="S31" s="25">
        <v>7754.1807600000002</v>
      </c>
      <c r="T31" s="22"/>
      <c r="U31" s="26"/>
      <c r="V31" s="26"/>
      <c r="W31" s="26"/>
      <c r="X31" s="26"/>
      <c r="Y31" s="26"/>
      <c r="Z31" s="26"/>
      <c r="AA31" s="26"/>
      <c r="AB31" s="26"/>
      <c r="AC31" s="25"/>
      <c r="AD31" s="70">
        <v>0.51667334941321708</v>
      </c>
      <c r="AE31" s="71">
        <v>0.34066224583764976</v>
      </c>
    </row>
    <row r="32" spans="2:31" s="21" customFormat="1" x14ac:dyDescent="0.5">
      <c r="B32" s="24" t="s">
        <v>147</v>
      </c>
      <c r="C32" s="25"/>
      <c r="D32" s="23">
        <v>145.97999999999999</v>
      </c>
      <c r="E32" s="24">
        <v>439.51199999999994</v>
      </c>
      <c r="F32" s="25">
        <f t="shared" si="7"/>
        <v>64159.961759999984</v>
      </c>
      <c r="G32" s="25">
        <v>5878</v>
      </c>
      <c r="H32" s="25">
        <v>4692</v>
      </c>
      <c r="I32" s="25">
        <v>1186</v>
      </c>
      <c r="J32" s="25">
        <f t="shared" si="8"/>
        <v>65345.961759999984</v>
      </c>
      <c r="K32" s="25"/>
      <c r="L32" s="25">
        <v>11705.82042</v>
      </c>
      <c r="M32" s="25">
        <v>12729.34497</v>
      </c>
      <c r="N32" s="25">
        <v>4617.1655099999998</v>
      </c>
      <c r="O32" s="25">
        <v>4414.49694</v>
      </c>
      <c r="P32" s="25">
        <v>1699.7864500000001</v>
      </c>
      <c r="Q32" s="25">
        <v>1596.44451</v>
      </c>
      <c r="R32" s="25">
        <v>3755.3091800000002</v>
      </c>
      <c r="S32" s="25">
        <v>3921.2601300000001</v>
      </c>
      <c r="T32" s="22"/>
      <c r="U32" s="26"/>
      <c r="V32" s="26"/>
      <c r="W32" s="26"/>
      <c r="X32" s="26"/>
      <c r="Y32" s="26"/>
      <c r="Z32" s="26"/>
      <c r="AA32" s="26"/>
      <c r="AB32" s="26"/>
      <c r="AC32" s="25"/>
      <c r="AD32" s="70">
        <v>0.64943100209921556</v>
      </c>
      <c r="AE32" s="98">
        <v>0.39373032353138188</v>
      </c>
    </row>
    <row r="33" spans="2:31" s="21" customFormat="1" x14ac:dyDescent="0.5">
      <c r="B33" s="24"/>
      <c r="C33" s="25"/>
      <c r="D33" s="23"/>
      <c r="E33" s="24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2"/>
      <c r="U33" s="26"/>
      <c r="V33" s="26"/>
      <c r="W33" s="26"/>
      <c r="X33" s="26"/>
      <c r="Y33" s="26"/>
      <c r="Z33" s="26"/>
      <c r="AA33" s="26"/>
      <c r="AB33" s="26"/>
      <c r="AC33" s="25"/>
      <c r="AD33" s="70"/>
      <c r="AE33" s="71"/>
    </row>
    <row r="34" spans="2:31" s="21" customFormat="1" x14ac:dyDescent="0.5">
      <c r="B34" s="89" t="s">
        <v>107</v>
      </c>
      <c r="C34" s="90"/>
      <c r="D34" s="91"/>
      <c r="E34" s="89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2"/>
      <c r="U34" s="93"/>
      <c r="V34" s="93"/>
      <c r="W34" s="93"/>
      <c r="X34" s="93"/>
      <c r="Y34" s="93"/>
      <c r="Z34" s="93"/>
      <c r="AA34" s="93"/>
      <c r="AB34" s="93"/>
      <c r="AC34" s="90"/>
      <c r="AD34" s="94"/>
      <c r="AE34" s="95"/>
    </row>
    <row r="35" spans="2:31" s="21" customFormat="1" x14ac:dyDescent="0.5">
      <c r="B35" s="24" t="s">
        <v>148</v>
      </c>
      <c r="C35" s="25"/>
      <c r="D35" s="23">
        <v>512.17999999999995</v>
      </c>
      <c r="E35" s="24">
        <v>456.39056490347144</v>
      </c>
      <c r="F35" s="25">
        <f t="shared" ref="F35:F38" si="9">+D35*E35</f>
        <v>233754.11953225997</v>
      </c>
      <c r="G35" s="25">
        <v>18510.826000000001</v>
      </c>
      <c r="H35" s="25">
        <v>8205.5499999999993</v>
      </c>
      <c r="I35" s="25">
        <v>10305.276000000002</v>
      </c>
      <c r="J35" s="25">
        <f t="shared" ref="J35:J36" si="10">+F35+I35</f>
        <v>244059.39553225998</v>
      </c>
      <c r="K35" s="25"/>
      <c r="L35" s="25">
        <v>30009.294730000001</v>
      </c>
      <c r="M35" s="25">
        <v>34701.41001</v>
      </c>
      <c r="N35" s="25">
        <v>6669.4741400000003</v>
      </c>
      <c r="O35" s="25">
        <v>8404.0180299999993</v>
      </c>
      <c r="P35" s="25">
        <v>4513.9276099999997</v>
      </c>
      <c r="Q35" s="25">
        <v>5881.9483899999996</v>
      </c>
      <c r="R35" s="25">
        <v>500.69011999999998</v>
      </c>
      <c r="S35" s="25">
        <v>1538.0186900000001</v>
      </c>
      <c r="T35" s="22"/>
      <c r="U35" s="26"/>
      <c r="V35" s="26"/>
      <c r="W35" s="26"/>
      <c r="X35" s="26"/>
      <c r="Y35" s="26"/>
      <c r="Z35" s="26"/>
      <c r="AA35" s="26"/>
      <c r="AB35" s="26"/>
      <c r="AC35" s="25"/>
      <c r="AD35" s="70">
        <v>1.6728806605188864</v>
      </c>
      <c r="AE35" s="71">
        <v>0.6258718113490821</v>
      </c>
    </row>
    <row r="36" spans="2:31" s="21" customFormat="1" x14ac:dyDescent="0.5">
      <c r="B36" s="24" t="s">
        <v>149</v>
      </c>
      <c r="C36" s="25"/>
      <c r="D36" s="23">
        <v>272.11</v>
      </c>
      <c r="E36" s="24">
        <v>198.39905316952704</v>
      </c>
      <c r="F36" s="25">
        <f t="shared" si="9"/>
        <v>53986.366357960003</v>
      </c>
      <c r="G36" s="25">
        <v>743.73089000000004</v>
      </c>
      <c r="H36" s="25">
        <v>1407.9510700000001</v>
      </c>
      <c r="I36" s="25">
        <v>-664.22018000000003</v>
      </c>
      <c r="J36" s="25">
        <f t="shared" si="10"/>
        <v>53322.146177960007</v>
      </c>
      <c r="K36" s="25"/>
      <c r="L36" s="25">
        <v>11340.61673</v>
      </c>
      <c r="M36" s="25">
        <v>13579.68958</v>
      </c>
      <c r="N36" s="25">
        <v>-69.601590000000002</v>
      </c>
      <c r="O36" s="25">
        <v>149.45739</v>
      </c>
      <c r="P36" s="25">
        <v>-343.20850000000002</v>
      </c>
      <c r="Q36" s="25">
        <v>-181.57317</v>
      </c>
      <c r="R36" s="25">
        <v>417.85843</v>
      </c>
      <c r="S36" s="25">
        <v>819.78107</v>
      </c>
      <c r="T36" s="22"/>
      <c r="U36" s="26"/>
      <c r="V36" s="26"/>
      <c r="W36" s="26"/>
      <c r="X36" s="26"/>
      <c r="Y36" s="26"/>
      <c r="Z36" s="26"/>
      <c r="AA36" s="26"/>
      <c r="AB36" s="26"/>
      <c r="AC36" s="25"/>
      <c r="AD36" s="70">
        <v>0.21675579417915869</v>
      </c>
      <c r="AE36" s="71">
        <v>0.17814239736198281</v>
      </c>
    </row>
    <row r="37" spans="2:31" s="21" customFormat="1" x14ac:dyDescent="0.5">
      <c r="B37" s="24" t="s">
        <v>150</v>
      </c>
      <c r="C37" s="25"/>
      <c r="D37" s="23">
        <v>347.51</v>
      </c>
      <c r="E37" s="24">
        <v>141.54353552415756</v>
      </c>
      <c r="F37" s="25">
        <f t="shared" si="9"/>
        <v>49187.79402999999</v>
      </c>
      <c r="G37" s="25">
        <v>438.32499999999999</v>
      </c>
      <c r="H37" s="25">
        <v>1092.8150000000001</v>
      </c>
      <c r="I37" s="25">
        <v>-654.49</v>
      </c>
      <c r="J37" s="25">
        <f>+F37+I37</f>
        <v>48533.304029999992</v>
      </c>
      <c r="K37" s="25"/>
      <c r="L37" s="25">
        <v>2529.8315299999999</v>
      </c>
      <c r="M37" s="25">
        <v>3501.87878</v>
      </c>
      <c r="N37" s="25">
        <v>175.32220000000001</v>
      </c>
      <c r="O37" s="25">
        <v>333.93792999999999</v>
      </c>
      <c r="P37" s="25">
        <v>-31.402370000000001</v>
      </c>
      <c r="Q37" s="25">
        <v>79.201099999999997</v>
      </c>
      <c r="R37" s="25">
        <v>181.988</v>
      </c>
      <c r="S37" s="25">
        <v>371.19450000000001</v>
      </c>
      <c r="T37" s="22"/>
      <c r="U37" s="26"/>
      <c r="V37" s="26"/>
      <c r="W37" s="26"/>
      <c r="X37" s="26"/>
      <c r="Y37" s="26"/>
      <c r="Z37" s="26"/>
      <c r="AA37" s="26"/>
      <c r="AB37" s="26"/>
      <c r="AC37" s="25"/>
      <c r="AD37" s="70">
        <v>0.33006027793360765</v>
      </c>
      <c r="AE37" s="71">
        <v>0.24815437571475477</v>
      </c>
    </row>
    <row r="38" spans="2:31" s="21" customFormat="1" x14ac:dyDescent="0.5">
      <c r="B38" s="24" t="s">
        <v>151</v>
      </c>
      <c r="C38" s="25"/>
      <c r="D38" s="23">
        <v>6.08</v>
      </c>
      <c r="E38" s="24">
        <v>4173.1233881578946</v>
      </c>
      <c r="F38" s="25">
        <f t="shared" si="9"/>
        <v>25372.590199999999</v>
      </c>
      <c r="G38" s="25">
        <v>8968</v>
      </c>
      <c r="H38" s="25">
        <v>71</v>
      </c>
      <c r="I38" s="25">
        <v>8897</v>
      </c>
      <c r="J38" s="25">
        <f>+F38+I38</f>
        <v>34269.590199999999</v>
      </c>
      <c r="K38" s="25"/>
      <c r="L38" s="25">
        <v>8407.1327700000002</v>
      </c>
      <c r="M38" s="25">
        <v>8808.2873099999997</v>
      </c>
      <c r="N38" s="25">
        <v>2577.86537</v>
      </c>
      <c r="O38" s="25">
        <v>2753.5601499999998</v>
      </c>
      <c r="P38" s="25">
        <v>1124.9599700000001</v>
      </c>
      <c r="Q38" s="25">
        <v>1251.4385500000001</v>
      </c>
      <c r="R38" s="25">
        <v>1972.0833299999999</v>
      </c>
      <c r="S38" s="25">
        <v>2046.79333</v>
      </c>
      <c r="T38" s="22"/>
      <c r="U38" s="26"/>
      <c r="V38" s="26"/>
      <c r="W38" s="26"/>
      <c r="X38" s="26"/>
      <c r="Y38" s="26"/>
      <c r="Z38" s="26"/>
      <c r="AA38" s="26"/>
      <c r="AB38" s="26"/>
      <c r="AC38" s="25"/>
      <c r="AD38" s="70">
        <v>-3.9247264770240702</v>
      </c>
      <c r="AE38" s="98">
        <v>1.3419123148286698</v>
      </c>
    </row>
    <row r="40" spans="2:31" x14ac:dyDescent="0.5">
      <c r="C40" s="30"/>
      <c r="D40" s="28"/>
      <c r="E40" s="29"/>
      <c r="F40" s="30"/>
      <c r="G40" s="30"/>
      <c r="H40" s="30"/>
      <c r="I40" s="31"/>
      <c r="J40" s="30"/>
      <c r="K40" s="30"/>
      <c r="L40" s="31"/>
      <c r="M40" s="31"/>
      <c r="N40" s="31"/>
      <c r="O40" s="31"/>
      <c r="P40" s="31"/>
      <c r="Q40" s="31"/>
      <c r="R40" s="31"/>
      <c r="S40" s="31"/>
      <c r="T40" s="27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</row>
    <row r="41" spans="2:31" x14ac:dyDescent="0.5">
      <c r="B41" s="2" t="s">
        <v>19</v>
      </c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</row>
    <row r="42" spans="2:31" x14ac:dyDescent="0.5">
      <c r="B42" s="2" t="s">
        <v>85</v>
      </c>
    </row>
    <row r="43" spans="2:31" x14ac:dyDescent="0.5">
      <c r="B43" s="2" t="s">
        <v>75</v>
      </c>
      <c r="C43" s="21"/>
      <c r="D43" s="33"/>
      <c r="E43" s="24"/>
      <c r="F43" s="25"/>
      <c r="G43" s="25"/>
      <c r="H43" s="25"/>
      <c r="I43" s="25"/>
      <c r="J43" s="34"/>
      <c r="K43" s="21"/>
      <c r="L43" s="21"/>
      <c r="M43" s="21"/>
      <c r="N43" s="21"/>
      <c r="O43" s="21"/>
      <c r="AC43" s="21"/>
    </row>
    <row r="44" spans="2:31" x14ac:dyDescent="0.5">
      <c r="B44" s="2" t="s">
        <v>34</v>
      </c>
      <c r="C44" s="21"/>
      <c r="D44" s="33"/>
      <c r="E44" s="24"/>
      <c r="F44" s="25"/>
      <c r="G44" s="25"/>
      <c r="H44" s="25"/>
      <c r="I44" s="25"/>
      <c r="J44" s="34"/>
      <c r="K44" s="21"/>
      <c r="L44" s="21"/>
      <c r="M44" s="21"/>
      <c r="N44" s="21"/>
      <c r="O44" s="21"/>
      <c r="AC44" s="21"/>
    </row>
    <row r="45" spans="2:31" x14ac:dyDescent="0.5">
      <c r="B45" s="2" t="s">
        <v>123</v>
      </c>
      <c r="C45" s="21"/>
      <c r="D45" s="33"/>
      <c r="E45" s="24"/>
      <c r="F45" s="34"/>
      <c r="G45" s="34"/>
      <c r="H45" s="34"/>
      <c r="I45" s="25"/>
      <c r="J45" s="34"/>
      <c r="K45" s="21"/>
      <c r="L45" s="21"/>
      <c r="M45" s="21"/>
      <c r="N45" s="21"/>
      <c r="O45" s="21"/>
      <c r="AC45" s="2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4371-62F4-4636-9339-982F850AA755}">
  <sheetPr>
    <tabColor theme="1"/>
  </sheetPr>
  <dimension ref="A1"/>
  <sheetViews>
    <sheetView showGridLines="0" zoomScaleNormal="100" workbookViewId="0"/>
  </sheetViews>
  <sheetFormatPr defaultRowHeight="14.4" x14ac:dyDescent="0.5500000000000000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215C-C899-4C49-8644-26E26F224ED3}">
  <dimension ref="A1:AH46"/>
  <sheetViews>
    <sheetView showGridLines="0" topLeftCell="A4" zoomScaleNormal="100" workbookViewId="0">
      <selection activeCell="A4" sqref="A4"/>
    </sheetView>
  </sheetViews>
  <sheetFormatPr defaultColWidth="11.68359375" defaultRowHeight="14.1" outlineLevelCol="1" x14ac:dyDescent="0.5"/>
  <cols>
    <col min="1" max="1" width="10" style="2" bestFit="1" customWidth="1"/>
    <col min="2" max="2" width="30.68359375" style="2" customWidth="1"/>
    <col min="3" max="3" width="0.83984375" style="2" customWidth="1"/>
    <col min="4" max="4" width="11.68359375" style="2"/>
    <col min="5" max="5" width="11.68359375" style="2" hidden="1" customWidth="1" outlineLevel="1"/>
    <col min="6" max="6" width="11.68359375" style="2" collapsed="1"/>
    <col min="7" max="10" width="11.68359375" style="2"/>
    <col min="11" max="11" width="0.83984375" style="2" customWidth="1"/>
    <col min="12" max="19" width="11.68359375" style="2" hidden="1" customWidth="1" outlineLevel="1"/>
    <col min="20" max="20" width="0.83984375" style="2" hidden="1" customWidth="1" outlineLevel="1"/>
    <col min="21" max="21" width="11.68359375" style="2" collapsed="1"/>
    <col min="22" max="28" width="11.68359375" style="2"/>
    <col min="29" max="29" width="0.83984375" style="2" customWidth="1"/>
    <col min="30" max="16384" width="11.68359375" style="2"/>
  </cols>
  <sheetData>
    <row r="1" spans="1:34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4" ht="17.399999999999999" x14ac:dyDescent="0.5">
      <c r="A2" s="12" t="s">
        <v>32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G2" s="2" t="s">
        <v>127</v>
      </c>
      <c r="AH2" s="2" t="s">
        <v>128</v>
      </c>
    </row>
    <row r="3" spans="1:34" s="11" customFormat="1" ht="15" x14ac:dyDescent="0.5">
      <c r="A3" s="36" t="s">
        <v>102</v>
      </c>
      <c r="B3" s="14"/>
      <c r="C3" s="13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G3" s="11" t="s">
        <v>129</v>
      </c>
      <c r="AH3" s="97">
        <v>44275</v>
      </c>
    </row>
    <row r="4" spans="1:34" x14ac:dyDescent="0.5">
      <c r="A4" s="15"/>
    </row>
    <row r="5" spans="1:34" s="17" customFormat="1" ht="22.2" x14ac:dyDescent="0.95">
      <c r="A5" s="16"/>
      <c r="D5" s="18" t="s">
        <v>24</v>
      </c>
      <c r="E5" s="18"/>
      <c r="F5" s="18"/>
      <c r="G5" s="18"/>
      <c r="H5" s="18"/>
      <c r="I5" s="18"/>
      <c r="J5" s="18"/>
      <c r="L5" s="18" t="s">
        <v>67</v>
      </c>
      <c r="M5" s="18"/>
      <c r="N5" s="18"/>
      <c r="O5" s="18"/>
      <c r="P5" s="18"/>
      <c r="Q5" s="18"/>
      <c r="R5" s="18"/>
      <c r="S5" s="18"/>
      <c r="U5" s="18" t="s">
        <v>124</v>
      </c>
      <c r="V5" s="18"/>
      <c r="W5" s="18"/>
      <c r="X5" s="18"/>
      <c r="Y5" s="18"/>
      <c r="Z5" s="18"/>
      <c r="AA5" s="18"/>
      <c r="AB5" s="18"/>
      <c r="AD5" s="18" t="s">
        <v>62</v>
      </c>
      <c r="AE5" s="18"/>
    </row>
    <row r="6" spans="1:34" s="84" customFormat="1" ht="16.8" x14ac:dyDescent="0.95">
      <c r="B6" s="85"/>
      <c r="C6" s="85"/>
      <c r="D6" s="86" t="s">
        <v>17</v>
      </c>
      <c r="E6" s="86"/>
      <c r="F6" s="86" t="s">
        <v>18</v>
      </c>
      <c r="H6" s="86"/>
      <c r="I6" s="85"/>
      <c r="J6" s="86" t="s">
        <v>22</v>
      </c>
      <c r="K6" s="85"/>
      <c r="L6" s="18" t="s">
        <v>25</v>
      </c>
      <c r="M6" s="87"/>
      <c r="N6" s="18" t="s">
        <v>11</v>
      </c>
      <c r="O6" s="87"/>
      <c r="P6" s="18" t="s">
        <v>12</v>
      </c>
      <c r="Q6" s="87"/>
      <c r="R6" s="18" t="s">
        <v>28</v>
      </c>
      <c r="S6" s="87"/>
      <c r="T6" s="85"/>
      <c r="U6" s="18" t="s">
        <v>29</v>
      </c>
      <c r="V6" s="87"/>
      <c r="W6" s="18" t="s">
        <v>13</v>
      </c>
      <c r="X6" s="87"/>
      <c r="Y6" s="18" t="s">
        <v>14</v>
      </c>
      <c r="Z6" s="87"/>
      <c r="AA6" s="18" t="s">
        <v>30</v>
      </c>
      <c r="AB6" s="87"/>
      <c r="AC6" s="85"/>
      <c r="AD6" s="18" t="s">
        <v>63</v>
      </c>
      <c r="AE6" s="18"/>
    </row>
    <row r="7" spans="1:34" s="84" customFormat="1" ht="19.2" x14ac:dyDescent="0.95">
      <c r="B7" s="19" t="s">
        <v>15</v>
      </c>
      <c r="C7" s="86"/>
      <c r="D7" s="20" t="s">
        <v>8</v>
      </c>
      <c r="E7" s="20" t="s">
        <v>68</v>
      </c>
      <c r="F7" s="20" t="s">
        <v>69</v>
      </c>
      <c r="G7" s="20" t="s">
        <v>125</v>
      </c>
      <c r="H7" s="20" t="s">
        <v>126</v>
      </c>
      <c r="I7" s="20" t="s">
        <v>10</v>
      </c>
      <c r="J7" s="20" t="s">
        <v>70</v>
      </c>
      <c r="K7" s="86"/>
      <c r="L7" s="20" t="s">
        <v>26</v>
      </c>
      <c r="M7" s="20" t="s">
        <v>27</v>
      </c>
      <c r="N7" s="20" t="s">
        <v>26</v>
      </c>
      <c r="O7" s="20" t="s">
        <v>27</v>
      </c>
      <c r="P7" s="20" t="s">
        <v>26</v>
      </c>
      <c r="Q7" s="20" t="s">
        <v>27</v>
      </c>
      <c r="R7" s="20" t="s">
        <v>26</v>
      </c>
      <c r="S7" s="20" t="s">
        <v>27</v>
      </c>
      <c r="T7" s="86"/>
      <c r="U7" s="20" t="s">
        <v>26</v>
      </c>
      <c r="V7" s="20" t="s">
        <v>27</v>
      </c>
      <c r="W7" s="20" t="s">
        <v>26</v>
      </c>
      <c r="X7" s="20" t="s">
        <v>27</v>
      </c>
      <c r="Y7" s="20" t="s">
        <v>26</v>
      </c>
      <c r="Z7" s="20" t="s">
        <v>27</v>
      </c>
      <c r="AA7" s="20" t="s">
        <v>26</v>
      </c>
      <c r="AB7" s="20" t="s">
        <v>27</v>
      </c>
      <c r="AC7" s="86"/>
      <c r="AD7" s="20" t="s">
        <v>64</v>
      </c>
      <c r="AE7" s="20" t="s">
        <v>101</v>
      </c>
    </row>
    <row r="8" spans="1:34" s="66" customFormat="1" ht="10.199999999999999" x14ac:dyDescent="0.35">
      <c r="C8" s="68"/>
      <c r="D8" s="67" t="s">
        <v>16</v>
      </c>
      <c r="E8" s="88" t="s">
        <v>21</v>
      </c>
      <c r="F8" s="67" t="s">
        <v>20</v>
      </c>
      <c r="G8" s="67"/>
      <c r="H8" s="67"/>
      <c r="I8" s="67" t="s">
        <v>20</v>
      </c>
      <c r="J8" s="67" t="s">
        <v>20</v>
      </c>
      <c r="K8" s="68"/>
      <c r="L8" s="67" t="s">
        <v>20</v>
      </c>
      <c r="M8" s="67" t="s">
        <v>20</v>
      </c>
      <c r="N8" s="67" t="s">
        <v>20</v>
      </c>
      <c r="O8" s="67" t="s">
        <v>20</v>
      </c>
      <c r="P8" s="67" t="s">
        <v>20</v>
      </c>
      <c r="Q8" s="67" t="s">
        <v>20</v>
      </c>
      <c r="R8" s="67" t="s">
        <v>20</v>
      </c>
      <c r="S8" s="67" t="s">
        <v>20</v>
      </c>
      <c r="T8" s="69"/>
      <c r="U8" s="67" t="s">
        <v>31</v>
      </c>
      <c r="V8" s="67" t="s">
        <v>31</v>
      </c>
      <c r="W8" s="67" t="s">
        <v>31</v>
      </c>
      <c r="X8" s="67" t="s">
        <v>31</v>
      </c>
      <c r="Y8" s="67" t="s">
        <v>31</v>
      </c>
      <c r="Z8" s="67" t="s">
        <v>31</v>
      </c>
      <c r="AA8" s="67" t="s">
        <v>31</v>
      </c>
      <c r="AB8" s="67" t="s">
        <v>31</v>
      </c>
      <c r="AC8" s="68"/>
      <c r="AD8" s="67" t="s">
        <v>31</v>
      </c>
      <c r="AE8" s="67" t="s">
        <v>65</v>
      </c>
    </row>
    <row r="9" spans="1:34" s="66" customFormat="1" ht="10.199999999999999" x14ac:dyDescent="0.35">
      <c r="C9" s="68"/>
      <c r="D9" s="67"/>
      <c r="E9" s="88"/>
      <c r="F9" s="67"/>
      <c r="G9" s="67"/>
      <c r="H9" s="67"/>
      <c r="I9" s="67"/>
      <c r="J9" s="67"/>
      <c r="K9" s="68"/>
      <c r="L9" s="67"/>
      <c r="M9" s="67"/>
      <c r="N9" s="67"/>
      <c r="O9" s="67"/>
      <c r="P9" s="67"/>
      <c r="Q9" s="67"/>
      <c r="R9" s="67"/>
      <c r="S9" s="67"/>
      <c r="T9" s="69"/>
      <c r="U9" s="67"/>
      <c r="V9" s="67"/>
      <c r="W9" s="67"/>
      <c r="X9" s="67"/>
      <c r="Y9" s="67"/>
      <c r="Z9" s="67"/>
      <c r="AA9" s="67"/>
      <c r="AB9" s="67"/>
      <c r="AC9" s="68"/>
      <c r="AD9" s="67"/>
      <c r="AE9" s="67"/>
    </row>
    <row r="10" spans="1:34" s="21" customFormat="1" x14ac:dyDescent="0.5">
      <c r="B10" s="24" t="str">
        <f>+AMZN!$B$6</f>
        <v>Amazon.com, Inc.</v>
      </c>
      <c r="C10" s="25"/>
      <c r="D10" s="23">
        <f>+AMZN!$E$11</f>
        <v>153.74799999999999</v>
      </c>
      <c r="E10" s="24">
        <f>+AMZN!$E$19</f>
        <v>10075.200000000001</v>
      </c>
      <c r="F10" s="25">
        <f t="shared" ref="F10" si="0">+D10*E10</f>
        <v>1549041.8496000001</v>
      </c>
      <c r="G10" s="25">
        <f>AMZN!E29</f>
        <v>104740</v>
      </c>
      <c r="H10" s="25">
        <f>AMZN!E23</f>
        <v>42122</v>
      </c>
      <c r="I10" s="25">
        <f>+AMZN!$E$31</f>
        <v>62618</v>
      </c>
      <c r="J10" s="25">
        <f>+F10+I10</f>
        <v>1611659.8496000001</v>
      </c>
      <c r="K10" s="25"/>
      <c r="L10" s="25">
        <f>+AMZN!$H$11</f>
        <v>470452.14561000001</v>
      </c>
      <c r="M10" s="25">
        <f>+AMZN!$I$11</f>
        <v>510555.65427</v>
      </c>
      <c r="N10" s="25">
        <f>+AMZN!$H$12</f>
        <v>69789.425560000003</v>
      </c>
      <c r="O10" s="25">
        <f>+AMZN!$I$12</f>
        <v>70594.076140000005</v>
      </c>
      <c r="P10" s="25">
        <f>+AMZN!$H$13</f>
        <v>21086.060819999999</v>
      </c>
      <c r="Q10" s="25">
        <f>+AMZN!$I$13</f>
        <v>-1121.8664900000001</v>
      </c>
      <c r="R10" s="25">
        <f>+AMZN!$H$14</f>
        <v>60923.793310000001</v>
      </c>
      <c r="S10" s="25">
        <f>+AMZN!$I$14</f>
        <v>48201.212500000001</v>
      </c>
      <c r="T10" s="22"/>
      <c r="U10" s="26"/>
      <c r="V10" s="26"/>
      <c r="W10" s="26"/>
      <c r="X10" s="26"/>
      <c r="Y10" s="26"/>
      <c r="Z10" s="26"/>
      <c r="AA10" s="26"/>
      <c r="AB10" s="26"/>
      <c r="AC10" s="25"/>
      <c r="AD10" s="70">
        <f>+AMZN!$I$23</f>
        <v>1.121365252023468</v>
      </c>
      <c r="AE10" s="71">
        <f>+AMZN!$I$24</f>
        <v>0.5286054586563308</v>
      </c>
    </row>
    <row r="11" spans="1:34" s="21" customFormat="1" x14ac:dyDescent="0.5">
      <c r="B11" s="24"/>
      <c r="C11" s="25"/>
      <c r="D11" s="23"/>
      <c r="E11" s="24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2"/>
      <c r="U11" s="26"/>
      <c r="V11" s="26"/>
      <c r="W11" s="26"/>
      <c r="X11" s="26"/>
      <c r="Y11" s="26"/>
      <c r="Z11" s="26"/>
      <c r="AA11" s="26"/>
      <c r="AB11" s="26"/>
      <c r="AC11" s="25"/>
      <c r="AD11" s="70"/>
      <c r="AE11" s="71"/>
    </row>
    <row r="12" spans="1:34" s="21" customFormat="1" x14ac:dyDescent="0.5">
      <c r="B12" s="89" t="s">
        <v>103</v>
      </c>
      <c r="C12" s="90"/>
      <c r="D12" s="91"/>
      <c r="E12" s="89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2"/>
      <c r="U12" s="93"/>
      <c r="V12" s="93"/>
      <c r="W12" s="93"/>
      <c r="X12" s="93"/>
      <c r="Y12" s="93"/>
      <c r="Z12" s="93"/>
      <c r="AA12" s="93"/>
      <c r="AB12" s="93"/>
      <c r="AC12" s="90"/>
      <c r="AD12" s="94"/>
      <c r="AE12" s="95"/>
    </row>
    <row r="13" spans="1:34" s="21" customFormat="1" x14ac:dyDescent="0.5">
      <c r="B13" s="24" t="str">
        <f>+WMT!$B$6</f>
        <v>Walmart Inc.</v>
      </c>
      <c r="C13" s="25"/>
      <c r="D13" s="23">
        <f>+WMT!$E$11</f>
        <v>43.913330000000002</v>
      </c>
      <c r="E13" s="24">
        <f>+WMT!$E$19</f>
        <v>8492.3060000000005</v>
      </c>
      <c r="F13" s="25">
        <f>+D13*E13</f>
        <v>372925.43583898002</v>
      </c>
      <c r="G13" s="25">
        <f>WMT!E29</f>
        <v>63640</v>
      </c>
      <c r="H13" s="25">
        <f>WMT!E23</f>
        <v>17741</v>
      </c>
      <c r="I13" s="25">
        <f>+WMT!$E$31</f>
        <v>45899</v>
      </c>
      <c r="J13" s="25">
        <f>+F13+I13</f>
        <v>418824.43583898002</v>
      </c>
      <c r="K13" s="25"/>
      <c r="L13" s="25">
        <f>+WMT!$H$11</f>
        <v>552181.35774000001</v>
      </c>
      <c r="M13" s="25">
        <f>+WMT!$I$11</f>
        <v>567641.65714000002</v>
      </c>
      <c r="N13" s="25">
        <f>+WMT!$H$12</f>
        <v>35135.367689999999</v>
      </c>
      <c r="O13" s="25">
        <f>+WMT!$I$12</f>
        <v>37013.018450000003</v>
      </c>
      <c r="P13" s="25">
        <f>+WMT!$H$13</f>
        <v>18621.81494</v>
      </c>
      <c r="Q13" s="25">
        <f>+WMT!$I$13</f>
        <v>14288.424999999999</v>
      </c>
      <c r="R13" s="25">
        <f>+WMT!$H$14</f>
        <v>30037.416669999999</v>
      </c>
      <c r="S13" s="25">
        <f>+WMT!$I$14</f>
        <v>27681.727269999999</v>
      </c>
      <c r="T13" s="22"/>
      <c r="U13" s="26"/>
      <c r="V13" s="26"/>
      <c r="W13" s="26"/>
      <c r="X13" s="26"/>
      <c r="Y13" s="26"/>
      <c r="Z13" s="26"/>
      <c r="AA13" s="26"/>
      <c r="AB13" s="26"/>
      <c r="AC13" s="25"/>
      <c r="AD13" s="70">
        <f>+WMT!$I$23</f>
        <v>0.72705669991203115</v>
      </c>
      <c r="AE13" s="71">
        <f>+WMT!$I$24</f>
        <v>0.42098021445912243</v>
      </c>
    </row>
    <row r="14" spans="1:34" s="21" customFormat="1" x14ac:dyDescent="0.5">
      <c r="B14" s="24" t="str">
        <f>+HD!$B$6</f>
        <v>The Home Depot, Inc.</v>
      </c>
      <c r="C14" s="25"/>
      <c r="D14" s="23">
        <f>+HD!$E$11</f>
        <v>289.10000000000002</v>
      </c>
      <c r="E14" s="24">
        <f>+HD!$E$19</f>
        <v>1080.2231162919404</v>
      </c>
      <c r="F14" s="25">
        <f>+D14*E14</f>
        <v>312292.50292</v>
      </c>
      <c r="G14" s="25">
        <f>HD!E29</f>
        <v>43422</v>
      </c>
      <c r="H14" s="25">
        <f>HD!E23</f>
        <v>7895</v>
      </c>
      <c r="I14" s="25">
        <f>+HD!$E$31</f>
        <v>35527</v>
      </c>
      <c r="J14" s="25">
        <f>+F14+I14</f>
        <v>347819.50292</v>
      </c>
      <c r="K14" s="25"/>
      <c r="L14" s="25">
        <f>+HD!$H$11</f>
        <v>130345.63710000001</v>
      </c>
      <c r="M14" s="25">
        <f>+HD!$I$11</f>
        <v>135501.82561999999</v>
      </c>
      <c r="N14" s="25">
        <f>+HD!$H$12</f>
        <v>20628.049360000001</v>
      </c>
      <c r="O14" s="25">
        <f>+HD!$I$12</f>
        <v>21809.92035</v>
      </c>
      <c r="P14" s="25">
        <f>+HD!$H$13</f>
        <v>12804.15921</v>
      </c>
      <c r="Q14" s="25">
        <f>+HD!$I$13</f>
        <v>13494.422629999999</v>
      </c>
      <c r="R14" s="25">
        <f>+HD!$H$14</f>
        <v>16602.2</v>
      </c>
      <c r="S14" s="25">
        <f>+HD!$I$14</f>
        <v>16511.545450000001</v>
      </c>
      <c r="T14" s="22"/>
      <c r="U14" s="26"/>
      <c r="V14" s="26"/>
      <c r="W14" s="26"/>
      <c r="X14" s="26"/>
      <c r="Y14" s="26"/>
      <c r="Z14" s="26"/>
      <c r="AA14" s="26"/>
      <c r="AB14" s="26"/>
      <c r="AC14" s="25"/>
      <c r="AD14" s="70">
        <f>+HD!$I$23</f>
        <v>13.162170354652925</v>
      </c>
      <c r="AE14" s="71">
        <f>+HD!$I$24</f>
        <v>0.92938935382376231</v>
      </c>
    </row>
    <row r="15" spans="1:34" s="21" customFormat="1" x14ac:dyDescent="0.5">
      <c r="B15" s="24" t="str">
        <f>+LOW!$B$6</f>
        <v>Lowe's Companies, Inc.</v>
      </c>
      <c r="C15" s="25"/>
      <c r="D15" s="23">
        <f>+LOW!$E$11</f>
        <v>179.49</v>
      </c>
      <c r="E15" s="24">
        <f>+LOW!$E$19</f>
        <v>735.39225539027245</v>
      </c>
      <c r="F15" s="25">
        <f>+D15*E15</f>
        <v>131995.55592000001</v>
      </c>
      <c r="G15" s="25">
        <f>LOW!E29</f>
        <v>26211</v>
      </c>
      <c r="H15" s="25">
        <f>LOW!E23</f>
        <v>4690</v>
      </c>
      <c r="I15" s="25">
        <f>+LOW!$E$31</f>
        <v>21521</v>
      </c>
      <c r="J15" s="25">
        <f>+F15+I15</f>
        <v>153516.55592000001</v>
      </c>
      <c r="K15" s="25"/>
      <c r="L15" s="25">
        <f>+LOW!$H$11</f>
        <v>88644.389639999994</v>
      </c>
      <c r="M15" s="25">
        <f>+LOW!$I$11</f>
        <v>95796.8177</v>
      </c>
      <c r="N15" s="25">
        <f>+LOW!$H$12</f>
        <v>11134.244769999999</v>
      </c>
      <c r="O15" s="25">
        <f>+LOW!$I$12</f>
        <v>13786.583549999999</v>
      </c>
      <c r="P15" s="25">
        <f>+LOW!$H$13</f>
        <v>6024.8232500000004</v>
      </c>
      <c r="Q15" s="25">
        <f>+LOW!$I$13</f>
        <v>8326.3219300000001</v>
      </c>
      <c r="R15" s="25">
        <f>+LOW!$H$14</f>
        <v>9679.0833299999995</v>
      </c>
      <c r="S15" s="25">
        <f>+LOW!$I$14</f>
        <v>11097.74</v>
      </c>
      <c r="T15" s="22"/>
      <c r="U15" s="26"/>
      <c r="V15" s="26"/>
      <c r="W15" s="26"/>
      <c r="X15" s="26"/>
      <c r="Y15" s="26"/>
      <c r="Z15" s="26"/>
      <c r="AA15" s="26"/>
      <c r="AB15" s="26"/>
      <c r="AC15" s="25"/>
      <c r="AD15" s="70">
        <f>+LOW!$I$23</f>
        <v>18.240083507306888</v>
      </c>
      <c r="AE15" s="71">
        <f>+LOW!$I$24</f>
        <v>0.94802517361111116</v>
      </c>
    </row>
    <row r="16" spans="1:34" s="21" customFormat="1" x14ac:dyDescent="0.5">
      <c r="B16" s="24" t="str">
        <f>+TGT!$B$6</f>
        <v>Target Corporation</v>
      </c>
      <c r="C16" s="25"/>
      <c r="D16" s="23">
        <f>+TGT!$E$11</f>
        <v>187.55</v>
      </c>
      <c r="E16" s="24">
        <f>+TGT!$E$19</f>
        <v>510.50993079978679</v>
      </c>
      <c r="F16" s="25">
        <f>+D16*E16</f>
        <v>95746.137521500015</v>
      </c>
      <c r="G16" s="25">
        <f>TGT!E29</f>
        <v>15109</v>
      </c>
      <c r="H16" s="25">
        <f>TGT!E23</f>
        <v>8511</v>
      </c>
      <c r="I16" s="25">
        <f>+TGT!$E$31</f>
        <v>6598</v>
      </c>
      <c r="J16" s="25">
        <f>+F16+I16</f>
        <v>102344.13752150002</v>
      </c>
      <c r="K16" s="25"/>
      <c r="L16" s="25">
        <f>+TGT!$H$11</f>
        <v>92600.040420000005</v>
      </c>
      <c r="M16" s="25">
        <f>+TGT!$I$11</f>
        <v>106336.68332</v>
      </c>
      <c r="N16" s="25">
        <f>+TGT!$H$12</f>
        <v>8872.8074300000007</v>
      </c>
      <c r="O16" s="25">
        <f>+TGT!$I$12</f>
        <v>11294.03363</v>
      </c>
      <c r="P16" s="25">
        <f>+TGT!$H$13</f>
        <v>4417.3888900000002</v>
      </c>
      <c r="Q16" s="25">
        <f>+TGT!$I$13</f>
        <v>6692.8571400000001</v>
      </c>
      <c r="R16" s="25">
        <f>+TGT!$H$14</f>
        <v>7645.15</v>
      </c>
      <c r="S16" s="25">
        <f>+TGT!$I$14</f>
        <v>8391.1749999999993</v>
      </c>
      <c r="T16" s="22"/>
      <c r="U16" s="26"/>
      <c r="V16" s="26"/>
      <c r="W16" s="26"/>
      <c r="X16" s="26"/>
      <c r="Y16" s="26"/>
      <c r="Z16" s="26"/>
      <c r="AA16" s="26"/>
      <c r="AB16" s="26"/>
      <c r="AC16" s="25"/>
      <c r="AD16" s="70">
        <f>+TGT!$I$23</f>
        <v>1.0463296398891966</v>
      </c>
      <c r="AE16" s="98">
        <f>+TGT!$I$24</f>
        <v>0.51132018003993362</v>
      </c>
    </row>
    <row r="17" spans="1:31" s="17" customFormat="1" x14ac:dyDescent="0.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100"/>
      <c r="V17" s="100"/>
      <c r="W17" s="100"/>
      <c r="X17" s="100"/>
      <c r="Y17" s="100"/>
      <c r="Z17" s="100"/>
      <c r="AA17" s="100"/>
      <c r="AB17" s="100"/>
      <c r="AC17" s="99"/>
      <c r="AD17" s="100"/>
      <c r="AE17" s="101"/>
    </row>
    <row r="18" spans="1:31" s="21" customFormat="1" x14ac:dyDescent="0.5">
      <c r="B18" s="89" t="s">
        <v>104</v>
      </c>
      <c r="C18" s="90"/>
      <c r="D18" s="91"/>
      <c r="E18" s="8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2"/>
      <c r="U18" s="93"/>
      <c r="V18" s="93"/>
      <c r="W18" s="93"/>
      <c r="X18" s="93"/>
      <c r="Y18" s="93"/>
      <c r="Z18" s="93"/>
      <c r="AA18" s="93"/>
      <c r="AB18" s="93"/>
      <c r="AC18" s="90"/>
      <c r="AD18" s="94"/>
      <c r="AE18" s="95"/>
    </row>
    <row r="19" spans="1:31" s="21" customFormat="1" x14ac:dyDescent="0.5">
      <c r="B19" s="24" t="str">
        <f>+BABA!$B$6</f>
        <v>Alibaba Group Holding Limited</v>
      </c>
      <c r="C19" s="25"/>
      <c r="D19" s="23">
        <f>+BABA!$E$11</f>
        <v>239.79</v>
      </c>
      <c r="E19" s="24">
        <f>+BABA!$E$19</f>
        <v>2779.6848480195172</v>
      </c>
      <c r="F19" s="25">
        <f>+D19*E19</f>
        <v>666540.62970659998</v>
      </c>
      <c r="G19" s="25">
        <f>BABA!E29</f>
        <v>22676.377759999999</v>
      </c>
      <c r="H19" s="25">
        <f>BABA!E23</f>
        <v>47810.709739999998</v>
      </c>
      <c r="I19" s="25">
        <f>+BABA!$E$31</f>
        <v>-25134.331979999999</v>
      </c>
      <c r="J19" s="25">
        <f>+F19+I19</f>
        <v>641406.29772659997</v>
      </c>
      <c r="K19" s="25"/>
      <c r="L19" s="25">
        <f>+BABA!$H$11</f>
        <v>107918.11225000001</v>
      </c>
      <c r="M19" s="25">
        <f>+BABA!$I$11</f>
        <v>134077.46238000001</v>
      </c>
      <c r="N19" s="25">
        <f>+BABA!$H$12</f>
        <v>30513.316750000002</v>
      </c>
      <c r="O19" s="25">
        <f>+BABA!$I$12</f>
        <v>23750.186519999999</v>
      </c>
      <c r="P19" s="25">
        <f>+BABA!$H$13</f>
        <v>25320.347860000002</v>
      </c>
      <c r="Q19" s="25">
        <f>+BABA!$I$13</f>
        <v>12693.443590000001</v>
      </c>
      <c r="R19" s="25">
        <f>+BABA!$H$14</f>
        <v>38326.536480000002</v>
      </c>
      <c r="S19" s="25">
        <f>+BABA!$I$14</f>
        <v>25868.579379999999</v>
      </c>
      <c r="T19" s="22"/>
      <c r="U19" s="26"/>
      <c r="V19" s="26"/>
      <c r="W19" s="26"/>
      <c r="X19" s="26"/>
      <c r="Y19" s="26"/>
      <c r="Z19" s="26"/>
      <c r="AA19" s="26"/>
      <c r="AB19" s="26"/>
      <c r="AC19" s="25"/>
      <c r="AD19" s="70">
        <f>+BABA!$I$23</f>
        <v>0.1378559303512687</v>
      </c>
      <c r="AE19" s="71">
        <f>+BABA!$I$24</f>
        <v>0.12115411685617444</v>
      </c>
    </row>
    <row r="20" spans="1:31" s="21" customFormat="1" x14ac:dyDescent="0.5">
      <c r="B20" s="24" t="str">
        <f>+EBAY!$B$6</f>
        <v>eBay Inc.</v>
      </c>
      <c r="C20" s="25"/>
      <c r="D20" s="23">
        <f>+EBAY!$E$11</f>
        <v>59.73</v>
      </c>
      <c r="E20" s="24">
        <f>+EBAY!$E$19</f>
        <v>714</v>
      </c>
      <c r="F20" s="25">
        <f>+D20*E20</f>
        <v>42647.22</v>
      </c>
      <c r="G20" s="25">
        <f>EBAY!E29</f>
        <v>8217</v>
      </c>
      <c r="H20" s="25">
        <f>EBAY!E23</f>
        <v>1101</v>
      </c>
      <c r="I20" s="25">
        <f>+EBAY!$E$31</f>
        <v>7116</v>
      </c>
      <c r="J20" s="25">
        <f>+F20+I20</f>
        <v>49763.22</v>
      </c>
      <c r="K20" s="25"/>
      <c r="L20" s="25">
        <f>+EBAY!$H$11</f>
        <v>10413.179529999999</v>
      </c>
      <c r="M20" s="25">
        <f>+EBAY!$I$11</f>
        <v>9751.7414000000008</v>
      </c>
      <c r="N20" s="25">
        <f>+EBAY!$H$12</f>
        <v>3966.21333</v>
      </c>
      <c r="O20" s="25">
        <f>+EBAY!$I$12</f>
        <v>3350.5628099999999</v>
      </c>
      <c r="P20" s="25">
        <f>+EBAY!$H$13</f>
        <v>1648.46</v>
      </c>
      <c r="Q20" s="25">
        <f>+EBAY!$I$13</f>
        <v>-1504.42563</v>
      </c>
      <c r="R20" s="25">
        <f>+EBAY!$H$14</f>
        <v>3064.1374999999998</v>
      </c>
      <c r="S20" s="25">
        <f>+EBAY!$I$14</f>
        <v>2471.6285699999999</v>
      </c>
      <c r="T20" s="22"/>
      <c r="U20" s="26"/>
      <c r="V20" s="26"/>
      <c r="W20" s="26"/>
      <c r="X20" s="26"/>
      <c r="Y20" s="26"/>
      <c r="Z20" s="26"/>
      <c r="AA20" s="26"/>
      <c r="AB20" s="26"/>
      <c r="AC20" s="25"/>
      <c r="AD20" s="70">
        <f>+EBAY!$I$23</f>
        <v>2.3074978938500421</v>
      </c>
      <c r="AE20" s="71">
        <f>+EBAY!$I$24</f>
        <v>0.69765664798777383</v>
      </c>
    </row>
    <row r="21" spans="1:31" s="21" customFormat="1" x14ac:dyDescent="0.5">
      <c r="B21" s="24" t="str">
        <f>+ETSY!$B$6</f>
        <v>Etsy, Inc.</v>
      </c>
      <c r="C21" s="25"/>
      <c r="D21" s="23">
        <f>+ETSY!$E$11</f>
        <v>215.41</v>
      </c>
      <c r="E21" s="24">
        <f>+ETSY!$E$19</f>
        <v>144.63449480180751</v>
      </c>
      <c r="F21" s="25">
        <f>+D21*E21</f>
        <v>31155.716525257354</v>
      </c>
      <c r="G21" s="25">
        <f>ETSY!E29</f>
        <v>-206.38200000000006</v>
      </c>
      <c r="H21" s="25">
        <f>ETSY!E23</f>
        <v>1244.0989999999999</v>
      </c>
      <c r="I21" s="25">
        <f>+ETSY!$E$31</f>
        <v>-1450.481</v>
      </c>
      <c r="J21" s="25">
        <f>+F21+I21</f>
        <v>29705.235525257354</v>
      </c>
      <c r="K21" s="25"/>
      <c r="L21" s="25">
        <f>+ETSY!$H$11</f>
        <v>2165.5370200000002</v>
      </c>
      <c r="M21" s="25">
        <f>+ETSY!$I$11</f>
        <v>2578.8431099999998</v>
      </c>
      <c r="N21" s="25">
        <f>+ETSY!$H$12</f>
        <v>649.72310000000004</v>
      </c>
      <c r="O21" s="25">
        <f>+ETSY!$I$12</f>
        <v>786.47409000000005</v>
      </c>
      <c r="P21" s="25">
        <f>+ETSY!$H$13</f>
        <v>443.44204000000002</v>
      </c>
      <c r="Q21" s="25">
        <f>+ETSY!$I$13</f>
        <v>547.65554999999995</v>
      </c>
      <c r="R21" s="25">
        <f>+ETSY!$H$14</f>
        <v>620.60207000000003</v>
      </c>
      <c r="S21" s="25">
        <f>+ETSY!$I$14</f>
        <v>730.79529000000002</v>
      </c>
      <c r="T21" s="22"/>
      <c r="U21" s="26"/>
      <c r="V21" s="26"/>
      <c r="W21" s="26"/>
      <c r="X21" s="26"/>
      <c r="Y21" s="26"/>
      <c r="Z21" s="26"/>
      <c r="AA21" s="26"/>
      <c r="AB21" s="26"/>
      <c r="AC21" s="25"/>
      <c r="AD21" s="70">
        <f>+ETSY!$I$23</f>
        <v>-0.27798400913763571</v>
      </c>
      <c r="AE21" s="98">
        <f>+ETSY!$I$24</f>
        <v>-0.38501087601344686</v>
      </c>
    </row>
    <row r="22" spans="1:31" s="17" customFormat="1" x14ac:dyDescent="0.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100"/>
      <c r="V22" s="100"/>
      <c r="W22" s="100"/>
      <c r="X22" s="100"/>
      <c r="Y22" s="100"/>
      <c r="Z22" s="100"/>
      <c r="AA22" s="100"/>
      <c r="AB22" s="100"/>
      <c r="AC22" s="99"/>
      <c r="AD22" s="100"/>
      <c r="AE22" s="101"/>
    </row>
    <row r="23" spans="1:31" s="21" customFormat="1" x14ac:dyDescent="0.5">
      <c r="B23" s="89" t="s">
        <v>105</v>
      </c>
      <c r="C23" s="90"/>
      <c r="D23" s="91"/>
      <c r="E23" s="89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2"/>
      <c r="U23" s="93"/>
      <c r="V23" s="93"/>
      <c r="W23" s="93"/>
      <c r="X23" s="93"/>
      <c r="Y23" s="93"/>
      <c r="Z23" s="93"/>
      <c r="AA23" s="93"/>
      <c r="AB23" s="93"/>
      <c r="AC23" s="90"/>
      <c r="AD23" s="94"/>
      <c r="AE23" s="95"/>
    </row>
    <row r="24" spans="1:31" s="21" customFormat="1" x14ac:dyDescent="0.5">
      <c r="B24" s="24" t="str">
        <f>+GOOG.L!$B$6</f>
        <v>Alphabet Inc.</v>
      </c>
      <c r="C24" s="25"/>
      <c r="D24" s="23">
        <f>+GOOG.L!$E$11</f>
        <v>101.348</v>
      </c>
      <c r="E24" s="24">
        <f>+GOOG.L!$E$19</f>
        <v>13527.684694000001</v>
      </c>
      <c r="F24" s="25">
        <f t="shared" ref="F24:F26" si="1">+D24*E24</f>
        <v>1371003.7883675122</v>
      </c>
      <c r="G24" s="25">
        <f>GOOG.L!E29</f>
        <v>27872</v>
      </c>
      <c r="H24" s="25">
        <f>GOOG.L!E23</f>
        <v>26465</v>
      </c>
      <c r="I24" s="25">
        <f>+GOOG.L!$E$31</f>
        <v>1407</v>
      </c>
      <c r="J24" s="25">
        <f>+F24+I24</f>
        <v>1372410.7883675122</v>
      </c>
      <c r="K24" s="25"/>
      <c r="L24" s="25">
        <f>+GOOG.L!$H$11</f>
        <v>254282.22631999999</v>
      </c>
      <c r="M24" s="25">
        <f>+GOOG.L!$I$11</f>
        <v>283287.37751999998</v>
      </c>
      <c r="N24" s="25">
        <f>+GOOG.L!$H$12</f>
        <v>105941.83779999999</v>
      </c>
      <c r="O24" s="25">
        <f>+GOOG.L!$I$12</f>
        <v>109861.71257</v>
      </c>
      <c r="P24" s="25">
        <f>+GOOG.L!$H$13</f>
        <v>73424.114650000003</v>
      </c>
      <c r="Q24" s="25">
        <f>+GOOG.L!$I$13</f>
        <v>62300.220419999998</v>
      </c>
      <c r="R24" s="25">
        <f>+GOOG.L!$H$14</f>
        <v>96813.467879999997</v>
      </c>
      <c r="S24" s="25">
        <f>+GOOG.L!$I$14</f>
        <v>94911.9</v>
      </c>
      <c r="T24" s="22"/>
      <c r="U24" s="26"/>
      <c r="V24" s="26"/>
      <c r="W24" s="26"/>
      <c r="X24" s="26"/>
      <c r="Y24" s="26"/>
      <c r="Z24" s="26"/>
      <c r="AA24" s="26"/>
      <c r="AB24" s="26"/>
      <c r="AC24" s="25"/>
      <c r="AD24" s="70">
        <f>+GOOG.L!$I$23</f>
        <v>0.12524264864476239</v>
      </c>
      <c r="AE24" s="71">
        <f>+GOOG.L!$I$24</f>
        <v>0.11130279215385598</v>
      </c>
    </row>
    <row r="25" spans="1:31" s="21" customFormat="1" x14ac:dyDescent="0.5">
      <c r="B25" s="24" t="str">
        <f>+FB!$B$6</f>
        <v>Meta Platforms, Inc.</v>
      </c>
      <c r="C25" s="25"/>
      <c r="D25" s="23">
        <f>+FB!$E$11</f>
        <v>290.11</v>
      </c>
      <c r="E25" s="24">
        <f>+FB!$E$19</f>
        <v>2955.2570000000001</v>
      </c>
      <c r="F25" s="25">
        <f t="shared" si="1"/>
        <v>857349.60827000008</v>
      </c>
      <c r="G25" s="25">
        <f>FB!E29</f>
        <v>10654</v>
      </c>
      <c r="H25" s="25">
        <f>FB!E23</f>
        <v>17576</v>
      </c>
      <c r="I25" s="25">
        <f>+FB!$E$31</f>
        <v>-6922</v>
      </c>
      <c r="J25" s="25">
        <f>+F25+I25</f>
        <v>850427.60827000008</v>
      </c>
      <c r="K25" s="25"/>
      <c r="L25" s="25">
        <f>+FB!$H$11</f>
        <v>117691.44806</v>
      </c>
      <c r="M25" s="25">
        <f>+FB!$I$11</f>
        <v>116289.34909</v>
      </c>
      <c r="N25" s="25">
        <f>+FB!$H$12</f>
        <v>64516.959569999999</v>
      </c>
      <c r="O25" s="25">
        <f>+FB!$I$12</f>
        <v>51210.796600000001</v>
      </c>
      <c r="P25" s="25">
        <f>+FB!$H$13</f>
        <v>39935.261299999998</v>
      </c>
      <c r="Q25" s="25">
        <f>+FB!$I$13</f>
        <v>24672.064289999998</v>
      </c>
      <c r="R25" s="25">
        <f>+FB!$H$14</f>
        <v>55356.377780000003</v>
      </c>
      <c r="S25" s="25">
        <f>+FB!$I$14</f>
        <v>48474.747060000002</v>
      </c>
      <c r="T25" s="22"/>
      <c r="U25" s="26"/>
      <c r="V25" s="26"/>
      <c r="W25" s="26"/>
      <c r="X25" s="26"/>
      <c r="Y25" s="26"/>
      <c r="Z25" s="26"/>
      <c r="AA25" s="26"/>
      <c r="AB25" s="26"/>
      <c r="AC25" s="25"/>
      <c r="AD25" s="70">
        <f>+FB!$I$23</f>
        <v>8.3046223400109129E-2</v>
      </c>
      <c r="AE25" s="71">
        <f>+FB!$I$24</f>
        <v>7.6678374021188392E-2</v>
      </c>
    </row>
    <row r="26" spans="1:31" s="21" customFormat="1" ht="14.1" customHeight="1" x14ac:dyDescent="0.5">
      <c r="A26" s="111" t="s">
        <v>255</v>
      </c>
      <c r="B26" s="107" t="str">
        <f>+TWTR!$B$6</f>
        <v>(Invalid Identifier)</v>
      </c>
      <c r="C26" s="25"/>
      <c r="D26" s="108" t="str">
        <f>+TWTR!$E$11</f>
        <v>(Invalid Identifier)</v>
      </c>
      <c r="E26" s="109">
        <f>+TWTR!$E$19</f>
        <v>101.02087252254552</v>
      </c>
      <c r="F26" s="110" t="e">
        <f>+D26*E26</f>
        <v>#VALUE!</v>
      </c>
      <c r="G26" s="110" t="e">
        <f>TWTR!E29</f>
        <v>#VALUE!</v>
      </c>
      <c r="H26" s="110" t="str">
        <f>TWTR!E23</f>
        <v>(Invalid Identifier)</v>
      </c>
      <c r="I26" s="110" t="e">
        <f>+TWTR!$E$31</f>
        <v>#VALUE!</v>
      </c>
      <c r="J26" s="110" t="e">
        <f>+F26+I26</f>
        <v>#VALUE!</v>
      </c>
      <c r="K26" s="25"/>
      <c r="L26" s="110" t="str">
        <f>+TWTR!$H$11</f>
        <v>(Invalid Identifier)</v>
      </c>
      <c r="M26" s="110" t="str">
        <f>+TWTR!$I$11</f>
        <v>(Invalid Identifier)</v>
      </c>
      <c r="N26" s="110" t="str">
        <f>+TWTR!$H$12</f>
        <v>(Invalid Identifier)</v>
      </c>
      <c r="O26" s="110" t="str">
        <f>+TWTR!$I$12</f>
        <v>(Invalid Identifier)</v>
      </c>
      <c r="P26" s="110" t="str">
        <f>+TWTR!$H$13</f>
        <v>(Invalid Identifier)</v>
      </c>
      <c r="Q26" s="110" t="str">
        <f>+TWTR!$I$13</f>
        <v>(Invalid Identifier)</v>
      </c>
      <c r="R26" s="110" t="str">
        <f>+TWTR!$H$14</f>
        <v>(Invalid Identifier)</v>
      </c>
      <c r="S26" s="110" t="str">
        <f>+TWTR!$I$14</f>
        <v>(Invalid Identifier)</v>
      </c>
      <c r="T26" s="22"/>
      <c r="U26" s="26"/>
      <c r="V26" s="26"/>
      <c r="W26" s="26"/>
      <c r="X26" s="26"/>
      <c r="Y26" s="26"/>
      <c r="Z26" s="26"/>
      <c r="AA26" s="26"/>
      <c r="AB26" s="26"/>
      <c r="AC26" s="25"/>
      <c r="AD26" s="70" t="str">
        <f>+TWTR!$I$23</f>
        <v>-</v>
      </c>
      <c r="AE26" s="98" t="str">
        <f>+TWTR!$I$24</f>
        <v>-</v>
      </c>
    </row>
    <row r="27" spans="1:31" s="21" customFormat="1" x14ac:dyDescent="0.5">
      <c r="B27" s="24"/>
      <c r="C27" s="25"/>
      <c r="D27" s="23"/>
      <c r="E27" s="24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2"/>
      <c r="U27" s="26"/>
      <c r="V27" s="26"/>
      <c r="W27" s="26"/>
      <c r="X27" s="26"/>
      <c r="Y27" s="26"/>
      <c r="Z27" s="26"/>
      <c r="AA27" s="26"/>
      <c r="AB27" s="26"/>
      <c r="AC27" s="25"/>
      <c r="AD27" s="70"/>
      <c r="AE27" s="71"/>
    </row>
    <row r="28" spans="1:31" s="21" customFormat="1" x14ac:dyDescent="0.5">
      <c r="B28" s="89" t="s">
        <v>106</v>
      </c>
      <c r="C28" s="90"/>
      <c r="D28" s="91"/>
      <c r="E28" s="8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2"/>
      <c r="U28" s="93"/>
      <c r="V28" s="93"/>
      <c r="W28" s="93"/>
      <c r="X28" s="93"/>
      <c r="Y28" s="93"/>
      <c r="Z28" s="93"/>
      <c r="AA28" s="93"/>
      <c r="AB28" s="93"/>
      <c r="AC28" s="90"/>
      <c r="AD28" s="94"/>
      <c r="AE28" s="95"/>
    </row>
    <row r="29" spans="1:31" s="21" customFormat="1" x14ac:dyDescent="0.5">
      <c r="B29" s="24" t="str">
        <f>+CRM!$B$6</f>
        <v>Salesforce, Inc.</v>
      </c>
      <c r="C29" s="25"/>
      <c r="D29" s="23">
        <f>+CRM!$E$11</f>
        <v>212.2</v>
      </c>
      <c r="E29" s="24">
        <f>+CRM!$E$19</f>
        <v>963.81903864278979</v>
      </c>
      <c r="F29" s="25">
        <f>+D29*E29</f>
        <v>204522.4</v>
      </c>
      <c r="G29" s="25">
        <f>CRM!E29</f>
        <v>6413</v>
      </c>
      <c r="H29" s="25">
        <f>CRM!E23</f>
        <v>6195</v>
      </c>
      <c r="I29" s="25">
        <f>+CRM!$E$31</f>
        <v>218</v>
      </c>
      <c r="J29" s="25">
        <f>+F29+I29</f>
        <v>204740.4</v>
      </c>
      <c r="K29" s="25"/>
      <c r="L29" s="25">
        <f>+CRM!$H$11</f>
        <v>21116.503550000001</v>
      </c>
      <c r="M29" s="25">
        <f>+CRM!$I$11</f>
        <v>26402.42369</v>
      </c>
      <c r="N29" s="25">
        <f>+CRM!$H$12</f>
        <v>6337.2324500000004</v>
      </c>
      <c r="O29" s="25">
        <f>+CRM!$I$12</f>
        <v>8228.2125500000002</v>
      </c>
      <c r="P29" s="25">
        <f>+CRM!$H$13</f>
        <v>3853.5125200000002</v>
      </c>
      <c r="Q29" s="25">
        <f>+CRM!$I$13</f>
        <v>1240.25991</v>
      </c>
      <c r="R29" s="25">
        <f>+CRM!$H$14</f>
        <v>4850.5675700000002</v>
      </c>
      <c r="S29" s="25">
        <f>+CRM!$I$14</f>
        <v>5759.9093899999998</v>
      </c>
      <c r="T29" s="22"/>
      <c r="U29" s="26"/>
      <c r="V29" s="26"/>
      <c r="W29" s="26"/>
      <c r="X29" s="26"/>
      <c r="Y29" s="26"/>
      <c r="Z29" s="26"/>
      <c r="AA29" s="26"/>
      <c r="AB29" s="26"/>
      <c r="AC29" s="25"/>
      <c r="AD29" s="70">
        <f>+CRM!$I$23</f>
        <v>0.15455619020075675</v>
      </c>
      <c r="AE29" s="71">
        <f>+CRM!$I$24</f>
        <v>0.13386632154636163</v>
      </c>
    </row>
    <row r="30" spans="1:31" s="21" customFormat="1" x14ac:dyDescent="0.5">
      <c r="B30" s="24" t="str">
        <f>+ORCL!$B$6</f>
        <v>Oracle Corporation</v>
      </c>
      <c r="C30" s="25"/>
      <c r="D30" s="23">
        <f>+ORCL!$E$11</f>
        <v>66.260000000000005</v>
      </c>
      <c r="E30" s="24">
        <f>+ORCL!$E$19</f>
        <v>2917</v>
      </c>
      <c r="F30" s="25">
        <f>+D30*E30</f>
        <v>193280.42</v>
      </c>
      <c r="G30" s="25">
        <f>ORCL!E29</f>
        <v>69299</v>
      </c>
      <c r="H30" s="25">
        <f>ORCL!E23</f>
        <v>22321</v>
      </c>
      <c r="I30" s="25">
        <f>+ORCL!$E$31</f>
        <v>46978</v>
      </c>
      <c r="J30" s="25">
        <f>+F30+I30</f>
        <v>240258.42</v>
      </c>
      <c r="K30" s="25"/>
      <c r="L30" s="25">
        <f>+ORCL!$H$11</f>
        <v>40291.846310000001</v>
      </c>
      <c r="M30" s="25">
        <f>+ORCL!$I$11</f>
        <v>42251.437680000003</v>
      </c>
      <c r="N30" s="25">
        <f>+ORCL!$H$12</f>
        <v>20400.373179999999</v>
      </c>
      <c r="O30" s="25">
        <f>+ORCL!$I$12</f>
        <v>21238.748579999999</v>
      </c>
      <c r="P30" s="25">
        <f>+ORCL!$H$13</f>
        <v>12878.751130000001</v>
      </c>
      <c r="Q30" s="25">
        <f>+ORCL!$I$13</f>
        <v>6612.4242700000004</v>
      </c>
      <c r="R30" s="25">
        <f>+ORCL!$H$14</f>
        <v>15090.233329999999</v>
      </c>
      <c r="S30" s="25">
        <f>+ORCL!$I$14</f>
        <v>10464.20667</v>
      </c>
      <c r="T30" s="22"/>
      <c r="U30" s="26"/>
      <c r="V30" s="26"/>
      <c r="W30" s="26"/>
      <c r="X30" s="26"/>
      <c r="Y30" s="26"/>
      <c r="Z30" s="26"/>
      <c r="AA30" s="26"/>
      <c r="AB30" s="26"/>
      <c r="AC30" s="25"/>
      <c r="AD30" s="70">
        <f>+ORCL!$I$23</f>
        <v>7.1909307875894992</v>
      </c>
      <c r="AE30" s="71">
        <f>+ORCL!$I$24</f>
        <v>0.87791375291375295</v>
      </c>
    </row>
    <row r="31" spans="1:31" s="21" customFormat="1" x14ac:dyDescent="0.5">
      <c r="B31" s="24" t="str">
        <f>+SAP!$B$6</f>
        <v>SAP SE</v>
      </c>
      <c r="C31" s="25"/>
      <c r="D31" s="23">
        <f>+SAP!$E$11</f>
        <v>123.30398</v>
      </c>
      <c r="E31" s="24">
        <f>+SAP!$E$19</f>
        <v>1196.8730767954464</v>
      </c>
      <c r="F31" s="25">
        <f>+D31*E31</f>
        <v>147579.21392372419</v>
      </c>
      <c r="G31" s="25">
        <f>SAP!E29</f>
        <v>18914.984710000001</v>
      </c>
      <c r="H31" s="25">
        <f>SAP!E23</f>
        <v>6496.6360800000002</v>
      </c>
      <c r="I31" s="25">
        <f>+SAP!$E$31</f>
        <v>12418.34863</v>
      </c>
      <c r="J31" s="25">
        <f>+F31+I31</f>
        <v>159997.56255372419</v>
      </c>
      <c r="K31" s="25"/>
      <c r="L31" s="25">
        <f>+SAP!$H$11</f>
        <v>31422.028900000001</v>
      </c>
      <c r="M31" s="25">
        <f>+SAP!$I$11</f>
        <v>33084.716039999999</v>
      </c>
      <c r="N31" s="25">
        <f>+SAP!$H$12</f>
        <v>11170.0772</v>
      </c>
      <c r="O31" s="25">
        <f>+SAP!$I$12</f>
        <v>10305.36249</v>
      </c>
      <c r="P31" s="25">
        <f>+SAP!$H$13</f>
        <v>6016.7109399999999</v>
      </c>
      <c r="Q31" s="25">
        <f>+SAP!$I$13</f>
        <v>2835.9082600000002</v>
      </c>
      <c r="R31" s="25">
        <f>+SAP!$H$14</f>
        <v>7147.1246099999998</v>
      </c>
      <c r="S31" s="25">
        <f>+SAP!$I$14</f>
        <v>5906.7786800000003</v>
      </c>
      <c r="T31" s="22"/>
      <c r="U31" s="26"/>
      <c r="V31" s="26"/>
      <c r="W31" s="26"/>
      <c r="X31" s="26"/>
      <c r="Y31" s="26"/>
      <c r="Z31" s="26"/>
      <c r="AA31" s="26"/>
      <c r="AB31" s="26"/>
      <c r="AC31" s="25"/>
      <c r="AD31" s="70">
        <f>+SAP!$I$23</f>
        <v>0.51669061398706972</v>
      </c>
      <c r="AE31" s="71">
        <f>+SAP!$I$24</f>
        <v>0.34066975111608011</v>
      </c>
    </row>
    <row r="32" spans="1:31" s="21" customFormat="1" x14ac:dyDescent="0.5">
      <c r="A32" s="111" t="s">
        <v>255</v>
      </c>
      <c r="B32" s="24" t="str">
        <f>+VMW!$B$6</f>
        <v>(Invalid Identifier)</v>
      </c>
      <c r="C32" s="25"/>
      <c r="D32" s="23" t="str">
        <f>+VMW!$E$11</f>
        <v>(Invalid Identifier)</v>
      </c>
      <c r="E32" s="24">
        <f>+VMW!$E$19</f>
        <v>20.207999999999998</v>
      </c>
      <c r="F32" s="25" t="e">
        <f>+D32*E32</f>
        <v>#VALUE!</v>
      </c>
      <c r="G32" s="25" t="e">
        <f>VMW!E29</f>
        <v>#VALUE!</v>
      </c>
      <c r="H32" s="25" t="str">
        <f>VMW!E23</f>
        <v>(Invalid Identifier)</v>
      </c>
      <c r="I32" s="25" t="e">
        <f>+VMW!$E$31</f>
        <v>#VALUE!</v>
      </c>
      <c r="J32" s="25" t="e">
        <f>+F32+I32</f>
        <v>#VALUE!</v>
      </c>
      <c r="K32" s="25"/>
      <c r="L32" s="25" t="str">
        <f>+VMW!$H$11</f>
        <v>(Invalid Identifier)</v>
      </c>
      <c r="M32" s="25" t="str">
        <f>+VMW!$I$11</f>
        <v>(Invalid Identifier)</v>
      </c>
      <c r="N32" s="25" t="str">
        <f>+VMW!$H$12</f>
        <v>(Invalid Identifier)</v>
      </c>
      <c r="O32" s="25" t="str">
        <f>+VMW!$I$12</f>
        <v>(Invalid Identifier)</v>
      </c>
      <c r="P32" s="25" t="str">
        <f>+VMW!$H$13</f>
        <v>(Invalid Identifier)</v>
      </c>
      <c r="Q32" s="25" t="str">
        <f>+VMW!$I$13</f>
        <v>(Invalid Identifier)</v>
      </c>
      <c r="R32" s="25" t="str">
        <f>+VMW!$H$14</f>
        <v>(Invalid Identifier)</v>
      </c>
      <c r="S32" s="25" t="str">
        <f>+VMW!$I$14</f>
        <v>(Invalid Identifier)</v>
      </c>
      <c r="T32" s="22"/>
      <c r="U32" s="26"/>
      <c r="V32" s="26"/>
      <c r="W32" s="26"/>
      <c r="X32" s="26"/>
      <c r="Y32" s="26"/>
      <c r="Z32" s="26"/>
      <c r="AA32" s="26"/>
      <c r="AB32" s="26"/>
      <c r="AC32" s="25"/>
      <c r="AD32" s="70" t="str">
        <f>+VMW!$I$23</f>
        <v>-</v>
      </c>
      <c r="AE32" s="98" t="str">
        <f>+VMW!$I$24</f>
        <v>-</v>
      </c>
    </row>
    <row r="33" spans="2:31" s="21" customFormat="1" x14ac:dyDescent="0.5">
      <c r="B33" s="24"/>
      <c r="C33" s="25"/>
      <c r="D33" s="23"/>
      <c r="E33" s="24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2"/>
      <c r="U33" s="26"/>
      <c r="V33" s="26"/>
      <c r="W33" s="26"/>
      <c r="X33" s="26"/>
      <c r="Y33" s="26"/>
      <c r="Z33" s="26"/>
      <c r="AA33" s="26"/>
      <c r="AB33" s="26"/>
      <c r="AC33" s="25"/>
      <c r="AD33" s="70"/>
      <c r="AE33" s="71"/>
    </row>
    <row r="34" spans="2:31" s="21" customFormat="1" x14ac:dyDescent="0.5">
      <c r="B34" s="89" t="s">
        <v>107</v>
      </c>
      <c r="C34" s="90"/>
      <c r="D34" s="91"/>
      <c r="E34" s="89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2"/>
      <c r="U34" s="93"/>
      <c r="V34" s="93"/>
      <c r="W34" s="93"/>
      <c r="X34" s="93"/>
      <c r="Y34" s="93"/>
      <c r="Z34" s="93"/>
      <c r="AA34" s="93"/>
      <c r="AB34" s="93"/>
      <c r="AC34" s="90"/>
      <c r="AD34" s="94"/>
      <c r="AE34" s="95"/>
    </row>
    <row r="35" spans="2:31" s="21" customFormat="1" x14ac:dyDescent="0.5">
      <c r="B35" s="24" t="str">
        <f>+NFLX!$B$6</f>
        <v>Netflix, Inc.</v>
      </c>
      <c r="C35" s="25"/>
      <c r="D35" s="23">
        <f>+NFLX!$E$11</f>
        <v>512.17999999999995</v>
      </c>
      <c r="E35" s="24">
        <f>+NFLX!$E$19</f>
        <v>456.39056490347144</v>
      </c>
      <c r="F35" s="25">
        <f>+D35*E35</f>
        <v>233754.11953225997</v>
      </c>
      <c r="G35" s="25">
        <f>NFLX!E29</f>
        <v>18510.826000000001</v>
      </c>
      <c r="H35" s="25">
        <f>NFLX!E23</f>
        <v>8205.5499999999993</v>
      </c>
      <c r="I35" s="25">
        <f>+NFLX!$E$31</f>
        <v>10305.276000000002</v>
      </c>
      <c r="J35" s="25">
        <f>+F35+I35</f>
        <v>244059.39553225998</v>
      </c>
      <c r="K35" s="25"/>
      <c r="L35" s="25">
        <f>+NFLX!$H$11</f>
        <v>29703.321530000001</v>
      </c>
      <c r="M35" s="25">
        <f>+NFLX!$I$11</f>
        <v>31612.0059</v>
      </c>
      <c r="N35" s="25">
        <f>+NFLX!$H$12</f>
        <v>6720.9058599999998</v>
      </c>
      <c r="O35" s="25">
        <f>+NFLX!$I$12</f>
        <v>6336.7177199999996</v>
      </c>
      <c r="P35" s="25">
        <f>+NFLX!$H$13</f>
        <v>4884.25227</v>
      </c>
      <c r="Q35" s="25">
        <f>+NFLX!$I$13</f>
        <v>4646.4760699999997</v>
      </c>
      <c r="R35" s="25">
        <f>+NFLX!$H$14</f>
        <v>478.09744000000001</v>
      </c>
      <c r="S35" s="25">
        <f>+NFLX!$I$14</f>
        <v>1531.9472800000001</v>
      </c>
      <c r="T35" s="22"/>
      <c r="U35" s="26"/>
      <c r="V35" s="26"/>
      <c r="W35" s="26"/>
      <c r="X35" s="26"/>
      <c r="Y35" s="26"/>
      <c r="Z35" s="26"/>
      <c r="AA35" s="26"/>
      <c r="AB35" s="26"/>
      <c r="AC35" s="25"/>
      <c r="AD35" s="70">
        <f>+NFLX!$I$23</f>
        <v>1.6728806605188864</v>
      </c>
      <c r="AE35" s="71">
        <f>+NFLX!$I$24</f>
        <v>0.6258718113490821</v>
      </c>
    </row>
    <row r="36" spans="2:31" s="21" customFormat="1" x14ac:dyDescent="0.5">
      <c r="B36" s="24" t="str">
        <f>+SPOT!$B$6</f>
        <v>Spotify Technology S.A.</v>
      </c>
      <c r="C36" s="25"/>
      <c r="D36" s="23">
        <f>+SPOT!$E$11</f>
        <v>272.11</v>
      </c>
      <c r="E36" s="24">
        <f>+SPOT!$E$19</f>
        <v>198.39905316952704</v>
      </c>
      <c r="F36" s="25">
        <f>+D36*E36</f>
        <v>53986.366357960003</v>
      </c>
      <c r="G36" s="25">
        <f>SPOT!E29</f>
        <v>743.73089000000004</v>
      </c>
      <c r="H36" s="25">
        <f>SPOT!E23</f>
        <v>1407.9510700000001</v>
      </c>
      <c r="I36" s="25">
        <f>+SPOT!$E$31</f>
        <v>-664.22018000000003</v>
      </c>
      <c r="J36" s="25">
        <f>+F36+I36</f>
        <v>53322.146177960007</v>
      </c>
      <c r="K36" s="25"/>
      <c r="L36" s="25">
        <f>+SPOT!$H$11</f>
        <v>10955.177519999999</v>
      </c>
      <c r="M36" s="25">
        <f>+SPOT!$I$11</f>
        <v>12558.48828</v>
      </c>
      <c r="N36" s="25">
        <f>+SPOT!$H$12</f>
        <v>171.93949000000001</v>
      </c>
      <c r="O36" s="25">
        <f>+SPOT!$I$12</f>
        <v>-576.25774999999999</v>
      </c>
      <c r="P36" s="25">
        <f>+SPOT!$H$13</f>
        <v>-77.454679999999996</v>
      </c>
      <c r="Q36" s="25">
        <f>+SPOT!$I$13</f>
        <v>-466.4212</v>
      </c>
      <c r="R36" s="25">
        <f>+SPOT!$H$14</f>
        <v>449.99178999999998</v>
      </c>
      <c r="S36" s="25">
        <f>+SPOT!$I$14</f>
        <v>13.12997</v>
      </c>
      <c r="T36" s="22"/>
      <c r="U36" s="26"/>
      <c r="V36" s="26"/>
      <c r="W36" s="26"/>
      <c r="X36" s="26"/>
      <c r="Y36" s="26"/>
      <c r="Z36" s="26"/>
      <c r="AA36" s="26"/>
      <c r="AB36" s="26"/>
      <c r="AC36" s="25"/>
      <c r="AD36" s="70">
        <f>+SPOT!$I$23</f>
        <v>0.21675579417915869</v>
      </c>
      <c r="AE36" s="71">
        <f>+SPOT!$I$24</f>
        <v>0.17814239736198281</v>
      </c>
    </row>
    <row r="37" spans="2:31" s="21" customFormat="1" x14ac:dyDescent="0.5">
      <c r="B37" s="24" t="str">
        <f>+ROKU!$B$6</f>
        <v>Roku, Inc.</v>
      </c>
      <c r="C37" s="25"/>
      <c r="D37" s="23">
        <f>+ROKU!$E$11</f>
        <v>347.51</v>
      </c>
      <c r="E37" s="24">
        <f>+ROKU!$E$19</f>
        <v>141.54353552415756</v>
      </c>
      <c r="F37" s="25">
        <f>+D37*E37</f>
        <v>49187.79402999999</v>
      </c>
      <c r="G37" s="25">
        <f>ROKU!E29</f>
        <v>438.32499999999999</v>
      </c>
      <c r="H37" s="25">
        <f>ROKU!E23</f>
        <v>1092.8150000000001</v>
      </c>
      <c r="I37" s="25">
        <f>+ROKU!$E$31</f>
        <v>-654.49</v>
      </c>
      <c r="J37" s="25">
        <f>+F37+I37</f>
        <v>48533.304029999992</v>
      </c>
      <c r="K37" s="25"/>
      <c r="L37" s="25">
        <f>+ROKU!$H$11</f>
        <v>2792.01739</v>
      </c>
      <c r="M37" s="25">
        <f>+ROKU!$I$11</f>
        <v>3060.1315599999998</v>
      </c>
      <c r="N37" s="25">
        <f>+ROKU!$H$12</f>
        <v>452.49367999999998</v>
      </c>
      <c r="O37" s="25">
        <f>+ROKU!$I$12</f>
        <v>-120.72559</v>
      </c>
      <c r="P37" s="25">
        <f>+ROKU!$H$13</f>
        <v>226.13061999999999</v>
      </c>
      <c r="Q37" s="25">
        <f>+ROKU!$I$13</f>
        <v>-495.94880999999998</v>
      </c>
      <c r="R37" s="25">
        <f>+ROKU!$H$14</f>
        <v>377.91928999999999</v>
      </c>
      <c r="S37" s="25">
        <f>+ROKU!$I$14</f>
        <v>-91.579890000000006</v>
      </c>
      <c r="T37" s="22"/>
      <c r="U37" s="26"/>
      <c r="V37" s="26"/>
      <c r="W37" s="26"/>
      <c r="X37" s="26"/>
      <c r="Y37" s="26"/>
      <c r="Z37" s="26"/>
      <c r="AA37" s="26"/>
      <c r="AB37" s="26"/>
      <c r="AC37" s="25"/>
      <c r="AD37" s="70">
        <f>+ROKU!$I$23</f>
        <v>0.33006027793360765</v>
      </c>
      <c r="AE37" s="71">
        <f>+ROKU!$I$24</f>
        <v>0.24815437571475477</v>
      </c>
    </row>
    <row r="38" spans="2:31" s="21" customFormat="1" x14ac:dyDescent="0.5">
      <c r="B38" s="24" t="str">
        <f>+SIRI!$B$6</f>
        <v>Sirius XM Holdings Inc.</v>
      </c>
      <c r="C38" s="25"/>
      <c r="D38" s="23">
        <f>+SIRI!$E$11</f>
        <v>6.08</v>
      </c>
      <c r="E38" s="24">
        <f>+SIRI!$E$19</f>
        <v>4173.1233881578946</v>
      </c>
      <c r="F38" s="25">
        <f>+D38*E38</f>
        <v>25372.590199999999</v>
      </c>
      <c r="G38" s="25">
        <f>SIRI!E29</f>
        <v>8968</v>
      </c>
      <c r="H38" s="25">
        <f>SIRI!E23</f>
        <v>71</v>
      </c>
      <c r="I38" s="25">
        <f>+SIRI!$E$31</f>
        <v>8897</v>
      </c>
      <c r="J38" s="25">
        <f>+F38+I38</f>
        <v>34269.590199999999</v>
      </c>
      <c r="K38" s="25"/>
      <c r="L38" s="25">
        <f>+SIRI!$H$11</f>
        <v>8660.1707499999993</v>
      </c>
      <c r="M38" s="25">
        <f>+SIRI!$I$11</f>
        <v>9026.5552399999997</v>
      </c>
      <c r="N38" s="25">
        <f>+SIRI!$H$12</f>
        <v>2752.47039</v>
      </c>
      <c r="O38" s="25">
        <f>+SIRI!$I$12</f>
        <v>2792.6287400000001</v>
      </c>
      <c r="P38" s="25">
        <f>+SIRI!$H$13</f>
        <v>1291.88249</v>
      </c>
      <c r="Q38" s="25">
        <f>+SIRI!$I$13</f>
        <v>1184.1750500000001</v>
      </c>
      <c r="R38" s="25">
        <f>+SIRI!$H$14</f>
        <v>1954.5</v>
      </c>
      <c r="S38" s="25">
        <f>+SIRI!$I$14</f>
        <v>1918.6</v>
      </c>
      <c r="T38" s="22"/>
      <c r="U38" s="26"/>
      <c r="V38" s="26"/>
      <c r="W38" s="26"/>
      <c r="X38" s="26"/>
      <c r="Y38" s="26"/>
      <c r="Z38" s="26"/>
      <c r="AA38" s="26"/>
      <c r="AB38" s="26"/>
      <c r="AC38" s="25"/>
      <c r="AD38" s="70">
        <f>+SIRI!$I$23</f>
        <v>-3.9247264770240702</v>
      </c>
      <c r="AE38" s="98">
        <f>+SIRI!$I$24</f>
        <v>1.3419123148286698</v>
      </c>
    </row>
    <row r="40" spans="2:31" x14ac:dyDescent="0.5">
      <c r="C40" s="30"/>
      <c r="D40" s="28"/>
      <c r="E40" s="29"/>
      <c r="F40" s="30"/>
      <c r="G40" s="30"/>
      <c r="H40" s="30"/>
      <c r="I40" s="31"/>
      <c r="J40" s="30"/>
      <c r="K40" s="30"/>
      <c r="L40" s="31"/>
      <c r="M40" s="31"/>
      <c r="N40" s="31"/>
      <c r="O40" s="31"/>
      <c r="P40" s="31"/>
      <c r="Q40" s="31"/>
      <c r="R40" s="31"/>
      <c r="S40" s="31"/>
      <c r="T40" s="27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</row>
    <row r="41" spans="2:31" x14ac:dyDescent="0.5">
      <c r="B41" s="2" t="s">
        <v>19</v>
      </c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</row>
    <row r="42" spans="2:31" x14ac:dyDescent="0.5">
      <c r="B42" s="2" t="s">
        <v>85</v>
      </c>
    </row>
    <row r="43" spans="2:31" x14ac:dyDescent="0.5">
      <c r="B43" s="2" t="s">
        <v>75</v>
      </c>
      <c r="C43" s="21"/>
      <c r="D43" s="33"/>
      <c r="E43" s="24"/>
      <c r="F43" s="25"/>
      <c r="G43" s="25"/>
      <c r="H43" s="25"/>
      <c r="I43" s="25"/>
      <c r="J43" s="34"/>
      <c r="K43" s="21"/>
      <c r="L43" s="21"/>
      <c r="M43" s="21"/>
      <c r="N43" s="21"/>
      <c r="O43" s="21"/>
      <c r="AC43" s="21"/>
    </row>
    <row r="44" spans="2:31" x14ac:dyDescent="0.5">
      <c r="B44" s="2" t="s">
        <v>34</v>
      </c>
      <c r="C44" s="21"/>
      <c r="D44" s="33"/>
      <c r="E44" s="24"/>
      <c r="F44" s="25"/>
      <c r="G44" s="25"/>
      <c r="H44" s="25"/>
      <c r="I44" s="25"/>
      <c r="J44" s="34"/>
      <c r="K44" s="21"/>
      <c r="L44" s="21"/>
      <c r="M44" s="21"/>
      <c r="N44" s="21"/>
      <c r="O44" s="21"/>
      <c r="AC44" s="21"/>
    </row>
    <row r="45" spans="2:31" x14ac:dyDescent="0.5">
      <c r="B45" s="2" t="s">
        <v>123</v>
      </c>
      <c r="C45" s="21"/>
      <c r="D45" s="33"/>
      <c r="E45" s="24"/>
      <c r="F45" s="34"/>
      <c r="G45" s="34"/>
      <c r="H45" s="34"/>
      <c r="I45" s="25"/>
      <c r="J45" s="34"/>
      <c r="K45" s="21"/>
      <c r="L45" s="21"/>
      <c r="M45" s="21"/>
      <c r="N45" s="21"/>
      <c r="O45" s="21"/>
      <c r="AC45" s="21"/>
    </row>
    <row r="46" spans="2:31" x14ac:dyDescent="0.5">
      <c r="B46" s="106" t="s">
        <v>254</v>
      </c>
    </row>
  </sheetData>
  <sortState xmlns:xlrd2="http://schemas.microsoft.com/office/spreadsheetml/2017/richdata2" ref="A35:AE38">
    <sortCondition descending="1" ref="J35:J3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E92E-B4B5-40E3-8A03-BBB71AA5A9F1}">
  <dimension ref="A1:Z79"/>
  <sheetViews>
    <sheetView showGridLines="0" zoomScaleNormal="100" workbookViewId="0"/>
  </sheetViews>
  <sheetFormatPr defaultColWidth="11.68359375" defaultRowHeight="14.1" x14ac:dyDescent="0.5"/>
  <cols>
    <col min="1" max="1" width="5.68359375" style="15" customWidth="1"/>
    <col min="2" max="2" width="50.68359375" style="15" customWidth="1"/>
    <col min="3" max="6" width="15.68359375" style="15" customWidth="1"/>
    <col min="7" max="7" width="50.68359375" style="15" customWidth="1"/>
    <col min="8" max="9" width="15.68359375" style="15" customWidth="1"/>
    <col min="10" max="16384" width="11.68359375" style="15"/>
  </cols>
  <sheetData>
    <row r="1" spans="1:9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</row>
    <row r="2" spans="1:9" s="2" customFormat="1" ht="17.399999999999999" x14ac:dyDescent="0.5">
      <c r="A2" s="12" t="str">
        <f>_xll.ciqfunctions.udf.CIQ($E$10, "IQ_COMPANY_NAME")</f>
        <v>Amazon.com, Inc.</v>
      </c>
      <c r="B2" s="12"/>
      <c r="C2" s="12"/>
      <c r="D2" s="12"/>
      <c r="E2" s="12"/>
      <c r="F2" s="12"/>
      <c r="G2" s="12"/>
      <c r="H2" s="12"/>
      <c r="I2" s="12"/>
    </row>
    <row r="3" spans="1:9" s="11" customFormat="1" ht="15" x14ac:dyDescent="0.5">
      <c r="A3" s="36" t="s">
        <v>102</v>
      </c>
      <c r="B3" s="14"/>
      <c r="C3" s="14"/>
      <c r="D3" s="14"/>
      <c r="E3" s="13"/>
      <c r="F3" s="13"/>
      <c r="G3" s="13"/>
      <c r="H3" s="13"/>
      <c r="I3" s="13"/>
    </row>
    <row r="4" spans="1:9" x14ac:dyDescent="0.5">
      <c r="B4" s="15" t="str">
        <f>'Comps Data (Capital IQ))'!$AG$2</f>
        <v>Currency</v>
      </c>
      <c r="C4" s="15" t="str">
        <f>'Comps Data (Capital IQ))'!$AH$2</f>
        <v>USD</v>
      </c>
    </row>
    <row r="6" spans="1:9" ht="15" x14ac:dyDescent="0.5">
      <c r="B6" s="37" t="str">
        <f>_xll.ciqfunctions.udf.CIQ($E$10, "IQ_COMPANY_NAME")</f>
        <v>Amazon.com, Inc.</v>
      </c>
      <c r="C6" s="13"/>
      <c r="D6" s="13"/>
      <c r="E6" s="13"/>
      <c r="F6" s="13"/>
      <c r="G6" s="13"/>
      <c r="H6" s="13"/>
      <c r="I6" s="13"/>
    </row>
    <row r="8" spans="1:9" x14ac:dyDescent="0.5">
      <c r="B8" s="44" t="s">
        <v>24</v>
      </c>
      <c r="C8" s="44"/>
      <c r="D8" s="44"/>
      <c r="E8" s="44"/>
      <c r="G8" s="44" t="s">
        <v>43</v>
      </c>
      <c r="H8" s="45"/>
      <c r="I8" s="45"/>
    </row>
    <row r="9" spans="1:9" ht="5.25" customHeight="1" x14ac:dyDescent="0.5"/>
    <row r="10" spans="1:9" ht="16.8" x14ac:dyDescent="0.95">
      <c r="B10" s="15" t="s">
        <v>35</v>
      </c>
      <c r="E10" s="47" t="str">
        <f>_xll.ciqfunctions.udf.CIQ("NasdaqGS:AMZN", "IQ_COMPANY_TICKER")</f>
        <v>NasdaqGS:AMZN</v>
      </c>
      <c r="G10" s="39" t="s">
        <v>41</v>
      </c>
      <c r="H10" s="20" t="s">
        <v>26</v>
      </c>
      <c r="I10" s="20" t="s">
        <v>27</v>
      </c>
    </row>
    <row r="11" spans="1:9" x14ac:dyDescent="0.5">
      <c r="B11" s="15" t="s">
        <v>71</v>
      </c>
      <c r="E11" s="48">
        <f>_xll.ciqfunctions.udf.CIQ(E10, "IQ_LASTSALEPRICE", E12,$C$4)</f>
        <v>153.74799999999999</v>
      </c>
      <c r="G11" s="15" t="s">
        <v>25</v>
      </c>
      <c r="H11" s="52">
        <f>_xll.ciqfunctions.udf.CIQ($E$10, "IQ_REVENUE_EST", "FY2021",,,,$C$4)</f>
        <v>470452.14561000001</v>
      </c>
      <c r="I11" s="52">
        <f>_xll.ciqfunctions.udf.CIQ($E$10, "IQ_REVENUE_EST", "FY2022",,,,$C$4)</f>
        <v>510555.65427</v>
      </c>
    </row>
    <row r="12" spans="1:9" x14ac:dyDescent="0.5">
      <c r="B12" s="15" t="s">
        <v>36</v>
      </c>
      <c r="E12" s="81">
        <f>'Comps Data (Capital IQ))'!$AH$3</f>
        <v>44275</v>
      </c>
      <c r="G12" s="15" t="s">
        <v>11</v>
      </c>
      <c r="H12" s="52">
        <f>_xll.ciqfunctions.udf.CIQ($E$10, "IQ_EBITDA_EST", "FY2021",,,,$C$4)</f>
        <v>69789.425560000003</v>
      </c>
      <c r="I12" s="52">
        <f>_xll.ciqfunctions.udf.CIQ($E$10, "IQ_EBITDA_EST", "FY2022",,,,$C$4)</f>
        <v>70594.076140000005</v>
      </c>
    </row>
    <row r="13" spans="1:9" x14ac:dyDescent="0.5">
      <c r="E13" s="49"/>
      <c r="G13" s="15" t="s">
        <v>12</v>
      </c>
      <c r="H13" s="52">
        <f>_xll.ciqfunctions.udf.CIQ($E$10, "IQ_NI_REPORTED_EST", "FY2021",,,,$C$4)</f>
        <v>21086.060819999999</v>
      </c>
      <c r="I13" s="52">
        <f>_xll.ciqfunctions.udf.CIQ($E$10, "IQ_NI_REPORTED_EST", "FY2022",,,,$C$4)</f>
        <v>-1121.8664900000001</v>
      </c>
    </row>
    <row r="14" spans="1:9" x14ac:dyDescent="0.5">
      <c r="B14" s="40" t="s">
        <v>37</v>
      </c>
      <c r="E14" s="49"/>
      <c r="G14" s="15" t="s">
        <v>28</v>
      </c>
      <c r="H14" s="52">
        <f>_xll.ciqfunctions.udf.CIQ($E$10, "IQ_CASH_OPER_EST", "FY2021",,,,$C$4)</f>
        <v>60923.793310000001</v>
      </c>
      <c r="I14" s="52">
        <f>_xll.ciqfunctions.udf.CIQ($E$10, "IQ_CASH_OPER_EST", "FY2022",,,,$C$4)</f>
        <v>48201.212500000001</v>
      </c>
    </row>
    <row r="15" spans="1:9" x14ac:dyDescent="0.5">
      <c r="B15" s="15" t="s">
        <v>72</v>
      </c>
      <c r="E15" s="82">
        <f>_xll.ciqfunctions.udf.CIQ(E10, "IQ_TOTAL_OUTSTANDING_BS_DATE", , E12)</f>
        <v>10060</v>
      </c>
      <c r="H15" s="49"/>
      <c r="I15" s="49"/>
    </row>
    <row r="16" spans="1:9" ht="16.5" customHeight="1" x14ac:dyDescent="0.5">
      <c r="B16" s="72" t="s">
        <v>82</v>
      </c>
      <c r="C16" s="72"/>
      <c r="D16" s="72"/>
      <c r="E16" s="75">
        <f>+E64</f>
        <v>15.2</v>
      </c>
      <c r="H16" s="49"/>
      <c r="I16" s="49"/>
    </row>
    <row r="17" spans="2:9" ht="16.5" customHeight="1" x14ac:dyDescent="0.5">
      <c r="B17" s="72" t="s">
        <v>73</v>
      </c>
      <c r="C17" s="72"/>
      <c r="D17" s="72"/>
      <c r="E17" s="75">
        <f>+F51</f>
        <v>0</v>
      </c>
      <c r="G17" s="73" t="s">
        <v>42</v>
      </c>
      <c r="H17" s="77" t="s">
        <v>26</v>
      </c>
      <c r="I17" s="77" t="s">
        <v>27</v>
      </c>
    </row>
    <row r="18" spans="2:9" ht="16.5" customHeight="1" x14ac:dyDescent="0.5">
      <c r="B18" s="74" t="s">
        <v>74</v>
      </c>
      <c r="C18" s="74"/>
      <c r="D18" s="74"/>
      <c r="E18" s="76">
        <f>+E76</f>
        <v>0</v>
      </c>
      <c r="G18" s="15" t="s">
        <v>25</v>
      </c>
      <c r="H18" s="55">
        <f>IFERROR($E$32/H11,"-")</f>
        <v>3.425767880195937</v>
      </c>
      <c r="I18" s="55">
        <f>IFERROR($E$32/I11,"-")</f>
        <v>3.1566780939961876</v>
      </c>
    </row>
    <row r="19" spans="2:9" x14ac:dyDescent="0.5">
      <c r="B19" s="72" t="s">
        <v>81</v>
      </c>
      <c r="E19" s="79">
        <f>SUM(E15:E18)</f>
        <v>10075.200000000001</v>
      </c>
      <c r="G19" s="15" t="s">
        <v>11</v>
      </c>
      <c r="H19" s="55">
        <f>IFERROR($E$32/H12,"-")</f>
        <v>23.093181189955619</v>
      </c>
      <c r="I19" s="55">
        <f>IFERROR($E$32/I12,"-")</f>
        <v>22.829958797163176</v>
      </c>
    </row>
    <row r="20" spans="2:9" x14ac:dyDescent="0.5">
      <c r="E20" s="49"/>
      <c r="G20" s="15" t="s">
        <v>12</v>
      </c>
      <c r="H20" s="55">
        <f>IFERROR($E$21/H13,"-")</f>
        <v>73.462837028846252</v>
      </c>
      <c r="I20" s="55">
        <f>IFERROR($E$21/I13,"-")</f>
        <v>-1380.772011115155</v>
      </c>
    </row>
    <row r="21" spans="2:9" x14ac:dyDescent="0.5">
      <c r="B21" s="16" t="s">
        <v>38</v>
      </c>
      <c r="C21" s="16"/>
      <c r="D21" s="16"/>
      <c r="E21" s="64">
        <f>+E11*E19</f>
        <v>1549041.8496000001</v>
      </c>
      <c r="G21" s="15" t="s">
        <v>28</v>
      </c>
      <c r="H21" s="55">
        <f>IFERROR($E$21/H14,"-")</f>
        <v>25.425892995827972</v>
      </c>
      <c r="I21" s="55">
        <f>IFERROR($E$21/I14,"-")</f>
        <v>32.136989284242588</v>
      </c>
    </row>
    <row r="22" spans="2:9" x14ac:dyDescent="0.5">
      <c r="E22" s="49"/>
      <c r="H22" s="49"/>
      <c r="I22" s="49"/>
    </row>
    <row r="23" spans="2:9" x14ac:dyDescent="0.5">
      <c r="B23" s="15" t="s">
        <v>76</v>
      </c>
      <c r="E23" s="52">
        <f>_xll.ciqfunctions.udf.CIQ(E10, "IQ_CASH_EQUIV", , E12, , , $C$4)</f>
        <v>42122</v>
      </c>
      <c r="G23" s="15" t="s">
        <v>45</v>
      </c>
      <c r="H23" s="49"/>
      <c r="I23" s="55">
        <f>IFERROR(E29/E34,"-")</f>
        <v>1.121365252023468</v>
      </c>
    </row>
    <row r="24" spans="2:9" x14ac:dyDescent="0.5">
      <c r="E24" s="49"/>
      <c r="G24" s="15" t="s">
        <v>77</v>
      </c>
      <c r="H24" s="49"/>
      <c r="I24" s="56">
        <f>IFERROR(E29/(E29+E34),"-")</f>
        <v>0.5286054586563308</v>
      </c>
    </row>
    <row r="25" spans="2:9" x14ac:dyDescent="0.5">
      <c r="B25" s="15" t="s">
        <v>86</v>
      </c>
      <c r="E25" s="80">
        <f>_xll.ciqfunctions.udf.CIQ(E10, "IQ_TOTAL_DEBT", , E12, , , $C$4)</f>
        <v>104740</v>
      </c>
      <c r="G25" s="15" t="s">
        <v>78</v>
      </c>
      <c r="I25" s="56">
        <f>IFERROR(E29/(E29+E21),"-")</f>
        <v>6.3333625305739966E-2</v>
      </c>
    </row>
    <row r="26" spans="2:9" x14ac:dyDescent="0.5">
      <c r="B26" s="15" t="s">
        <v>89</v>
      </c>
      <c r="E26" s="80">
        <f>_xll.ciqfunctions.udf.CIQ(E10, "IQ_CONVERT", , E12, , , $C$4)</f>
        <v>0</v>
      </c>
      <c r="I26" s="56"/>
    </row>
    <row r="27" spans="2:9" x14ac:dyDescent="0.5">
      <c r="B27" s="15" t="s">
        <v>88</v>
      </c>
      <c r="E27" s="65">
        <f>+E25-E26</f>
        <v>104740</v>
      </c>
      <c r="I27" s="83"/>
    </row>
    <row r="28" spans="2:9" x14ac:dyDescent="0.5">
      <c r="B28" s="41" t="s">
        <v>90</v>
      </c>
      <c r="C28" s="41"/>
      <c r="D28" s="41"/>
      <c r="E28" s="53">
        <f>+E79</f>
        <v>0</v>
      </c>
    </row>
    <row r="29" spans="2:9" x14ac:dyDescent="0.5">
      <c r="B29" s="16" t="s">
        <v>87</v>
      </c>
      <c r="C29" s="16"/>
      <c r="D29" s="16"/>
      <c r="E29" s="64">
        <f>+E27+E28</f>
        <v>104740</v>
      </c>
    </row>
    <row r="30" spans="2:9" x14ac:dyDescent="0.5">
      <c r="B30" s="16"/>
      <c r="C30" s="16"/>
      <c r="D30" s="16"/>
      <c r="E30" s="54"/>
    </row>
    <row r="31" spans="2:9" x14ac:dyDescent="0.5">
      <c r="B31" s="15" t="s">
        <v>10</v>
      </c>
      <c r="E31" s="65">
        <f>+E29-E23</f>
        <v>62618</v>
      </c>
    </row>
    <row r="32" spans="2:9" x14ac:dyDescent="0.5">
      <c r="B32" s="16" t="s">
        <v>40</v>
      </c>
      <c r="C32" s="16"/>
      <c r="D32" s="16"/>
      <c r="E32" s="64">
        <f>+E21+E31</f>
        <v>1611659.8496000001</v>
      </c>
    </row>
    <row r="33" spans="2:26" x14ac:dyDescent="0.5">
      <c r="E33" s="49"/>
    </row>
    <row r="34" spans="2:26" x14ac:dyDescent="0.5">
      <c r="B34" s="15" t="s">
        <v>44</v>
      </c>
      <c r="E34" s="52">
        <f>_xll.ciqfunctions.udf.CIQ(E10, "IQ_TOTAL_EQUITY", , E12, , , $C$4)</f>
        <v>93404</v>
      </c>
    </row>
    <row r="36" spans="2:26" x14ac:dyDescent="0.5">
      <c r="B36" s="44" t="s">
        <v>46</v>
      </c>
      <c r="C36" s="44"/>
      <c r="D36" s="44"/>
      <c r="E36" s="44"/>
      <c r="F36" s="44"/>
    </row>
    <row r="37" spans="2:26" ht="5.25" customHeight="1" x14ac:dyDescent="0.5"/>
    <row r="38" spans="2:26" x14ac:dyDescent="0.5">
      <c r="B38" s="42"/>
      <c r="C38" s="42" t="s">
        <v>49</v>
      </c>
      <c r="D38" s="42" t="s">
        <v>48</v>
      </c>
      <c r="E38" s="42" t="s">
        <v>49</v>
      </c>
      <c r="F38" s="42"/>
    </row>
    <row r="39" spans="2:26" ht="16.8" x14ac:dyDescent="0.95">
      <c r="B39" s="19" t="s">
        <v>47</v>
      </c>
      <c r="C39" s="20" t="s">
        <v>51</v>
      </c>
      <c r="D39" s="20" t="s">
        <v>8</v>
      </c>
      <c r="E39" s="20" t="s">
        <v>91</v>
      </c>
      <c r="F39" s="20" t="s">
        <v>50</v>
      </c>
    </row>
    <row r="40" spans="2:26" s="66" customFormat="1" ht="10.199999999999999" x14ac:dyDescent="0.35">
      <c r="C40" s="66" t="s">
        <v>21</v>
      </c>
      <c r="D40" s="67" t="s">
        <v>16</v>
      </c>
      <c r="E40" s="66" t="s">
        <v>21</v>
      </c>
      <c r="F40" s="67" t="s">
        <v>20</v>
      </c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9"/>
      <c r="S40" s="67"/>
      <c r="T40" s="67"/>
      <c r="U40" s="67"/>
      <c r="V40" s="67"/>
      <c r="W40" s="67"/>
      <c r="X40" s="67"/>
      <c r="Y40" s="67"/>
      <c r="Z40" s="67"/>
    </row>
    <row r="41" spans="2:26" x14ac:dyDescent="0.5">
      <c r="B41" s="38"/>
      <c r="C41" s="50"/>
      <c r="D41" s="48"/>
      <c r="E41" s="46">
        <f>+IF(D41&lt;$E$11,C41,0)</f>
        <v>0</v>
      </c>
      <c r="F41" s="57">
        <f>+D41*E41</f>
        <v>0</v>
      </c>
    </row>
    <row r="42" spans="2:26" x14ac:dyDescent="0.5">
      <c r="B42" s="38"/>
      <c r="C42" s="50"/>
      <c r="D42" s="48"/>
      <c r="E42" s="46">
        <f t="shared" ref="E42:E46" si="0">+IF(D42&lt;$E$11,C42,0)</f>
        <v>0</v>
      </c>
      <c r="F42" s="57">
        <f t="shared" ref="F42:F46" si="1">+D42*E42</f>
        <v>0</v>
      </c>
    </row>
    <row r="43" spans="2:26" x14ac:dyDescent="0.5">
      <c r="B43" s="38"/>
      <c r="C43" s="50"/>
      <c r="D43" s="48"/>
      <c r="E43" s="46">
        <f t="shared" si="0"/>
        <v>0</v>
      </c>
      <c r="F43" s="57">
        <f t="shared" si="1"/>
        <v>0</v>
      </c>
    </row>
    <row r="44" spans="2:26" x14ac:dyDescent="0.5">
      <c r="B44" s="38"/>
      <c r="C44" s="50"/>
      <c r="D44" s="48"/>
      <c r="E44" s="46">
        <f t="shared" si="0"/>
        <v>0</v>
      </c>
      <c r="F44" s="57">
        <f t="shared" si="1"/>
        <v>0</v>
      </c>
    </row>
    <row r="45" spans="2:26" x14ac:dyDescent="0.5">
      <c r="B45" s="38"/>
      <c r="C45" s="50"/>
      <c r="D45" s="48"/>
      <c r="E45" s="46">
        <f t="shared" si="0"/>
        <v>0</v>
      </c>
      <c r="F45" s="57">
        <f t="shared" si="1"/>
        <v>0</v>
      </c>
    </row>
    <row r="46" spans="2:26" x14ac:dyDescent="0.5">
      <c r="B46" s="43"/>
      <c r="C46" s="61"/>
      <c r="D46" s="62"/>
      <c r="E46" s="51">
        <f t="shared" si="0"/>
        <v>0</v>
      </c>
      <c r="F46" s="58">
        <f t="shared" si="1"/>
        <v>0</v>
      </c>
    </row>
    <row r="47" spans="2:26" x14ac:dyDescent="0.5">
      <c r="B47" s="16" t="s">
        <v>52</v>
      </c>
      <c r="C47" s="54"/>
      <c r="D47" s="54"/>
      <c r="E47" s="59">
        <f>SUM(E41:E46)</f>
        <v>0</v>
      </c>
      <c r="F47" s="60">
        <f>SUM(F41:F46)</f>
        <v>0</v>
      </c>
    </row>
    <row r="48" spans="2:26" x14ac:dyDescent="0.5">
      <c r="C48" s="49"/>
      <c r="D48" s="49"/>
      <c r="E48" s="49"/>
      <c r="F48" s="49"/>
    </row>
    <row r="49" spans="2:6" x14ac:dyDescent="0.5">
      <c r="B49" s="15" t="s">
        <v>53</v>
      </c>
      <c r="C49" s="49"/>
      <c r="D49" s="49"/>
      <c r="E49" s="49"/>
      <c r="F49" s="46">
        <f>+E47</f>
        <v>0</v>
      </c>
    </row>
    <row r="50" spans="2:6" x14ac:dyDescent="0.5">
      <c r="B50" s="15" t="s">
        <v>54</v>
      </c>
      <c r="C50" s="49"/>
      <c r="D50" s="49"/>
      <c r="E50" s="49"/>
      <c r="F50" s="46">
        <f>IF(ISERR($F47/E11),"-",$F47/E11)</f>
        <v>0</v>
      </c>
    </row>
    <row r="51" spans="2:6" x14ac:dyDescent="0.5">
      <c r="B51" s="15" t="s">
        <v>79</v>
      </c>
      <c r="C51" s="49"/>
      <c r="D51" s="49"/>
      <c r="E51" s="49"/>
      <c r="F51" s="46">
        <f>+IF(ISERR(F49-F50),"-",F49-F50)</f>
        <v>0</v>
      </c>
    </row>
    <row r="52" spans="2:6" x14ac:dyDescent="0.5">
      <c r="C52" s="49"/>
      <c r="D52" s="49"/>
      <c r="E52" s="49"/>
      <c r="F52" s="46"/>
    </row>
    <row r="53" spans="2:6" x14ac:dyDescent="0.5">
      <c r="B53" s="44" t="s">
        <v>80</v>
      </c>
      <c r="C53" s="44"/>
      <c r="D53" s="44"/>
      <c r="E53" s="44"/>
      <c r="F53" s="46"/>
    </row>
    <row r="54" spans="2:6" ht="5.55" customHeight="1" x14ac:dyDescent="0.5">
      <c r="B54" s="16"/>
      <c r="D54" s="49"/>
      <c r="E54" s="16"/>
      <c r="F54" s="46"/>
    </row>
    <row r="55" spans="2:6" x14ac:dyDescent="0.5">
      <c r="B55" s="16"/>
      <c r="D55" s="49"/>
      <c r="E55" s="42" t="s">
        <v>83</v>
      </c>
      <c r="F55" s="46"/>
    </row>
    <row r="56" spans="2:6" x14ac:dyDescent="0.5">
      <c r="B56" s="16"/>
      <c r="D56" s="49"/>
      <c r="E56" s="42" t="s">
        <v>49</v>
      </c>
      <c r="F56" s="46"/>
    </row>
    <row r="57" spans="2:6" ht="16.8" x14ac:dyDescent="0.95">
      <c r="B57" s="19" t="s">
        <v>47</v>
      </c>
      <c r="C57" s="19" t="s">
        <v>84</v>
      </c>
      <c r="D57" s="19" t="s">
        <v>84</v>
      </c>
      <c r="E57" s="20" t="s">
        <v>51</v>
      </c>
      <c r="F57" s="46"/>
    </row>
    <row r="58" spans="2:6" x14ac:dyDescent="0.5">
      <c r="E58" s="66" t="s">
        <v>21</v>
      </c>
      <c r="F58" s="46"/>
    </row>
    <row r="59" spans="2:6" x14ac:dyDescent="0.5">
      <c r="B59" s="38" t="s">
        <v>95</v>
      </c>
      <c r="C59" s="50"/>
      <c r="D59" s="38"/>
      <c r="E59" s="50">
        <v>15.2</v>
      </c>
      <c r="F59" s="46"/>
    </row>
    <row r="60" spans="2:6" x14ac:dyDescent="0.5">
      <c r="B60" s="38"/>
      <c r="C60" s="38"/>
      <c r="D60" s="38"/>
      <c r="E60" s="38"/>
      <c r="F60" s="46"/>
    </row>
    <row r="61" spans="2:6" x14ac:dyDescent="0.5">
      <c r="B61" s="38"/>
      <c r="C61" s="38"/>
      <c r="D61" s="38"/>
      <c r="E61" s="38"/>
      <c r="F61" s="46"/>
    </row>
    <row r="62" spans="2:6" x14ac:dyDescent="0.5">
      <c r="B62" s="38"/>
      <c r="C62" s="38"/>
      <c r="D62" s="38"/>
      <c r="E62" s="38"/>
      <c r="F62" s="46"/>
    </row>
    <row r="63" spans="2:6" x14ac:dyDescent="0.5">
      <c r="B63" s="43"/>
      <c r="C63" s="43"/>
      <c r="D63" s="43"/>
      <c r="E63" s="43"/>
      <c r="F63" s="46"/>
    </row>
    <row r="64" spans="2:6" x14ac:dyDescent="0.5">
      <c r="B64" s="16" t="s">
        <v>52</v>
      </c>
      <c r="D64" s="49"/>
      <c r="E64" s="78">
        <f>SUM(E59:E63)</f>
        <v>15.2</v>
      </c>
      <c r="F64" s="46"/>
    </row>
    <row r="66" spans="2:5" x14ac:dyDescent="0.5">
      <c r="B66" s="44" t="s">
        <v>39</v>
      </c>
      <c r="C66" s="44"/>
      <c r="D66" s="44"/>
      <c r="E66" s="44"/>
    </row>
    <row r="67" spans="2:5" ht="5.25" customHeight="1" x14ac:dyDescent="0.5"/>
    <row r="68" spans="2:5" x14ac:dyDescent="0.5">
      <c r="B68" s="42"/>
      <c r="C68" s="42" t="s">
        <v>56</v>
      </c>
      <c r="D68" s="42" t="s">
        <v>57</v>
      </c>
      <c r="E68" s="42" t="s">
        <v>9</v>
      </c>
    </row>
    <row r="69" spans="2:5" ht="16.8" x14ac:dyDescent="0.95">
      <c r="B69" s="19" t="s">
        <v>55</v>
      </c>
      <c r="C69" s="20" t="s">
        <v>23</v>
      </c>
      <c r="D69" s="20" t="s">
        <v>8</v>
      </c>
      <c r="E69" s="20" t="s">
        <v>58</v>
      </c>
    </row>
    <row r="70" spans="2:5" x14ac:dyDescent="0.5">
      <c r="C70" s="66" t="s">
        <v>21</v>
      </c>
      <c r="D70" s="67" t="s">
        <v>16</v>
      </c>
      <c r="E70" s="66" t="s">
        <v>21</v>
      </c>
    </row>
    <row r="71" spans="2:5" x14ac:dyDescent="0.5">
      <c r="B71" s="38"/>
      <c r="C71" s="52"/>
      <c r="D71" s="48"/>
      <c r="E71" s="46">
        <f>IF(ISNUMBER($D71),IF($E$11&gt;$D71,$C71/$D71,0),0)</f>
        <v>0</v>
      </c>
    </row>
    <row r="72" spans="2:5" x14ac:dyDescent="0.5">
      <c r="B72" s="38"/>
      <c r="C72" s="52"/>
      <c r="D72" s="48"/>
      <c r="E72" s="46">
        <f t="shared" ref="E72:E75" si="2">IF(ISNUMBER($D72),IF($E$11&gt;$D72,$C72/$D72,0),0)</f>
        <v>0</v>
      </c>
    </row>
    <row r="73" spans="2:5" x14ac:dyDescent="0.5">
      <c r="B73" s="38"/>
      <c r="C73" s="52"/>
      <c r="D73" s="48"/>
      <c r="E73" s="46">
        <f t="shared" si="2"/>
        <v>0</v>
      </c>
    </row>
    <row r="74" spans="2:5" x14ac:dyDescent="0.5">
      <c r="B74" s="38"/>
      <c r="C74" s="52"/>
      <c r="D74" s="48"/>
      <c r="E74" s="46">
        <f t="shared" si="2"/>
        <v>0</v>
      </c>
    </row>
    <row r="75" spans="2:5" x14ac:dyDescent="0.5">
      <c r="B75" s="43"/>
      <c r="C75" s="63"/>
      <c r="D75" s="62"/>
      <c r="E75" s="51">
        <f t="shared" si="2"/>
        <v>0</v>
      </c>
    </row>
    <row r="76" spans="2:5" x14ac:dyDescent="0.5">
      <c r="B76" s="16" t="s">
        <v>52</v>
      </c>
      <c r="C76" s="64">
        <f>SUM(C71:C75)</f>
        <v>0</v>
      </c>
      <c r="D76" s="54"/>
      <c r="E76" s="59">
        <f>SUM(E71:E75)</f>
        <v>0</v>
      </c>
    </row>
    <row r="77" spans="2:5" x14ac:dyDescent="0.5">
      <c r="C77" s="49"/>
      <c r="D77" s="49"/>
      <c r="E77" s="49"/>
    </row>
    <row r="78" spans="2:5" x14ac:dyDescent="0.5">
      <c r="B78" s="15" t="s">
        <v>59</v>
      </c>
      <c r="C78" s="49"/>
      <c r="D78" s="49"/>
      <c r="E78" s="65">
        <f>SUMIF(D71:D75,"&lt;"&amp;$E$11,C71:C75)</f>
        <v>0</v>
      </c>
    </row>
    <row r="79" spans="2:5" x14ac:dyDescent="0.5">
      <c r="B79" s="15" t="s">
        <v>60</v>
      </c>
      <c r="C79" s="49"/>
      <c r="D79" s="49"/>
      <c r="E79" s="65">
        <f>+C76-E78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17C-BD1E-42F5-8E7C-6C7C7A7791BA}">
  <dimension ref="A1:Z79"/>
  <sheetViews>
    <sheetView showGridLines="0" zoomScaleNormal="100" workbookViewId="0"/>
  </sheetViews>
  <sheetFormatPr defaultColWidth="11.68359375" defaultRowHeight="14.1" x14ac:dyDescent="0.5"/>
  <cols>
    <col min="1" max="1" width="5.68359375" style="15" customWidth="1"/>
    <col min="2" max="2" width="50.68359375" style="15" customWidth="1"/>
    <col min="3" max="6" width="15.68359375" style="15" customWidth="1"/>
    <col min="7" max="7" width="50.68359375" style="15" customWidth="1"/>
    <col min="8" max="9" width="15.68359375" style="15" customWidth="1"/>
    <col min="10" max="16384" width="11.68359375" style="15"/>
  </cols>
  <sheetData>
    <row r="1" spans="1:9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</row>
    <row r="2" spans="1:9" s="2" customFormat="1" ht="17.399999999999999" x14ac:dyDescent="0.5">
      <c r="A2" s="12" t="str">
        <f>_xll.ciqfunctions.udf.CIQ($E$10, "IQ_COMPANY_NAME")</f>
        <v>Walmart Inc.</v>
      </c>
      <c r="B2" s="12"/>
      <c r="C2" s="12"/>
      <c r="D2" s="12"/>
      <c r="E2" s="12"/>
      <c r="F2" s="12"/>
      <c r="G2" s="12"/>
      <c r="H2" s="12"/>
      <c r="I2" s="12"/>
    </row>
    <row r="3" spans="1:9" s="11" customFormat="1" ht="15" x14ac:dyDescent="0.5">
      <c r="A3" s="36" t="s">
        <v>102</v>
      </c>
      <c r="B3" s="14"/>
      <c r="C3" s="14"/>
      <c r="D3" s="14"/>
      <c r="E3" s="13"/>
      <c r="F3" s="13"/>
      <c r="G3" s="13"/>
      <c r="H3" s="13"/>
      <c r="I3" s="13"/>
    </row>
    <row r="4" spans="1:9" x14ac:dyDescent="0.5">
      <c r="B4" s="15" t="str">
        <f>'Comps Data (Capital IQ))'!$AG$2</f>
        <v>Currency</v>
      </c>
      <c r="C4" s="15" t="str">
        <f>'Comps Data (Capital IQ))'!$AH$2</f>
        <v>USD</v>
      </c>
    </row>
    <row r="6" spans="1:9" ht="15" x14ac:dyDescent="0.5">
      <c r="B6" s="37" t="str">
        <f>_xll.ciqfunctions.udf.CIQ($E$10, "IQ_COMPANY_NAME")</f>
        <v>Walmart Inc.</v>
      </c>
      <c r="C6" s="13"/>
      <c r="D6" s="13"/>
      <c r="E6" s="13"/>
      <c r="F6" s="13"/>
      <c r="G6" s="13"/>
      <c r="H6" s="13"/>
      <c r="I6" s="13"/>
    </row>
    <row r="8" spans="1:9" x14ac:dyDescent="0.5">
      <c r="B8" s="44" t="s">
        <v>24</v>
      </c>
      <c r="C8" s="44"/>
      <c r="D8" s="44"/>
      <c r="E8" s="44"/>
      <c r="G8" s="44" t="s">
        <v>43</v>
      </c>
      <c r="H8" s="45"/>
      <c r="I8" s="45"/>
    </row>
    <row r="9" spans="1:9" ht="5.25" customHeight="1" x14ac:dyDescent="0.5"/>
    <row r="10" spans="1:9" ht="16.8" x14ac:dyDescent="0.95">
      <c r="B10" s="15" t="s">
        <v>35</v>
      </c>
      <c r="E10" s="47" t="str">
        <f>_xll.ciqfunctions.udf.CIQ("NYSE:WMT", "IQ_COMPANY_TICKER")</f>
        <v>NYSE:WMT</v>
      </c>
      <c r="G10" s="39" t="s">
        <v>41</v>
      </c>
      <c r="H10" s="20" t="s">
        <v>26</v>
      </c>
      <c r="I10" s="20" t="s">
        <v>27</v>
      </c>
    </row>
    <row r="11" spans="1:9" x14ac:dyDescent="0.5">
      <c r="B11" s="15" t="s">
        <v>71</v>
      </c>
      <c r="E11" s="48">
        <f>_xll.ciqfunctions.udf.CIQ(E10, "IQ_LASTSALEPRICE", E12,$C$4)</f>
        <v>43.913330000000002</v>
      </c>
      <c r="G11" s="15" t="s">
        <v>25</v>
      </c>
      <c r="H11" s="52">
        <f>_xll.ciqfunctions.udf.CIQ($E$10, "IQ_REVENUE_EST", "FY2021",,,,$C$4)</f>
        <v>552181.35774000001</v>
      </c>
      <c r="I11" s="52">
        <f>_xll.ciqfunctions.udf.CIQ($E$10, "IQ_REVENUE_EST", "FY2022",,,,$C$4)</f>
        <v>567641.65714000002</v>
      </c>
    </row>
    <row r="12" spans="1:9" x14ac:dyDescent="0.5">
      <c r="B12" s="15" t="s">
        <v>36</v>
      </c>
      <c r="E12" s="81">
        <f>'Comps Data (Capital IQ))'!$AH$3</f>
        <v>44275</v>
      </c>
      <c r="G12" s="15" t="s">
        <v>11</v>
      </c>
      <c r="H12" s="52">
        <f>_xll.ciqfunctions.udf.CIQ($E$10, "IQ_EBITDA_EST", "FY2021",,,,$C$4)</f>
        <v>35135.367689999999</v>
      </c>
      <c r="I12" s="52">
        <f>_xll.ciqfunctions.udf.CIQ($E$10, "IQ_EBITDA_EST", "FY2022",,,,$C$4)</f>
        <v>37013.018450000003</v>
      </c>
    </row>
    <row r="13" spans="1:9" x14ac:dyDescent="0.5">
      <c r="E13" s="49"/>
      <c r="G13" s="15" t="s">
        <v>12</v>
      </c>
      <c r="H13" s="52">
        <f>_xll.ciqfunctions.udf.CIQ($E$10, "IQ_NI_REPORTED_EST", "FY2021",,,,$C$4)</f>
        <v>18621.81494</v>
      </c>
      <c r="I13" s="52">
        <f>_xll.ciqfunctions.udf.CIQ($E$10, "IQ_NI_REPORTED_EST", "FY2022",,,,$C$4)</f>
        <v>14288.424999999999</v>
      </c>
    </row>
    <row r="14" spans="1:9" x14ac:dyDescent="0.5">
      <c r="B14" s="40" t="s">
        <v>37</v>
      </c>
      <c r="E14" s="49"/>
      <c r="G14" s="15" t="s">
        <v>28</v>
      </c>
      <c r="H14" s="52">
        <f>_xll.ciqfunctions.udf.CIQ($E$10, "IQ_CASH_OPER_EST", "FY2021",,,,$C$4)</f>
        <v>30037.416669999999</v>
      </c>
      <c r="I14" s="52">
        <f>_xll.ciqfunctions.udf.CIQ($E$10, "IQ_CASH_OPER_EST", "FY2022",,,,$C$4)</f>
        <v>27681.727269999999</v>
      </c>
    </row>
    <row r="15" spans="1:9" x14ac:dyDescent="0.5">
      <c r="B15" s="15" t="s">
        <v>72</v>
      </c>
      <c r="E15" s="82">
        <f>_xll.ciqfunctions.udf.CIQ(E10, "IQ_TOTAL_OUTSTANDING_BS_DATE", , E12)</f>
        <v>8463</v>
      </c>
      <c r="H15" s="49"/>
      <c r="I15" s="49"/>
    </row>
    <row r="16" spans="1:9" ht="16.5" customHeight="1" x14ac:dyDescent="0.5">
      <c r="B16" s="72" t="s">
        <v>82</v>
      </c>
      <c r="C16" s="72"/>
      <c r="D16" s="72"/>
      <c r="E16" s="75">
        <f>+E64</f>
        <v>29.305999999999997</v>
      </c>
      <c r="H16" s="49"/>
      <c r="I16" s="49"/>
    </row>
    <row r="17" spans="2:9" ht="16.5" customHeight="1" x14ac:dyDescent="0.5">
      <c r="B17" s="72" t="s">
        <v>73</v>
      </c>
      <c r="C17" s="72"/>
      <c r="D17" s="72"/>
      <c r="E17" s="75">
        <f>+F51</f>
        <v>0</v>
      </c>
      <c r="G17" s="73" t="s">
        <v>42</v>
      </c>
      <c r="H17" s="77" t="s">
        <v>26</v>
      </c>
      <c r="I17" s="77" t="s">
        <v>27</v>
      </c>
    </row>
    <row r="18" spans="2:9" ht="16.5" customHeight="1" x14ac:dyDescent="0.5">
      <c r="B18" s="74" t="s">
        <v>74</v>
      </c>
      <c r="C18" s="74"/>
      <c r="D18" s="74"/>
      <c r="E18" s="76">
        <f>+E76</f>
        <v>0</v>
      </c>
      <c r="G18" s="15" t="s">
        <v>25</v>
      </c>
      <c r="H18" s="55">
        <f>IFERROR($E$32/H11,"-")</f>
        <v>0.75849072042773957</v>
      </c>
      <c r="I18" s="55">
        <f>IFERROR($E$32/I11,"-")</f>
        <v>0.73783245216565119</v>
      </c>
    </row>
    <row r="19" spans="2:9" x14ac:dyDescent="0.5">
      <c r="B19" s="72" t="s">
        <v>81</v>
      </c>
      <c r="E19" s="79">
        <f>SUM(E15:E18)</f>
        <v>8492.3060000000005</v>
      </c>
      <c r="G19" s="15" t="s">
        <v>11</v>
      </c>
      <c r="H19" s="55">
        <f>IFERROR($E$32/H12,"-")</f>
        <v>11.920308890297543</v>
      </c>
      <c r="I19" s="55">
        <f>IFERROR($E$32/I12,"-")</f>
        <v>11.315597953859394</v>
      </c>
    </row>
    <row r="20" spans="2:9" x14ac:dyDescent="0.5">
      <c r="E20" s="49"/>
      <c r="G20" s="15" t="s">
        <v>12</v>
      </c>
      <c r="H20" s="55">
        <f>IFERROR($E$21/H13,"-")</f>
        <v>20.026266883252575</v>
      </c>
      <c r="I20" s="55">
        <f>IFERROR($E$21/I13,"-")</f>
        <v>26.099828066353012</v>
      </c>
    </row>
    <row r="21" spans="2:9" x14ac:dyDescent="0.5">
      <c r="B21" s="16" t="s">
        <v>38</v>
      </c>
      <c r="C21" s="16"/>
      <c r="D21" s="16"/>
      <c r="E21" s="64">
        <f>+E11*E19</f>
        <v>372925.43583898002</v>
      </c>
      <c r="G21" s="15" t="s">
        <v>28</v>
      </c>
      <c r="H21" s="55">
        <f>IFERROR($E$21/H14,"-")</f>
        <v>12.415363143110802</v>
      </c>
      <c r="I21" s="55">
        <f>IFERROR($E$21/I14,"-")</f>
        <v>13.471899069070629</v>
      </c>
    </row>
    <row r="22" spans="2:9" x14ac:dyDescent="0.5">
      <c r="E22" s="49"/>
      <c r="H22" s="49"/>
      <c r="I22" s="49"/>
    </row>
    <row r="23" spans="2:9" x14ac:dyDescent="0.5">
      <c r="B23" s="15" t="s">
        <v>76</v>
      </c>
      <c r="E23" s="52">
        <f>_xll.ciqfunctions.udf.CIQ(E10, "IQ_CASH_EQUIV", , E12, , , $C$4)</f>
        <v>17741</v>
      </c>
      <c r="G23" s="15" t="s">
        <v>45</v>
      </c>
      <c r="H23" s="49"/>
      <c r="I23" s="55">
        <f>IFERROR(E29/E34,"-")</f>
        <v>0.72705669991203115</v>
      </c>
    </row>
    <row r="24" spans="2:9" x14ac:dyDescent="0.5">
      <c r="E24" s="49"/>
      <c r="G24" s="15" t="s">
        <v>77</v>
      </c>
      <c r="H24" s="49"/>
      <c r="I24" s="56">
        <f>IFERROR(E29/(E29+E34),"-")</f>
        <v>0.42098021445912243</v>
      </c>
    </row>
    <row r="25" spans="2:9" x14ac:dyDescent="0.5">
      <c r="B25" s="15" t="s">
        <v>86</v>
      </c>
      <c r="E25" s="80">
        <f>_xll.ciqfunctions.udf.CIQ(E10, "IQ_TOTAL_DEBT", , E12, , , $C$4)</f>
        <v>63640</v>
      </c>
      <c r="G25" s="15" t="s">
        <v>78</v>
      </c>
      <c r="I25" s="56">
        <f>IFERROR(E29/(E29+E21),"-")</f>
        <v>0.14577425232416377</v>
      </c>
    </row>
    <row r="26" spans="2:9" x14ac:dyDescent="0.5">
      <c r="B26" s="15" t="s">
        <v>89</v>
      </c>
      <c r="E26" s="80">
        <f>_xll.ciqfunctions.udf.CIQ(E10, "IQ_CONVERT", , E12, , , $C$4)</f>
        <v>0</v>
      </c>
      <c r="I26" s="56"/>
    </row>
    <row r="27" spans="2:9" x14ac:dyDescent="0.5">
      <c r="B27" s="15" t="s">
        <v>88</v>
      </c>
      <c r="E27" s="65">
        <f>+E25-E26</f>
        <v>63640</v>
      </c>
    </row>
    <row r="28" spans="2:9" x14ac:dyDescent="0.5">
      <c r="B28" s="41" t="s">
        <v>90</v>
      </c>
      <c r="C28" s="41"/>
      <c r="D28" s="41"/>
      <c r="E28" s="53">
        <f>+E79</f>
        <v>0</v>
      </c>
    </row>
    <row r="29" spans="2:9" x14ac:dyDescent="0.5">
      <c r="B29" s="16" t="s">
        <v>87</v>
      </c>
      <c r="C29" s="16"/>
      <c r="D29" s="16"/>
      <c r="E29" s="64">
        <f>+E27+E28</f>
        <v>63640</v>
      </c>
    </row>
    <row r="30" spans="2:9" x14ac:dyDescent="0.5">
      <c r="B30" s="16"/>
      <c r="C30" s="16"/>
      <c r="D30" s="16"/>
      <c r="E30" s="54"/>
    </row>
    <row r="31" spans="2:9" x14ac:dyDescent="0.5">
      <c r="B31" s="15" t="s">
        <v>10</v>
      </c>
      <c r="E31" s="65">
        <f>+E29-E23</f>
        <v>45899</v>
      </c>
    </row>
    <row r="32" spans="2:9" x14ac:dyDescent="0.5">
      <c r="B32" s="16" t="s">
        <v>40</v>
      </c>
      <c r="C32" s="16"/>
      <c r="D32" s="16"/>
      <c r="E32" s="64">
        <f>+E21+E31</f>
        <v>418824.43583898002</v>
      </c>
    </row>
    <row r="33" spans="2:26" x14ac:dyDescent="0.5">
      <c r="E33" s="49"/>
    </row>
    <row r="34" spans="2:26" x14ac:dyDescent="0.5">
      <c r="B34" s="15" t="s">
        <v>44</v>
      </c>
      <c r="E34" s="52">
        <f>_xll.ciqfunctions.udf.CIQ(E10, "IQ_TOTAL_EQUITY", , E12, , , $C$4)</f>
        <v>87531</v>
      </c>
    </row>
    <row r="36" spans="2:26" x14ac:dyDescent="0.5">
      <c r="B36" s="44" t="s">
        <v>46</v>
      </c>
      <c r="C36" s="44"/>
      <c r="D36" s="44"/>
      <c r="E36" s="44"/>
      <c r="F36" s="44"/>
    </row>
    <row r="37" spans="2:26" ht="5.25" customHeight="1" x14ac:dyDescent="0.5"/>
    <row r="38" spans="2:26" x14ac:dyDescent="0.5">
      <c r="B38" s="42"/>
      <c r="C38" s="42" t="s">
        <v>49</v>
      </c>
      <c r="D38" s="42" t="s">
        <v>48</v>
      </c>
      <c r="E38" s="42" t="s">
        <v>49</v>
      </c>
      <c r="F38" s="42"/>
    </row>
    <row r="39" spans="2:26" ht="16.8" x14ac:dyDescent="0.95">
      <c r="B39" s="19" t="s">
        <v>47</v>
      </c>
      <c r="C39" s="20" t="s">
        <v>51</v>
      </c>
      <c r="D39" s="20" t="s">
        <v>8</v>
      </c>
      <c r="E39" s="20" t="s">
        <v>91</v>
      </c>
      <c r="F39" s="20" t="s">
        <v>50</v>
      </c>
    </row>
    <row r="40" spans="2:26" s="66" customFormat="1" ht="10.199999999999999" x14ac:dyDescent="0.35">
      <c r="C40" s="66" t="s">
        <v>21</v>
      </c>
      <c r="D40" s="67" t="s">
        <v>16</v>
      </c>
      <c r="E40" s="66" t="s">
        <v>21</v>
      </c>
      <c r="F40" s="67" t="s">
        <v>20</v>
      </c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9"/>
      <c r="S40" s="67"/>
      <c r="T40" s="67"/>
      <c r="U40" s="67"/>
      <c r="V40" s="67"/>
      <c r="W40" s="67"/>
      <c r="X40" s="67"/>
      <c r="Y40" s="67"/>
      <c r="Z40" s="67"/>
    </row>
    <row r="41" spans="2:26" x14ac:dyDescent="0.5">
      <c r="B41" s="38"/>
      <c r="C41" s="50"/>
      <c r="D41" s="48"/>
      <c r="E41" s="46">
        <f>+IF(D41&lt;$E$11,C41,0)</f>
        <v>0</v>
      </c>
      <c r="F41" s="57">
        <f>+D41*E41</f>
        <v>0</v>
      </c>
    </row>
    <row r="42" spans="2:26" x14ac:dyDescent="0.5">
      <c r="B42" s="38"/>
      <c r="C42" s="50"/>
      <c r="D42" s="48"/>
      <c r="E42" s="46">
        <f t="shared" ref="E42:E46" si="0">+IF(D42&lt;$E$11,C42,0)</f>
        <v>0</v>
      </c>
      <c r="F42" s="57">
        <f t="shared" ref="F42:F46" si="1">+D42*E42</f>
        <v>0</v>
      </c>
    </row>
    <row r="43" spans="2:26" x14ac:dyDescent="0.5">
      <c r="B43" s="38"/>
      <c r="C43" s="50"/>
      <c r="D43" s="48"/>
      <c r="E43" s="46">
        <f t="shared" si="0"/>
        <v>0</v>
      </c>
      <c r="F43" s="57">
        <f t="shared" si="1"/>
        <v>0</v>
      </c>
    </row>
    <row r="44" spans="2:26" x14ac:dyDescent="0.5">
      <c r="B44" s="38"/>
      <c r="C44" s="50"/>
      <c r="D44" s="48"/>
      <c r="E44" s="46">
        <f t="shared" si="0"/>
        <v>0</v>
      </c>
      <c r="F44" s="57">
        <f t="shared" si="1"/>
        <v>0</v>
      </c>
    </row>
    <row r="45" spans="2:26" x14ac:dyDescent="0.5">
      <c r="B45" s="38"/>
      <c r="C45" s="50"/>
      <c r="D45" s="48"/>
      <c r="E45" s="46">
        <f t="shared" si="0"/>
        <v>0</v>
      </c>
      <c r="F45" s="57">
        <f t="shared" si="1"/>
        <v>0</v>
      </c>
    </row>
    <row r="46" spans="2:26" x14ac:dyDescent="0.5">
      <c r="B46" s="43"/>
      <c r="C46" s="61"/>
      <c r="D46" s="62"/>
      <c r="E46" s="51">
        <f t="shared" si="0"/>
        <v>0</v>
      </c>
      <c r="F46" s="58">
        <f t="shared" si="1"/>
        <v>0</v>
      </c>
    </row>
    <row r="47" spans="2:26" x14ac:dyDescent="0.5">
      <c r="B47" s="16" t="s">
        <v>52</v>
      </c>
      <c r="C47" s="54"/>
      <c r="D47" s="54"/>
      <c r="E47" s="59">
        <f>SUM(E41:E46)</f>
        <v>0</v>
      </c>
      <c r="F47" s="60">
        <f>SUM(F41:F46)</f>
        <v>0</v>
      </c>
    </row>
    <row r="48" spans="2:26" x14ac:dyDescent="0.5">
      <c r="C48" s="49"/>
      <c r="D48" s="49"/>
      <c r="E48" s="49"/>
      <c r="F48" s="49"/>
    </row>
    <row r="49" spans="2:6" x14ac:dyDescent="0.5">
      <c r="B49" s="15" t="s">
        <v>53</v>
      </c>
      <c r="C49" s="49"/>
      <c r="D49" s="49"/>
      <c r="E49" s="49"/>
      <c r="F49" s="46">
        <f>+E47</f>
        <v>0</v>
      </c>
    </row>
    <row r="50" spans="2:6" x14ac:dyDescent="0.5">
      <c r="B50" s="15" t="s">
        <v>54</v>
      </c>
      <c r="C50" s="49"/>
      <c r="D50" s="49"/>
      <c r="E50" s="49"/>
      <c r="F50" s="46">
        <f>IF(ISERR($F47/E11),"-",$F47/E11)</f>
        <v>0</v>
      </c>
    </row>
    <row r="51" spans="2:6" x14ac:dyDescent="0.5">
      <c r="B51" s="15" t="s">
        <v>79</v>
      </c>
      <c r="C51" s="49"/>
      <c r="D51" s="49"/>
      <c r="E51" s="49"/>
      <c r="F51" s="46">
        <f>+IF(ISERR(F49-F50),"-",F49-F50)</f>
        <v>0</v>
      </c>
    </row>
    <row r="52" spans="2:6" x14ac:dyDescent="0.5">
      <c r="C52" s="49"/>
      <c r="D52" s="49"/>
      <c r="E52" s="49"/>
      <c r="F52" s="46"/>
    </row>
    <row r="53" spans="2:6" x14ac:dyDescent="0.5">
      <c r="B53" s="44" t="s">
        <v>80</v>
      </c>
      <c r="C53" s="44"/>
      <c r="D53" s="44"/>
      <c r="E53" s="44"/>
      <c r="F53" s="46"/>
    </row>
    <row r="54" spans="2:6" ht="5.55" customHeight="1" x14ac:dyDescent="0.5">
      <c r="B54" s="16"/>
      <c r="D54" s="49"/>
      <c r="E54" s="16"/>
      <c r="F54" s="46"/>
    </row>
    <row r="55" spans="2:6" x14ac:dyDescent="0.5">
      <c r="B55" s="16"/>
      <c r="D55" s="49"/>
      <c r="E55" s="42" t="s">
        <v>83</v>
      </c>
      <c r="F55" s="46"/>
    </row>
    <row r="56" spans="2:6" x14ac:dyDescent="0.5">
      <c r="B56" s="16"/>
      <c r="D56" s="49"/>
      <c r="E56" s="42" t="s">
        <v>49</v>
      </c>
      <c r="F56" s="46"/>
    </row>
    <row r="57" spans="2:6" ht="16.8" x14ac:dyDescent="0.95">
      <c r="B57" s="19" t="s">
        <v>47</v>
      </c>
      <c r="C57" s="19" t="s">
        <v>84</v>
      </c>
      <c r="D57" s="19" t="s">
        <v>84</v>
      </c>
      <c r="E57" s="20" t="s">
        <v>51</v>
      </c>
      <c r="F57" s="46"/>
    </row>
    <row r="58" spans="2:6" x14ac:dyDescent="0.5">
      <c r="E58" s="66" t="s">
        <v>21</v>
      </c>
      <c r="F58" s="46"/>
    </row>
    <row r="59" spans="2:6" x14ac:dyDescent="0.5">
      <c r="B59" s="38" t="s">
        <v>96</v>
      </c>
      <c r="C59" s="38"/>
      <c r="D59" s="38"/>
      <c r="E59" s="50">
        <v>6.0449999999999999</v>
      </c>
      <c r="F59" s="46"/>
    </row>
    <row r="60" spans="2:6" x14ac:dyDescent="0.5">
      <c r="B60" s="38" t="s">
        <v>95</v>
      </c>
      <c r="C60" s="38"/>
      <c r="D60" s="38"/>
      <c r="E60" s="50">
        <v>23.260999999999999</v>
      </c>
      <c r="F60" s="46"/>
    </row>
    <row r="61" spans="2:6" x14ac:dyDescent="0.5">
      <c r="B61" s="38"/>
      <c r="C61" s="38"/>
      <c r="D61" s="38"/>
      <c r="E61" s="38"/>
      <c r="F61" s="46"/>
    </row>
    <row r="62" spans="2:6" x14ac:dyDescent="0.5">
      <c r="B62" s="38"/>
      <c r="C62" s="38"/>
      <c r="D62" s="38"/>
      <c r="E62" s="38"/>
      <c r="F62" s="46"/>
    </row>
    <row r="63" spans="2:6" x14ac:dyDescent="0.5">
      <c r="B63" s="43"/>
      <c r="C63" s="43"/>
      <c r="D63" s="43"/>
      <c r="E63" s="43"/>
      <c r="F63" s="46"/>
    </row>
    <row r="64" spans="2:6" x14ac:dyDescent="0.5">
      <c r="B64" s="16" t="s">
        <v>52</v>
      </c>
      <c r="D64" s="49"/>
      <c r="E64" s="78">
        <f>SUM(E59:E63)</f>
        <v>29.305999999999997</v>
      </c>
      <c r="F64" s="46"/>
    </row>
    <row r="66" spans="2:5" x14ac:dyDescent="0.5">
      <c r="B66" s="44" t="s">
        <v>39</v>
      </c>
      <c r="C66" s="44"/>
      <c r="D66" s="44"/>
      <c r="E66" s="44"/>
    </row>
    <row r="67" spans="2:5" ht="5.25" customHeight="1" x14ac:dyDescent="0.5"/>
    <row r="68" spans="2:5" x14ac:dyDescent="0.5">
      <c r="B68" s="42"/>
      <c r="C68" s="42" t="s">
        <v>56</v>
      </c>
      <c r="D68" s="42" t="s">
        <v>57</v>
      </c>
      <c r="E68" s="42" t="s">
        <v>9</v>
      </c>
    </row>
    <row r="69" spans="2:5" ht="16.8" x14ac:dyDescent="0.95">
      <c r="B69" s="19" t="s">
        <v>55</v>
      </c>
      <c r="C69" s="20" t="s">
        <v>23</v>
      </c>
      <c r="D69" s="20" t="s">
        <v>8</v>
      </c>
      <c r="E69" s="20" t="s">
        <v>58</v>
      </c>
    </row>
    <row r="70" spans="2:5" x14ac:dyDescent="0.5">
      <c r="C70" s="66" t="s">
        <v>21</v>
      </c>
      <c r="D70" s="67" t="s">
        <v>16</v>
      </c>
      <c r="E70" s="66" t="s">
        <v>21</v>
      </c>
    </row>
    <row r="71" spans="2:5" x14ac:dyDescent="0.5">
      <c r="B71" s="38"/>
      <c r="C71" s="52"/>
      <c r="D71" s="48"/>
      <c r="E71" s="46">
        <f>IF(ISNUMBER($D71),IF($E$11&gt;$D71,$C71/$D71,0),0)</f>
        <v>0</v>
      </c>
    </row>
    <row r="72" spans="2:5" x14ac:dyDescent="0.5">
      <c r="B72" s="38"/>
      <c r="C72" s="52"/>
      <c r="D72" s="48"/>
      <c r="E72" s="46">
        <f t="shared" ref="E72:E75" si="2">IF(ISNUMBER($D72),IF($E$11&gt;$D72,$C72/$D72,0),0)</f>
        <v>0</v>
      </c>
    </row>
    <row r="73" spans="2:5" x14ac:dyDescent="0.5">
      <c r="B73" s="38"/>
      <c r="C73" s="52"/>
      <c r="D73" s="48"/>
      <c r="E73" s="46">
        <f t="shared" si="2"/>
        <v>0</v>
      </c>
    </row>
    <row r="74" spans="2:5" x14ac:dyDescent="0.5">
      <c r="B74" s="38"/>
      <c r="C74" s="52"/>
      <c r="D74" s="48"/>
      <c r="E74" s="46">
        <f t="shared" si="2"/>
        <v>0</v>
      </c>
    </row>
    <row r="75" spans="2:5" x14ac:dyDescent="0.5">
      <c r="B75" s="43"/>
      <c r="C75" s="63"/>
      <c r="D75" s="62"/>
      <c r="E75" s="51">
        <f t="shared" si="2"/>
        <v>0</v>
      </c>
    </row>
    <row r="76" spans="2:5" x14ac:dyDescent="0.5">
      <c r="B76" s="16" t="s">
        <v>52</v>
      </c>
      <c r="C76" s="64">
        <f>SUM(C71:C75)</f>
        <v>0</v>
      </c>
      <c r="D76" s="54"/>
      <c r="E76" s="59">
        <f>SUM(E71:E75)</f>
        <v>0</v>
      </c>
    </row>
    <row r="77" spans="2:5" x14ac:dyDescent="0.5">
      <c r="C77" s="49"/>
      <c r="D77" s="49"/>
      <c r="E77" s="49"/>
    </row>
    <row r="78" spans="2:5" x14ac:dyDescent="0.5">
      <c r="B78" s="15" t="s">
        <v>59</v>
      </c>
      <c r="C78" s="49"/>
      <c r="D78" s="49"/>
      <c r="E78" s="65">
        <f>SUMIF(D71:D75,"&lt;"&amp;$E$11,C71:C75)</f>
        <v>0</v>
      </c>
    </row>
    <row r="79" spans="2:5" x14ac:dyDescent="0.5">
      <c r="B79" s="15" t="s">
        <v>60</v>
      </c>
      <c r="C79" s="49"/>
      <c r="D79" s="49"/>
      <c r="E79" s="65">
        <f>+C76-E78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AFFC-05AA-48A5-B67C-41AF6B7D1017}">
  <dimension ref="A1:Z79"/>
  <sheetViews>
    <sheetView showGridLines="0" zoomScaleNormal="100" workbookViewId="0"/>
  </sheetViews>
  <sheetFormatPr defaultColWidth="11.68359375" defaultRowHeight="14.1" x14ac:dyDescent="0.5"/>
  <cols>
    <col min="1" max="1" width="5.68359375" style="15" customWidth="1"/>
    <col min="2" max="2" width="50.68359375" style="15" customWidth="1"/>
    <col min="3" max="6" width="15.68359375" style="15" customWidth="1"/>
    <col min="7" max="7" width="50.68359375" style="15" customWidth="1"/>
    <col min="8" max="9" width="15.68359375" style="15" customWidth="1"/>
    <col min="10" max="16384" width="11.68359375" style="15"/>
  </cols>
  <sheetData>
    <row r="1" spans="1:9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</row>
    <row r="2" spans="1:9" s="2" customFormat="1" ht="17.399999999999999" x14ac:dyDescent="0.5">
      <c r="A2" s="12" t="str">
        <f>_xll.ciqfunctions.udf.CIQ($E$10, "IQ_COMPANY_NAME")</f>
        <v>The Home Depot, Inc.</v>
      </c>
      <c r="B2" s="12"/>
      <c r="C2" s="12"/>
      <c r="D2" s="12"/>
      <c r="E2" s="12"/>
      <c r="F2" s="12"/>
      <c r="G2" s="12"/>
      <c r="H2" s="12"/>
      <c r="I2" s="12"/>
    </row>
    <row r="3" spans="1:9" s="11" customFormat="1" ht="15" x14ac:dyDescent="0.5">
      <c r="A3" s="36" t="s">
        <v>102</v>
      </c>
      <c r="B3" s="14"/>
      <c r="C3" s="14"/>
      <c r="D3" s="14"/>
      <c r="E3" s="13"/>
      <c r="F3" s="13"/>
      <c r="G3" s="13"/>
      <c r="H3" s="13"/>
      <c r="I3" s="13"/>
    </row>
    <row r="4" spans="1:9" x14ac:dyDescent="0.5">
      <c r="B4" s="15" t="str">
        <f>'Comps Data (Capital IQ))'!$AG$2</f>
        <v>Currency</v>
      </c>
      <c r="C4" s="15" t="str">
        <f>'Comps Data (Capital IQ))'!$AH$2</f>
        <v>USD</v>
      </c>
    </row>
    <row r="6" spans="1:9" ht="15" x14ac:dyDescent="0.5">
      <c r="B6" s="37" t="str">
        <f>_xll.ciqfunctions.udf.CIQ($E$10, "IQ_COMPANY_NAME")</f>
        <v>The Home Depot, Inc.</v>
      </c>
      <c r="C6" s="13"/>
      <c r="D6" s="13"/>
      <c r="E6" s="13"/>
      <c r="F6" s="13"/>
      <c r="G6" s="13"/>
      <c r="H6" s="13"/>
      <c r="I6" s="13"/>
    </row>
    <row r="8" spans="1:9" x14ac:dyDescent="0.5">
      <c r="B8" s="44" t="s">
        <v>24</v>
      </c>
      <c r="C8" s="44"/>
      <c r="D8" s="44"/>
      <c r="E8" s="44"/>
      <c r="G8" s="44" t="s">
        <v>43</v>
      </c>
      <c r="H8" s="45"/>
      <c r="I8" s="45"/>
    </row>
    <row r="9" spans="1:9" ht="5.25" customHeight="1" x14ac:dyDescent="0.5"/>
    <row r="10" spans="1:9" ht="16.8" x14ac:dyDescent="0.95">
      <c r="B10" s="15" t="s">
        <v>35</v>
      </c>
      <c r="E10" s="47" t="str">
        <f>_xll.ciqfunctions.udf.CIQ("NYSE:HD", "IQ_COMPANY_TICKER")</f>
        <v>NYSE:HD</v>
      </c>
      <c r="G10" s="39" t="s">
        <v>41</v>
      </c>
      <c r="H10" s="20" t="s">
        <v>26</v>
      </c>
      <c r="I10" s="20" t="s">
        <v>27</v>
      </c>
    </row>
    <row r="11" spans="1:9" x14ac:dyDescent="0.5">
      <c r="B11" s="15" t="s">
        <v>71</v>
      </c>
      <c r="E11" s="48">
        <f>_xll.ciqfunctions.udf.CIQ(E10, "IQ_LASTSALEPRICE", E12)</f>
        <v>289.10000000000002</v>
      </c>
      <c r="G11" s="15" t="s">
        <v>25</v>
      </c>
      <c r="H11" s="52">
        <f>_xll.ciqfunctions.udf.CIQ($E$10, "IQ_REVENUE_EST", "FY2021", $E$12)</f>
        <v>130345.63710000001</v>
      </c>
      <c r="I11" s="52">
        <f>_xll.ciqfunctions.udf.CIQ($E$10, "IQ_REVENUE_EST", "FY2022", $E$12)</f>
        <v>135501.82561999999</v>
      </c>
    </row>
    <row r="12" spans="1:9" x14ac:dyDescent="0.5">
      <c r="B12" s="15" t="s">
        <v>36</v>
      </c>
      <c r="E12" s="81">
        <f>'Comps Data (Capital IQ))'!$AH$3</f>
        <v>44275</v>
      </c>
      <c r="G12" s="15" t="s">
        <v>11</v>
      </c>
      <c r="H12" s="52">
        <f>_xll.ciqfunctions.udf.CIQ($E$10, "IQ_EBITDA_EST", "FY2021", $E$12)</f>
        <v>20628.049360000001</v>
      </c>
      <c r="I12" s="52">
        <f>_xll.ciqfunctions.udf.CIQ($E$10, "IQ_EBITDA_EST", "FY2022", $E$12)</f>
        <v>21809.92035</v>
      </c>
    </row>
    <row r="13" spans="1:9" x14ac:dyDescent="0.5">
      <c r="E13" s="49"/>
      <c r="G13" s="15" t="s">
        <v>12</v>
      </c>
      <c r="H13" s="52">
        <f>_xll.ciqfunctions.udf.CIQ($E$10, "IQ_NI_REPORTED_EST", "FY2021", $E$12)</f>
        <v>12804.15921</v>
      </c>
      <c r="I13" s="52">
        <f>_xll.ciqfunctions.udf.CIQ($E$10, "IQ_NI_REPORTED_EST", "FY2022", $E$12)</f>
        <v>13494.422629999999</v>
      </c>
    </row>
    <row r="14" spans="1:9" x14ac:dyDescent="0.5">
      <c r="B14" s="40" t="s">
        <v>37</v>
      </c>
      <c r="E14" s="49"/>
      <c r="G14" s="15" t="s">
        <v>28</v>
      </c>
      <c r="H14" s="52">
        <f>_xll.ciqfunctions.udf.CIQ($E$10, "IQ_CASH_OPER_EST", "FY2021", $E$12)</f>
        <v>16602.2</v>
      </c>
      <c r="I14" s="52">
        <f>_xll.ciqfunctions.udf.CIQ($E$10, "IQ_CASH_OPER_EST", "FY2022", $E$12)</f>
        <v>16511.545450000001</v>
      </c>
    </row>
    <row r="15" spans="1:9" x14ac:dyDescent="0.5">
      <c r="B15" s="15" t="s">
        <v>72</v>
      </c>
      <c r="E15" s="82">
        <f>_xll.ciqfunctions.udf.CIQ(E10, "IQ_TOTAL_OUTSTANDING_BS_DATE", , E12)</f>
        <v>1077</v>
      </c>
      <c r="H15" s="49"/>
      <c r="I15" s="49"/>
    </row>
    <row r="16" spans="1:9" ht="16.5" customHeight="1" x14ac:dyDescent="0.5">
      <c r="B16" s="72" t="s">
        <v>82</v>
      </c>
      <c r="C16" s="72"/>
      <c r="D16" s="72"/>
      <c r="E16" s="75">
        <f>+E64</f>
        <v>2.1999999999999999E-2</v>
      </c>
      <c r="H16" s="49"/>
      <c r="I16" s="49"/>
    </row>
    <row r="17" spans="2:9" ht="16.5" customHeight="1" x14ac:dyDescent="0.5">
      <c r="B17" s="72" t="s">
        <v>73</v>
      </c>
      <c r="C17" s="72"/>
      <c r="D17" s="72"/>
      <c r="E17" s="75">
        <f>+F51</f>
        <v>3.201116291940505</v>
      </c>
      <c r="G17" s="73" t="s">
        <v>42</v>
      </c>
      <c r="H17" s="77" t="s">
        <v>26</v>
      </c>
      <c r="I17" s="77" t="s">
        <v>27</v>
      </c>
    </row>
    <row r="18" spans="2:9" ht="16.5" customHeight="1" x14ac:dyDescent="0.5">
      <c r="B18" s="74" t="s">
        <v>74</v>
      </c>
      <c r="C18" s="74"/>
      <c r="D18" s="74"/>
      <c r="E18" s="76">
        <f>+E76</f>
        <v>0</v>
      </c>
      <c r="G18" s="15" t="s">
        <v>25</v>
      </c>
      <c r="H18" s="55">
        <f>IFERROR($E$32/H11,"-")</f>
        <v>2.6684399313891571</v>
      </c>
      <c r="I18" s="55">
        <f>IFERROR($E$32/I11,"-")</f>
        <v>2.5668990165152583</v>
      </c>
    </row>
    <row r="19" spans="2:9" x14ac:dyDescent="0.5">
      <c r="B19" s="72" t="s">
        <v>81</v>
      </c>
      <c r="E19" s="79">
        <f>SUM(E15:E18)</f>
        <v>1080.2231162919404</v>
      </c>
      <c r="G19" s="15" t="s">
        <v>11</v>
      </c>
      <c r="H19" s="55">
        <f>IFERROR($E$32/H12,"-")</f>
        <v>16.861482966705484</v>
      </c>
      <c r="I19" s="55">
        <f>IFERROR($E$32/I12,"-")</f>
        <v>15.947765848672621</v>
      </c>
    </row>
    <row r="20" spans="2:9" x14ac:dyDescent="0.5">
      <c r="E20" s="49"/>
      <c r="G20" s="15" t="s">
        <v>12</v>
      </c>
      <c r="H20" s="55">
        <f>IFERROR($E$21/H13,"-")</f>
        <v>24.389926569805596</v>
      </c>
      <c r="I20" s="55">
        <f>IFERROR($E$21/I13,"-")</f>
        <v>23.142338985717689</v>
      </c>
    </row>
    <row r="21" spans="2:9" x14ac:dyDescent="0.5">
      <c r="B21" s="16" t="s">
        <v>38</v>
      </c>
      <c r="C21" s="16"/>
      <c r="D21" s="16"/>
      <c r="E21" s="64">
        <f>+E11*E19</f>
        <v>312292.50292</v>
      </c>
      <c r="G21" s="15" t="s">
        <v>28</v>
      </c>
      <c r="H21" s="55">
        <f>IFERROR($E$21/H14,"-")</f>
        <v>18.810308448277937</v>
      </c>
      <c r="I21" s="55">
        <f>IFERROR($E$21/I14,"-")</f>
        <v>18.913584065506114</v>
      </c>
    </row>
    <row r="22" spans="2:9" x14ac:dyDescent="0.5">
      <c r="E22" s="49"/>
      <c r="H22" s="49"/>
      <c r="I22" s="49"/>
    </row>
    <row r="23" spans="2:9" x14ac:dyDescent="0.5">
      <c r="B23" s="15" t="s">
        <v>76</v>
      </c>
      <c r="E23" s="52">
        <f>_xll.ciqfunctions.udf.CIQ(E10, "IQ_CASH_EQUIV", , E12)</f>
        <v>7895</v>
      </c>
      <c r="G23" s="15" t="s">
        <v>45</v>
      </c>
      <c r="H23" s="49"/>
      <c r="I23" s="55">
        <f>IFERROR(E29/E34,"-")</f>
        <v>13.162170354652925</v>
      </c>
    </row>
    <row r="24" spans="2:9" x14ac:dyDescent="0.5">
      <c r="E24" s="49"/>
      <c r="G24" s="15" t="s">
        <v>77</v>
      </c>
      <c r="H24" s="49"/>
      <c r="I24" s="56">
        <f>IFERROR(E29/(E29+E34),"-")</f>
        <v>0.92938935382376231</v>
      </c>
    </row>
    <row r="25" spans="2:9" x14ac:dyDescent="0.5">
      <c r="B25" s="15" t="s">
        <v>86</v>
      </c>
      <c r="E25" s="80">
        <f>_xll.ciqfunctions.udf.CIQ(E10, "IQ_TOTAL_DEBT", , E12)</f>
        <v>43422</v>
      </c>
      <c r="G25" s="15" t="s">
        <v>78</v>
      </c>
      <c r="I25" s="56">
        <f>IFERROR(E29/(E29+E21),"-")</f>
        <v>0.12206980497999427</v>
      </c>
    </row>
    <row r="26" spans="2:9" x14ac:dyDescent="0.5">
      <c r="B26" s="15" t="s">
        <v>89</v>
      </c>
      <c r="E26" s="80">
        <f>_xll.ciqfunctions.udf.CIQ(E10, "IQ_CONVERT", , E12, , , "USD")</f>
        <v>0</v>
      </c>
      <c r="I26" s="56"/>
    </row>
    <row r="27" spans="2:9" x14ac:dyDescent="0.5">
      <c r="B27" s="15" t="s">
        <v>88</v>
      </c>
      <c r="E27" s="65">
        <f>+E25-E26</f>
        <v>43422</v>
      </c>
    </row>
    <row r="28" spans="2:9" x14ac:dyDescent="0.5">
      <c r="B28" s="41" t="s">
        <v>90</v>
      </c>
      <c r="C28" s="41"/>
      <c r="D28" s="41"/>
      <c r="E28" s="53">
        <f>+E79</f>
        <v>0</v>
      </c>
    </row>
    <row r="29" spans="2:9" x14ac:dyDescent="0.5">
      <c r="B29" s="16" t="s">
        <v>87</v>
      </c>
      <c r="C29" s="16"/>
      <c r="D29" s="16"/>
      <c r="E29" s="64">
        <f>+E27+E28</f>
        <v>43422</v>
      </c>
    </row>
    <row r="30" spans="2:9" x14ac:dyDescent="0.5">
      <c r="B30" s="16"/>
      <c r="C30" s="16"/>
      <c r="D30" s="16"/>
      <c r="E30" s="54"/>
    </row>
    <row r="31" spans="2:9" x14ac:dyDescent="0.5">
      <c r="B31" s="15" t="s">
        <v>10</v>
      </c>
      <c r="E31" s="65">
        <f>+E29-E23</f>
        <v>35527</v>
      </c>
    </row>
    <row r="32" spans="2:9" x14ac:dyDescent="0.5">
      <c r="B32" s="16" t="s">
        <v>40</v>
      </c>
      <c r="C32" s="16"/>
      <c r="D32" s="16"/>
      <c r="E32" s="64">
        <f>+E21+E31</f>
        <v>347819.50292</v>
      </c>
    </row>
    <row r="33" spans="2:26" x14ac:dyDescent="0.5">
      <c r="E33" s="49"/>
    </row>
    <row r="34" spans="2:26" x14ac:dyDescent="0.5">
      <c r="B34" s="15" t="s">
        <v>44</v>
      </c>
      <c r="E34" s="52">
        <f>_xll.ciqfunctions.udf.CIQ(E10, "IQ_TOTAL_EQUITY", , E12)</f>
        <v>3299</v>
      </c>
    </row>
    <row r="36" spans="2:26" x14ac:dyDescent="0.5">
      <c r="B36" s="44" t="s">
        <v>46</v>
      </c>
      <c r="C36" s="44"/>
      <c r="D36" s="44"/>
      <c r="E36" s="44"/>
      <c r="F36" s="44"/>
    </row>
    <row r="37" spans="2:26" ht="5.25" customHeight="1" x14ac:dyDescent="0.5"/>
    <row r="38" spans="2:26" x14ac:dyDescent="0.5">
      <c r="B38" s="42"/>
      <c r="C38" s="42" t="s">
        <v>49</v>
      </c>
      <c r="D38" s="42" t="s">
        <v>48</v>
      </c>
      <c r="E38" s="42" t="s">
        <v>49</v>
      </c>
      <c r="F38" s="42"/>
    </row>
    <row r="39" spans="2:26" ht="16.8" x14ac:dyDescent="0.95">
      <c r="B39" s="19" t="s">
        <v>47</v>
      </c>
      <c r="C39" s="20" t="s">
        <v>51</v>
      </c>
      <c r="D39" s="20" t="s">
        <v>8</v>
      </c>
      <c r="E39" s="20" t="s">
        <v>91</v>
      </c>
      <c r="F39" s="20" t="s">
        <v>50</v>
      </c>
    </row>
    <row r="40" spans="2:26" s="66" customFormat="1" ht="10.199999999999999" x14ac:dyDescent="0.35">
      <c r="C40" s="66" t="s">
        <v>21</v>
      </c>
      <c r="D40" s="67" t="s">
        <v>16</v>
      </c>
      <c r="E40" s="66" t="s">
        <v>21</v>
      </c>
      <c r="F40" s="67" t="s">
        <v>20</v>
      </c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9"/>
      <c r="S40" s="67"/>
      <c r="T40" s="67"/>
      <c r="U40" s="67"/>
      <c r="V40" s="67"/>
      <c r="W40" s="67"/>
      <c r="X40" s="67"/>
      <c r="Y40" s="67"/>
      <c r="Z40" s="67"/>
    </row>
    <row r="41" spans="2:26" x14ac:dyDescent="0.5">
      <c r="B41" s="38" t="s">
        <v>97</v>
      </c>
      <c r="C41" s="50">
        <v>5.2119999999999997</v>
      </c>
      <c r="D41" s="48">
        <v>111.54</v>
      </c>
      <c r="E41" s="46">
        <f>+IF(D41&lt;$E$11,C41,0)</f>
        <v>5.2119999999999997</v>
      </c>
      <c r="F41" s="57">
        <f>+D41*E41</f>
        <v>581.34648000000004</v>
      </c>
    </row>
    <row r="42" spans="2:26" x14ac:dyDescent="0.5">
      <c r="B42" s="38"/>
      <c r="C42" s="50"/>
      <c r="D42" s="48"/>
      <c r="E42" s="46">
        <f t="shared" ref="E42:E46" si="0">+IF(D42&lt;$E$11,C42,0)</f>
        <v>0</v>
      </c>
      <c r="F42" s="57">
        <f t="shared" ref="F42:F46" si="1">+D42*E42</f>
        <v>0</v>
      </c>
    </row>
    <row r="43" spans="2:26" x14ac:dyDescent="0.5">
      <c r="B43" s="38"/>
      <c r="C43" s="50"/>
      <c r="D43" s="48"/>
      <c r="E43" s="46">
        <f t="shared" si="0"/>
        <v>0</v>
      </c>
      <c r="F43" s="57">
        <f t="shared" si="1"/>
        <v>0</v>
      </c>
    </row>
    <row r="44" spans="2:26" x14ac:dyDescent="0.5">
      <c r="B44" s="38"/>
      <c r="C44" s="50"/>
      <c r="D44" s="48"/>
      <c r="E44" s="46">
        <f t="shared" si="0"/>
        <v>0</v>
      </c>
      <c r="F44" s="57">
        <f t="shared" si="1"/>
        <v>0</v>
      </c>
    </row>
    <row r="45" spans="2:26" x14ac:dyDescent="0.5">
      <c r="B45" s="38"/>
      <c r="C45" s="50"/>
      <c r="D45" s="48"/>
      <c r="E45" s="46">
        <f t="shared" si="0"/>
        <v>0</v>
      </c>
      <c r="F45" s="57">
        <f t="shared" si="1"/>
        <v>0</v>
      </c>
    </row>
    <row r="46" spans="2:26" x14ac:dyDescent="0.5">
      <c r="B46" s="43"/>
      <c r="C46" s="61"/>
      <c r="D46" s="62"/>
      <c r="E46" s="51">
        <f t="shared" si="0"/>
        <v>0</v>
      </c>
      <c r="F46" s="58">
        <f t="shared" si="1"/>
        <v>0</v>
      </c>
    </row>
    <row r="47" spans="2:26" x14ac:dyDescent="0.5">
      <c r="B47" s="16" t="s">
        <v>52</v>
      </c>
      <c r="C47" s="54"/>
      <c r="D47" s="54"/>
      <c r="E47" s="59">
        <f>SUM(E41:E46)</f>
        <v>5.2119999999999997</v>
      </c>
      <c r="F47" s="60">
        <f>SUM(F41:F46)</f>
        <v>581.34648000000004</v>
      </c>
    </row>
    <row r="48" spans="2:26" x14ac:dyDescent="0.5">
      <c r="C48" s="49"/>
      <c r="D48" s="49"/>
      <c r="E48" s="49"/>
      <c r="F48" s="49"/>
    </row>
    <row r="49" spans="2:6" x14ac:dyDescent="0.5">
      <c r="B49" s="15" t="s">
        <v>53</v>
      </c>
      <c r="C49" s="49"/>
      <c r="D49" s="49"/>
      <c r="E49" s="49"/>
      <c r="F49" s="46">
        <f>+E47</f>
        <v>5.2119999999999997</v>
      </c>
    </row>
    <row r="50" spans="2:6" x14ac:dyDescent="0.5">
      <c r="B50" s="15" t="s">
        <v>54</v>
      </c>
      <c r="C50" s="49"/>
      <c r="D50" s="49"/>
      <c r="E50" s="49"/>
      <c r="F50" s="46">
        <f>IF(ISERR($F47/E11),"-",$F47/E11)</f>
        <v>2.0108837080594948</v>
      </c>
    </row>
    <row r="51" spans="2:6" x14ac:dyDescent="0.5">
      <c r="B51" s="15" t="s">
        <v>79</v>
      </c>
      <c r="C51" s="49"/>
      <c r="D51" s="49"/>
      <c r="E51" s="49"/>
      <c r="F51" s="46">
        <f>+IF(ISERR(F49-F50),"-",F49-F50)</f>
        <v>3.201116291940505</v>
      </c>
    </row>
    <row r="52" spans="2:6" x14ac:dyDescent="0.5">
      <c r="C52" s="49"/>
      <c r="D52" s="49"/>
      <c r="E52" s="49"/>
      <c r="F52" s="46"/>
    </row>
    <row r="53" spans="2:6" x14ac:dyDescent="0.5">
      <c r="B53" s="44" t="s">
        <v>80</v>
      </c>
      <c r="C53" s="44"/>
      <c r="D53" s="44"/>
      <c r="E53" s="44"/>
      <c r="F53" s="46"/>
    </row>
    <row r="54" spans="2:6" ht="5.55" customHeight="1" x14ac:dyDescent="0.5">
      <c r="B54" s="16"/>
      <c r="D54" s="49"/>
      <c r="E54" s="16"/>
      <c r="F54" s="46"/>
    </row>
    <row r="55" spans="2:6" x14ac:dyDescent="0.5">
      <c r="B55" s="16"/>
      <c r="D55" s="49"/>
      <c r="E55" s="42" t="s">
        <v>83</v>
      </c>
      <c r="F55" s="46"/>
    </row>
    <row r="56" spans="2:6" x14ac:dyDescent="0.5">
      <c r="B56" s="16"/>
      <c r="D56" s="49"/>
      <c r="E56" s="42" t="s">
        <v>49</v>
      </c>
      <c r="F56" s="46"/>
    </row>
    <row r="57" spans="2:6" ht="16.8" x14ac:dyDescent="0.95">
      <c r="B57" s="19" t="s">
        <v>47</v>
      </c>
      <c r="C57" s="19" t="s">
        <v>84</v>
      </c>
      <c r="D57" s="19" t="s">
        <v>84</v>
      </c>
      <c r="E57" s="20" t="s">
        <v>51</v>
      </c>
      <c r="F57" s="46"/>
    </row>
    <row r="58" spans="2:6" x14ac:dyDescent="0.5">
      <c r="E58" s="66" t="s">
        <v>21</v>
      </c>
      <c r="F58" s="46"/>
    </row>
    <row r="59" spans="2:6" x14ac:dyDescent="0.5">
      <c r="B59" s="38" t="s">
        <v>112</v>
      </c>
      <c r="C59" s="38"/>
      <c r="D59" s="38"/>
      <c r="E59" s="50">
        <v>2.1999999999999999E-2</v>
      </c>
      <c r="F59" s="46"/>
    </row>
    <row r="60" spans="2:6" x14ac:dyDescent="0.5">
      <c r="B60" s="38"/>
      <c r="C60" s="38"/>
      <c r="D60" s="38"/>
      <c r="E60" s="50"/>
      <c r="F60" s="46"/>
    </row>
    <row r="61" spans="2:6" x14ac:dyDescent="0.5">
      <c r="B61" s="38"/>
      <c r="C61" s="38"/>
      <c r="D61" s="38"/>
      <c r="E61" s="38"/>
      <c r="F61" s="46"/>
    </row>
    <row r="62" spans="2:6" x14ac:dyDescent="0.5">
      <c r="B62" s="38"/>
      <c r="C62" s="38"/>
      <c r="D62" s="38"/>
      <c r="E62" s="38"/>
      <c r="F62" s="46"/>
    </row>
    <row r="63" spans="2:6" x14ac:dyDescent="0.5">
      <c r="B63" s="43"/>
      <c r="C63" s="43"/>
      <c r="D63" s="43"/>
      <c r="E63" s="43"/>
      <c r="F63" s="46"/>
    </row>
    <row r="64" spans="2:6" x14ac:dyDescent="0.5">
      <c r="B64" s="16" t="s">
        <v>52</v>
      </c>
      <c r="D64" s="49"/>
      <c r="E64" s="78">
        <f>SUM(E59:E63)</f>
        <v>2.1999999999999999E-2</v>
      </c>
      <c r="F64" s="46"/>
    </row>
    <row r="66" spans="2:5" x14ac:dyDescent="0.5">
      <c r="B66" s="44" t="s">
        <v>39</v>
      </c>
      <c r="C66" s="44"/>
      <c r="D66" s="44"/>
      <c r="E66" s="44"/>
    </row>
    <row r="67" spans="2:5" ht="5.25" customHeight="1" x14ac:dyDescent="0.5"/>
    <row r="68" spans="2:5" x14ac:dyDescent="0.5">
      <c r="B68" s="42"/>
      <c r="C68" s="42" t="s">
        <v>56</v>
      </c>
      <c r="D68" s="42" t="s">
        <v>57</v>
      </c>
      <c r="E68" s="42" t="s">
        <v>9</v>
      </c>
    </row>
    <row r="69" spans="2:5" ht="16.8" x14ac:dyDescent="0.95">
      <c r="B69" s="19" t="s">
        <v>55</v>
      </c>
      <c r="C69" s="20" t="s">
        <v>23</v>
      </c>
      <c r="D69" s="20" t="s">
        <v>8</v>
      </c>
      <c r="E69" s="20" t="s">
        <v>58</v>
      </c>
    </row>
    <row r="70" spans="2:5" x14ac:dyDescent="0.5">
      <c r="C70" s="66" t="s">
        <v>21</v>
      </c>
      <c r="D70" s="67" t="s">
        <v>16</v>
      </c>
      <c r="E70" s="66" t="s">
        <v>21</v>
      </c>
    </row>
    <row r="71" spans="2:5" x14ac:dyDescent="0.5">
      <c r="B71" s="38"/>
      <c r="C71" s="52"/>
      <c r="D71" s="48"/>
      <c r="E71" s="46">
        <f>IF(ISNUMBER($D71),IF($E$11&gt;$D71,$C71/$D71,0),0)</f>
        <v>0</v>
      </c>
    </row>
    <row r="72" spans="2:5" x14ac:dyDescent="0.5">
      <c r="B72" s="38"/>
      <c r="C72" s="52"/>
      <c r="D72" s="48"/>
      <c r="E72" s="46">
        <f t="shared" ref="E72:E75" si="2">IF(ISNUMBER($D72),IF($E$11&gt;$D72,$C72/$D72,0),0)</f>
        <v>0</v>
      </c>
    </row>
    <row r="73" spans="2:5" x14ac:dyDescent="0.5">
      <c r="B73" s="38"/>
      <c r="C73" s="52"/>
      <c r="D73" s="48"/>
      <c r="E73" s="46">
        <f t="shared" si="2"/>
        <v>0</v>
      </c>
    </row>
    <row r="74" spans="2:5" x14ac:dyDescent="0.5">
      <c r="B74" s="38"/>
      <c r="C74" s="52"/>
      <c r="D74" s="48"/>
      <c r="E74" s="46">
        <f t="shared" si="2"/>
        <v>0</v>
      </c>
    </row>
    <row r="75" spans="2:5" x14ac:dyDescent="0.5">
      <c r="B75" s="43"/>
      <c r="C75" s="63"/>
      <c r="D75" s="62"/>
      <c r="E75" s="51">
        <f t="shared" si="2"/>
        <v>0</v>
      </c>
    </row>
    <row r="76" spans="2:5" x14ac:dyDescent="0.5">
      <c r="B76" s="16" t="s">
        <v>52</v>
      </c>
      <c r="C76" s="64">
        <f>SUM(C71:C75)</f>
        <v>0</v>
      </c>
      <c r="D76" s="54"/>
      <c r="E76" s="59">
        <f>SUM(E71:E75)</f>
        <v>0</v>
      </c>
    </row>
    <row r="77" spans="2:5" x14ac:dyDescent="0.5">
      <c r="C77" s="49"/>
      <c r="D77" s="49"/>
      <c r="E77" s="49"/>
    </row>
    <row r="78" spans="2:5" x14ac:dyDescent="0.5">
      <c r="B78" s="15" t="s">
        <v>59</v>
      </c>
      <c r="C78" s="49"/>
      <c r="D78" s="49"/>
      <c r="E78" s="65">
        <f>SUMIF(D71:D75,"&lt;"&amp;$E$11,C71:C75)</f>
        <v>0</v>
      </c>
    </row>
    <row r="79" spans="2:5" x14ac:dyDescent="0.5">
      <c r="B79" s="15" t="s">
        <v>60</v>
      </c>
      <c r="C79" s="49"/>
      <c r="D79" s="49"/>
      <c r="E79" s="65">
        <f>+C76-E78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BEB06-FAFD-478F-9F54-7BF674AA42B3}">
  <dimension ref="A1:Z79"/>
  <sheetViews>
    <sheetView showGridLines="0" zoomScaleNormal="100" workbookViewId="0"/>
  </sheetViews>
  <sheetFormatPr defaultColWidth="11.68359375" defaultRowHeight="14.1" x14ac:dyDescent="0.5"/>
  <cols>
    <col min="1" max="1" width="5.68359375" style="15" customWidth="1"/>
    <col min="2" max="2" width="50.68359375" style="15" customWidth="1"/>
    <col min="3" max="6" width="15.68359375" style="15" customWidth="1"/>
    <col min="7" max="7" width="50.68359375" style="15" customWidth="1"/>
    <col min="8" max="9" width="15.68359375" style="15" customWidth="1"/>
    <col min="10" max="16384" width="11.68359375" style="15"/>
  </cols>
  <sheetData>
    <row r="1" spans="1:9" s="11" customFormat="1" ht="15" x14ac:dyDescent="0.5">
      <c r="A1" s="35" t="s">
        <v>33</v>
      </c>
      <c r="B1" s="10"/>
      <c r="C1" s="10"/>
      <c r="D1" s="10"/>
      <c r="E1" s="10"/>
      <c r="F1" s="10"/>
      <c r="G1" s="10"/>
      <c r="H1" s="10"/>
      <c r="I1" s="10"/>
    </row>
    <row r="2" spans="1:9" s="2" customFormat="1" ht="17.399999999999999" x14ac:dyDescent="0.5">
      <c r="A2" s="12" t="str">
        <f>_xll.ciqfunctions.udf.CIQ($E$10, "IQ_COMPANY_NAME")</f>
        <v>Lowe's Companies, Inc.</v>
      </c>
      <c r="B2" s="12"/>
      <c r="C2" s="12"/>
      <c r="D2" s="12"/>
      <c r="E2" s="12"/>
      <c r="F2" s="12"/>
      <c r="G2" s="12"/>
      <c r="H2" s="12"/>
      <c r="I2" s="12"/>
    </row>
    <row r="3" spans="1:9" s="11" customFormat="1" ht="15" x14ac:dyDescent="0.5">
      <c r="A3" s="36" t="s">
        <v>102</v>
      </c>
      <c r="B3" s="14"/>
      <c r="C3" s="14"/>
      <c r="D3" s="14"/>
      <c r="E3" s="13"/>
      <c r="F3" s="13"/>
      <c r="G3" s="13"/>
      <c r="H3" s="13"/>
      <c r="I3" s="13"/>
    </row>
    <row r="4" spans="1:9" x14ac:dyDescent="0.5">
      <c r="B4" s="15" t="str">
        <f>'Comps Data (Capital IQ))'!$AG$2</f>
        <v>Currency</v>
      </c>
      <c r="C4" s="15" t="str">
        <f>'Comps Data (Capital IQ))'!$AH$2</f>
        <v>USD</v>
      </c>
    </row>
    <row r="6" spans="1:9" ht="15" x14ac:dyDescent="0.5">
      <c r="B6" s="37" t="str">
        <f>_xll.ciqfunctions.udf.CIQ($E$10, "IQ_COMPANY_NAME")</f>
        <v>Lowe's Companies, Inc.</v>
      </c>
      <c r="C6" s="13"/>
      <c r="D6" s="13"/>
      <c r="E6" s="13"/>
      <c r="F6" s="13"/>
      <c r="G6" s="13"/>
      <c r="H6" s="13"/>
      <c r="I6" s="13"/>
    </row>
    <row r="8" spans="1:9" x14ac:dyDescent="0.5">
      <c r="B8" s="44" t="s">
        <v>24</v>
      </c>
      <c r="C8" s="44"/>
      <c r="D8" s="44"/>
      <c r="E8" s="44"/>
      <c r="G8" s="44" t="s">
        <v>43</v>
      </c>
      <c r="H8" s="45"/>
      <c r="I8" s="45"/>
    </row>
    <row r="9" spans="1:9" ht="5.25" customHeight="1" x14ac:dyDescent="0.5"/>
    <row r="10" spans="1:9" ht="16.8" x14ac:dyDescent="0.95">
      <c r="B10" s="15" t="s">
        <v>35</v>
      </c>
      <c r="E10" s="47" t="s">
        <v>109</v>
      </c>
      <c r="G10" s="39" t="s">
        <v>41</v>
      </c>
      <c r="H10" s="20" t="s">
        <v>26</v>
      </c>
      <c r="I10" s="20" t="s">
        <v>27</v>
      </c>
    </row>
    <row r="11" spans="1:9" x14ac:dyDescent="0.5">
      <c r="B11" s="15" t="s">
        <v>71</v>
      </c>
      <c r="E11" s="48">
        <f>_xll.ciqfunctions.udf.CIQ(E10, "IQ_LASTSALEPRICE", E12,$C$4)</f>
        <v>179.49</v>
      </c>
      <c r="G11" s="15" t="s">
        <v>25</v>
      </c>
      <c r="H11" s="52">
        <f>_xll.ciqfunctions.udf.CIQ($E$10, "IQ_REVENUE_EST", "FY2021",,,,$C$4)</f>
        <v>88644.389639999994</v>
      </c>
      <c r="I11" s="52">
        <f>_xll.ciqfunctions.udf.CIQ($E$10, "IQ_REVENUE_EST", "FY2022",,,,$C$4)</f>
        <v>95796.8177</v>
      </c>
    </row>
    <row r="12" spans="1:9" x14ac:dyDescent="0.5">
      <c r="B12" s="15" t="s">
        <v>36</v>
      </c>
      <c r="E12" s="81">
        <f>'Comps Data (Capital IQ))'!$AH$3</f>
        <v>44275</v>
      </c>
      <c r="G12" s="15" t="s">
        <v>11</v>
      </c>
      <c r="H12" s="52">
        <f>_xll.ciqfunctions.udf.CIQ($E$10, "IQ_EBITDA_EST", "FY2021",,,,$C$4)</f>
        <v>11134.244769999999</v>
      </c>
      <c r="I12" s="52">
        <f>_xll.ciqfunctions.udf.CIQ($E$10, "IQ_EBITDA_EST", "FY2022",,,,$C$4)</f>
        <v>13786.583549999999</v>
      </c>
    </row>
    <row r="13" spans="1:9" x14ac:dyDescent="0.5">
      <c r="E13" s="49"/>
      <c r="G13" s="15" t="s">
        <v>12</v>
      </c>
      <c r="H13" s="52">
        <f>_xll.ciqfunctions.udf.CIQ($E$10, "IQ_NI_REPORTED_EST", "FY2021",,,,$C$4)</f>
        <v>6024.8232500000004</v>
      </c>
      <c r="I13" s="52">
        <f>_xll.ciqfunctions.udf.CIQ($E$10, "IQ_NI_REPORTED_EST", "FY2022",,,,$C$4)</f>
        <v>8326.3219300000001</v>
      </c>
    </row>
    <row r="14" spans="1:9" x14ac:dyDescent="0.5">
      <c r="B14" s="40" t="s">
        <v>37</v>
      </c>
      <c r="E14" s="49"/>
      <c r="G14" s="15" t="s">
        <v>28</v>
      </c>
      <c r="H14" s="52">
        <f>_xll.ciqfunctions.udf.CIQ($E$10, "IQ_CASH_OPER_EST", "FY2021",,,,$C$4)</f>
        <v>9679.0833299999995</v>
      </c>
      <c r="I14" s="52">
        <f>_xll.ciqfunctions.udf.CIQ($E$10, "IQ_CASH_OPER_EST", "FY2022",,,,$C$4)</f>
        <v>11097.74</v>
      </c>
    </row>
    <row r="15" spans="1:9" x14ac:dyDescent="0.5">
      <c r="B15" s="15" t="s">
        <v>72</v>
      </c>
      <c r="E15" s="82">
        <f>_xll.ciqfunctions.udf.CIQ(E10, "IQ_TOTAL_OUTSTANDING_BS_DATE", , E12)</f>
        <v>731</v>
      </c>
      <c r="H15" s="49"/>
      <c r="I15" s="49"/>
    </row>
    <row r="16" spans="1:9" ht="16.5" customHeight="1" x14ac:dyDescent="0.5">
      <c r="B16" s="72" t="s">
        <v>82</v>
      </c>
      <c r="C16" s="72"/>
      <c r="D16" s="72"/>
      <c r="E16" s="75">
        <f>+E64</f>
        <v>3.1719999999999997</v>
      </c>
      <c r="H16" s="49"/>
      <c r="I16" s="49"/>
    </row>
    <row r="17" spans="2:9" ht="16.5" customHeight="1" x14ac:dyDescent="0.5">
      <c r="B17" s="72" t="s">
        <v>73</v>
      </c>
      <c r="C17" s="72"/>
      <c r="D17" s="72"/>
      <c r="E17" s="75">
        <f>+F51</f>
        <v>1.2202553902724385</v>
      </c>
      <c r="G17" s="73" t="s">
        <v>42</v>
      </c>
      <c r="H17" s="77" t="s">
        <v>26</v>
      </c>
      <c r="I17" s="77" t="s">
        <v>27</v>
      </c>
    </row>
    <row r="18" spans="2:9" ht="16.5" customHeight="1" x14ac:dyDescent="0.5">
      <c r="B18" s="74" t="s">
        <v>74</v>
      </c>
      <c r="C18" s="74"/>
      <c r="D18" s="74"/>
      <c r="E18" s="76">
        <f>+E76</f>
        <v>0</v>
      </c>
      <c r="G18" s="15" t="s">
        <v>25</v>
      </c>
      <c r="H18" s="55">
        <f>IFERROR($E$32/H11,"-")</f>
        <v>1.7318248401670648</v>
      </c>
      <c r="I18" s="55">
        <f>IFERROR($E$32/I11,"-")</f>
        <v>1.6025225013293944</v>
      </c>
    </row>
    <row r="19" spans="2:9" x14ac:dyDescent="0.5">
      <c r="B19" s="72" t="s">
        <v>81</v>
      </c>
      <c r="E19" s="79">
        <f>SUM(E15:E18)</f>
        <v>735.39225539027245</v>
      </c>
      <c r="G19" s="15" t="s">
        <v>11</v>
      </c>
      <c r="H19" s="55">
        <f>IFERROR($E$32/H12,"-")</f>
        <v>13.787783463646635</v>
      </c>
      <c r="I19" s="55">
        <f>IFERROR($E$32/I12,"-")</f>
        <v>11.135213837658862</v>
      </c>
    </row>
    <row r="20" spans="2:9" x14ac:dyDescent="0.5">
      <c r="E20" s="49"/>
      <c r="G20" s="15" t="s">
        <v>12</v>
      </c>
      <c r="H20" s="55">
        <f>IFERROR($E$21/H13,"-")</f>
        <v>21.908618799729936</v>
      </c>
      <c r="I20" s="55">
        <f>IFERROR($E$21/I13,"-")</f>
        <v>15.85280475937591</v>
      </c>
    </row>
    <row r="21" spans="2:9" x14ac:dyDescent="0.5">
      <c r="B21" s="16" t="s">
        <v>38</v>
      </c>
      <c r="C21" s="16"/>
      <c r="D21" s="16"/>
      <c r="E21" s="64">
        <f>+E11*E19</f>
        <v>131995.55592000001</v>
      </c>
      <c r="G21" s="15" t="s">
        <v>28</v>
      </c>
      <c r="H21" s="55">
        <f>IFERROR($E$21/H14,"-")</f>
        <v>13.637195943017057</v>
      </c>
      <c r="I21" s="55">
        <f>IFERROR($E$21/I14,"-")</f>
        <v>11.893913167906259</v>
      </c>
    </row>
    <row r="22" spans="2:9" x14ac:dyDescent="0.5">
      <c r="E22" s="49"/>
      <c r="H22" s="49"/>
      <c r="I22" s="49"/>
    </row>
    <row r="23" spans="2:9" x14ac:dyDescent="0.5">
      <c r="B23" s="15" t="s">
        <v>76</v>
      </c>
      <c r="E23" s="52">
        <f>_xll.ciqfunctions.udf.CIQ(E10, "IQ_CASH_EQUIV", , E12, , , $C$4)</f>
        <v>4690</v>
      </c>
      <c r="G23" s="15" t="s">
        <v>45</v>
      </c>
      <c r="H23" s="49"/>
      <c r="I23" s="55">
        <f>IFERROR(E29/E34,"-")</f>
        <v>18.240083507306888</v>
      </c>
    </row>
    <row r="24" spans="2:9" x14ac:dyDescent="0.5">
      <c r="E24" s="49"/>
      <c r="G24" s="15" t="s">
        <v>77</v>
      </c>
      <c r="H24" s="49"/>
      <c r="I24" s="56">
        <f>IFERROR(E29/(E29+E34),"-")</f>
        <v>0.94802517361111116</v>
      </c>
    </row>
    <row r="25" spans="2:9" x14ac:dyDescent="0.5">
      <c r="B25" s="15" t="s">
        <v>86</v>
      </c>
      <c r="E25" s="80">
        <f>_xll.ciqfunctions.udf.CIQ(E10, "IQ_TOTAL_DEBT", , E12, , , $C$4)</f>
        <v>26211</v>
      </c>
      <c r="G25" s="15" t="s">
        <v>78</v>
      </c>
      <c r="I25" s="56">
        <f>IFERROR(E29/(E29+E21),"-")</f>
        <v>0.16567581442866416</v>
      </c>
    </row>
    <row r="26" spans="2:9" x14ac:dyDescent="0.5">
      <c r="B26" s="15" t="s">
        <v>89</v>
      </c>
      <c r="E26" s="80">
        <f>_xll.ciqfunctions.udf.CIQ(E10, "IQ_CONVERT", , E12, , , $C$4)</f>
        <v>0</v>
      </c>
      <c r="I26" s="56"/>
    </row>
    <row r="27" spans="2:9" x14ac:dyDescent="0.5">
      <c r="B27" s="15" t="s">
        <v>88</v>
      </c>
      <c r="E27" s="65">
        <f>+E25-E26</f>
        <v>26211</v>
      </c>
    </row>
    <row r="28" spans="2:9" x14ac:dyDescent="0.5">
      <c r="B28" s="41" t="s">
        <v>90</v>
      </c>
      <c r="C28" s="41"/>
      <c r="D28" s="41"/>
      <c r="E28" s="53">
        <f>+E79</f>
        <v>0</v>
      </c>
    </row>
    <row r="29" spans="2:9" x14ac:dyDescent="0.5">
      <c r="B29" s="16" t="s">
        <v>87</v>
      </c>
      <c r="C29" s="16"/>
      <c r="D29" s="16"/>
      <c r="E29" s="64">
        <f>+E27+E28</f>
        <v>26211</v>
      </c>
    </row>
    <row r="30" spans="2:9" x14ac:dyDescent="0.5">
      <c r="B30" s="16"/>
      <c r="C30" s="16"/>
      <c r="D30" s="16"/>
      <c r="E30" s="54"/>
    </row>
    <row r="31" spans="2:9" x14ac:dyDescent="0.5">
      <c r="B31" s="15" t="s">
        <v>10</v>
      </c>
      <c r="E31" s="65">
        <f>+E29-E23</f>
        <v>21521</v>
      </c>
    </row>
    <row r="32" spans="2:9" x14ac:dyDescent="0.5">
      <c r="B32" s="16" t="s">
        <v>40</v>
      </c>
      <c r="C32" s="16"/>
      <c r="D32" s="16"/>
      <c r="E32" s="64">
        <f>+E21+E31</f>
        <v>153516.55592000001</v>
      </c>
    </row>
    <row r="33" spans="2:26" x14ac:dyDescent="0.5">
      <c r="E33" s="49"/>
    </row>
    <row r="34" spans="2:26" x14ac:dyDescent="0.5">
      <c r="B34" s="15" t="s">
        <v>44</v>
      </c>
      <c r="E34" s="52">
        <f>_xll.ciqfunctions.udf.CIQ(E10, "IQ_TOTAL_EQUITY", , E12, , , $C$4)</f>
        <v>1437</v>
      </c>
    </row>
    <row r="36" spans="2:26" x14ac:dyDescent="0.5">
      <c r="B36" s="44" t="s">
        <v>46</v>
      </c>
      <c r="C36" s="44"/>
      <c r="D36" s="44"/>
      <c r="E36" s="44"/>
      <c r="F36" s="44"/>
    </row>
    <row r="37" spans="2:26" ht="5.25" customHeight="1" x14ac:dyDescent="0.5"/>
    <row r="38" spans="2:26" x14ac:dyDescent="0.5">
      <c r="B38" s="42"/>
      <c r="C38" s="42" t="s">
        <v>49</v>
      </c>
      <c r="D38" s="42" t="s">
        <v>48</v>
      </c>
      <c r="E38" s="42" t="s">
        <v>49</v>
      </c>
      <c r="F38" s="42"/>
    </row>
    <row r="39" spans="2:26" ht="16.8" x14ac:dyDescent="0.95">
      <c r="B39" s="19" t="s">
        <v>47</v>
      </c>
      <c r="C39" s="20" t="s">
        <v>51</v>
      </c>
      <c r="D39" s="20" t="s">
        <v>8</v>
      </c>
      <c r="E39" s="20" t="s">
        <v>91</v>
      </c>
      <c r="F39" s="20" t="s">
        <v>50</v>
      </c>
    </row>
    <row r="40" spans="2:26" s="66" customFormat="1" ht="10.199999999999999" x14ac:dyDescent="0.35">
      <c r="C40" s="66" t="s">
        <v>21</v>
      </c>
      <c r="D40" s="67" t="s">
        <v>16</v>
      </c>
      <c r="E40" s="66" t="s">
        <v>21</v>
      </c>
      <c r="F40" s="67" t="s">
        <v>20</v>
      </c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9"/>
      <c r="S40" s="67"/>
      <c r="T40" s="67"/>
      <c r="U40" s="67"/>
      <c r="V40" s="67"/>
      <c r="W40" s="67"/>
      <c r="X40" s="67"/>
      <c r="Y40" s="67"/>
      <c r="Z40" s="67"/>
    </row>
    <row r="41" spans="2:26" x14ac:dyDescent="0.5">
      <c r="B41" s="38" t="s">
        <v>97</v>
      </c>
      <c r="C41" s="50">
        <v>2.343</v>
      </c>
      <c r="D41" s="48">
        <v>86.01</v>
      </c>
      <c r="E41" s="46">
        <f>+IF(D41&lt;$E$11,C41,0)</f>
        <v>2.343</v>
      </c>
      <c r="F41" s="57">
        <f>+D41*E41</f>
        <v>201.52143000000001</v>
      </c>
    </row>
    <row r="42" spans="2:26" x14ac:dyDescent="0.5">
      <c r="B42" s="38"/>
      <c r="C42" s="50"/>
      <c r="D42" s="48"/>
      <c r="E42" s="46">
        <f t="shared" ref="E42:E46" si="0">+IF(D42&lt;$E$11,C42,0)</f>
        <v>0</v>
      </c>
      <c r="F42" s="57">
        <f t="shared" ref="F42:F46" si="1">+D42*E42</f>
        <v>0</v>
      </c>
    </row>
    <row r="43" spans="2:26" x14ac:dyDescent="0.5">
      <c r="B43" s="38"/>
      <c r="C43" s="50"/>
      <c r="D43" s="48"/>
      <c r="E43" s="46">
        <f t="shared" si="0"/>
        <v>0</v>
      </c>
      <c r="F43" s="57">
        <f t="shared" si="1"/>
        <v>0</v>
      </c>
    </row>
    <row r="44" spans="2:26" x14ac:dyDescent="0.5">
      <c r="B44" s="38"/>
      <c r="C44" s="50"/>
      <c r="D44" s="48"/>
      <c r="E44" s="46">
        <f t="shared" si="0"/>
        <v>0</v>
      </c>
      <c r="F44" s="57">
        <f t="shared" si="1"/>
        <v>0</v>
      </c>
    </row>
    <row r="45" spans="2:26" x14ac:dyDescent="0.5">
      <c r="B45" s="38"/>
      <c r="C45" s="50"/>
      <c r="D45" s="48"/>
      <c r="E45" s="46">
        <f t="shared" si="0"/>
        <v>0</v>
      </c>
      <c r="F45" s="57">
        <f t="shared" si="1"/>
        <v>0</v>
      </c>
    </row>
    <row r="46" spans="2:26" x14ac:dyDescent="0.5">
      <c r="B46" s="43"/>
      <c r="C46" s="61"/>
      <c r="D46" s="62"/>
      <c r="E46" s="51">
        <f t="shared" si="0"/>
        <v>0</v>
      </c>
      <c r="F46" s="58">
        <f t="shared" si="1"/>
        <v>0</v>
      </c>
    </row>
    <row r="47" spans="2:26" x14ac:dyDescent="0.5">
      <c r="B47" s="16" t="s">
        <v>52</v>
      </c>
      <c r="C47" s="54"/>
      <c r="D47" s="54"/>
      <c r="E47" s="59">
        <f>SUM(E41:E46)</f>
        <v>2.343</v>
      </c>
      <c r="F47" s="60">
        <f>SUM(F41:F46)</f>
        <v>201.52143000000001</v>
      </c>
    </row>
    <row r="48" spans="2:26" x14ac:dyDescent="0.5">
      <c r="C48" s="49"/>
      <c r="D48" s="49"/>
      <c r="E48" s="49"/>
      <c r="F48" s="49"/>
    </row>
    <row r="49" spans="2:6" x14ac:dyDescent="0.5">
      <c r="B49" s="15" t="s">
        <v>53</v>
      </c>
      <c r="C49" s="49"/>
      <c r="D49" s="49"/>
      <c r="E49" s="49"/>
      <c r="F49" s="46">
        <f>+E47</f>
        <v>2.343</v>
      </c>
    </row>
    <row r="50" spans="2:6" x14ac:dyDescent="0.5">
      <c r="B50" s="15" t="s">
        <v>54</v>
      </c>
      <c r="C50" s="49"/>
      <c r="D50" s="49"/>
      <c r="E50" s="49"/>
      <c r="F50" s="46">
        <f>IF(ISERR($F47/E11),"-",$F47/E11)</f>
        <v>1.1227446097275615</v>
      </c>
    </row>
    <row r="51" spans="2:6" x14ac:dyDescent="0.5">
      <c r="B51" s="15" t="s">
        <v>79</v>
      </c>
      <c r="C51" s="49"/>
      <c r="D51" s="49"/>
      <c r="E51" s="49"/>
      <c r="F51" s="46">
        <f>+IF(ISERR(F49-F50),"-",F49-F50)</f>
        <v>1.2202553902724385</v>
      </c>
    </row>
    <row r="52" spans="2:6" x14ac:dyDescent="0.5">
      <c r="C52" s="49"/>
      <c r="D52" s="49"/>
      <c r="E52" s="49"/>
      <c r="F52" s="46"/>
    </row>
    <row r="53" spans="2:6" x14ac:dyDescent="0.5">
      <c r="B53" s="44" t="s">
        <v>80</v>
      </c>
      <c r="C53" s="44"/>
      <c r="D53" s="44"/>
      <c r="E53" s="44"/>
      <c r="F53" s="46"/>
    </row>
    <row r="54" spans="2:6" ht="5.55" customHeight="1" x14ac:dyDescent="0.5">
      <c r="B54" s="16"/>
      <c r="D54" s="49"/>
      <c r="E54" s="16"/>
      <c r="F54" s="46"/>
    </row>
    <row r="55" spans="2:6" x14ac:dyDescent="0.5">
      <c r="B55" s="16"/>
      <c r="D55" s="49"/>
      <c r="E55" s="42" t="s">
        <v>83</v>
      </c>
      <c r="F55" s="46"/>
    </row>
    <row r="56" spans="2:6" x14ac:dyDescent="0.5">
      <c r="B56" s="16"/>
      <c r="D56" s="49"/>
      <c r="E56" s="42" t="s">
        <v>49</v>
      </c>
      <c r="F56" s="46"/>
    </row>
    <row r="57" spans="2:6" ht="16.8" x14ac:dyDescent="0.95">
      <c r="B57" s="19" t="s">
        <v>47</v>
      </c>
      <c r="C57" s="19" t="s">
        <v>84</v>
      </c>
      <c r="D57" s="19" t="s">
        <v>84</v>
      </c>
      <c r="E57" s="20" t="s">
        <v>51</v>
      </c>
      <c r="F57" s="46"/>
    </row>
    <row r="58" spans="2:6" x14ac:dyDescent="0.5">
      <c r="E58" s="66" t="s">
        <v>21</v>
      </c>
      <c r="F58" s="46"/>
    </row>
    <row r="59" spans="2:6" x14ac:dyDescent="0.5">
      <c r="B59" s="38" t="s">
        <v>110</v>
      </c>
      <c r="C59" s="38"/>
      <c r="D59" s="38"/>
      <c r="E59" s="50">
        <v>1.9970000000000001</v>
      </c>
      <c r="F59" s="46"/>
    </row>
    <row r="60" spans="2:6" x14ac:dyDescent="0.5">
      <c r="B60" s="38" t="s">
        <v>111</v>
      </c>
      <c r="C60" s="38"/>
      <c r="D60" s="38"/>
      <c r="E60" s="50">
        <v>0.1</v>
      </c>
      <c r="F60" s="46"/>
    </row>
    <row r="61" spans="2:6" x14ac:dyDescent="0.5">
      <c r="B61" s="38" t="s">
        <v>108</v>
      </c>
      <c r="C61" s="38"/>
      <c r="D61" s="38"/>
      <c r="E61" s="50">
        <v>0.56899999999999995</v>
      </c>
      <c r="F61" s="46"/>
    </row>
    <row r="62" spans="2:6" x14ac:dyDescent="0.5">
      <c r="B62" s="38" t="s">
        <v>95</v>
      </c>
      <c r="C62" s="38"/>
      <c r="D62" s="38"/>
      <c r="E62" s="50">
        <v>0.50600000000000001</v>
      </c>
      <c r="F62" s="46"/>
    </row>
    <row r="63" spans="2:6" x14ac:dyDescent="0.5">
      <c r="B63" s="43"/>
      <c r="C63" s="43"/>
      <c r="D63" s="43"/>
      <c r="E63" s="43"/>
      <c r="F63" s="46"/>
    </row>
    <row r="64" spans="2:6" x14ac:dyDescent="0.5">
      <c r="B64" s="16" t="s">
        <v>52</v>
      </c>
      <c r="D64" s="49"/>
      <c r="E64" s="78">
        <f>SUM(E59:E63)</f>
        <v>3.1719999999999997</v>
      </c>
      <c r="F64" s="46"/>
    </row>
    <row r="66" spans="2:5" x14ac:dyDescent="0.5">
      <c r="B66" s="44" t="s">
        <v>39</v>
      </c>
      <c r="C66" s="44"/>
      <c r="D66" s="44"/>
      <c r="E66" s="44"/>
    </row>
    <row r="67" spans="2:5" ht="5.25" customHeight="1" x14ac:dyDescent="0.5"/>
    <row r="68" spans="2:5" x14ac:dyDescent="0.5">
      <c r="B68" s="42"/>
      <c r="C68" s="42" t="s">
        <v>56</v>
      </c>
      <c r="D68" s="42" t="s">
        <v>57</v>
      </c>
      <c r="E68" s="42" t="s">
        <v>9</v>
      </c>
    </row>
    <row r="69" spans="2:5" ht="16.8" x14ac:dyDescent="0.95">
      <c r="B69" s="19" t="s">
        <v>55</v>
      </c>
      <c r="C69" s="20" t="s">
        <v>23</v>
      </c>
      <c r="D69" s="20" t="s">
        <v>8</v>
      </c>
      <c r="E69" s="20" t="s">
        <v>58</v>
      </c>
    </row>
    <row r="70" spans="2:5" x14ac:dyDescent="0.5">
      <c r="C70" s="66" t="s">
        <v>21</v>
      </c>
      <c r="D70" s="67" t="s">
        <v>16</v>
      </c>
      <c r="E70" s="66" t="s">
        <v>21</v>
      </c>
    </row>
    <row r="71" spans="2:5" x14ac:dyDescent="0.5">
      <c r="B71" s="38"/>
      <c r="C71" s="52"/>
      <c r="D71" s="48"/>
      <c r="E71" s="46">
        <f>IF(ISNUMBER($D71),IF($E$11&gt;$D71,$C71/$D71,0),0)</f>
        <v>0</v>
      </c>
    </row>
    <row r="72" spans="2:5" x14ac:dyDescent="0.5">
      <c r="B72" s="38"/>
      <c r="C72" s="52"/>
      <c r="D72" s="48"/>
      <c r="E72" s="46">
        <f t="shared" ref="E72:E75" si="2">IF(ISNUMBER($D72),IF($E$11&gt;$D72,$C72/$D72,0),0)</f>
        <v>0</v>
      </c>
    </row>
    <row r="73" spans="2:5" x14ac:dyDescent="0.5">
      <c r="B73" s="38"/>
      <c r="C73" s="52"/>
      <c r="D73" s="48"/>
      <c r="E73" s="46">
        <f t="shared" si="2"/>
        <v>0</v>
      </c>
    </row>
    <row r="74" spans="2:5" x14ac:dyDescent="0.5">
      <c r="B74" s="38"/>
      <c r="C74" s="52"/>
      <c r="D74" s="48"/>
      <c r="E74" s="46">
        <f t="shared" si="2"/>
        <v>0</v>
      </c>
    </row>
    <row r="75" spans="2:5" x14ac:dyDescent="0.5">
      <c r="B75" s="43"/>
      <c r="C75" s="63"/>
      <c r="D75" s="62"/>
      <c r="E75" s="51">
        <f t="shared" si="2"/>
        <v>0</v>
      </c>
    </row>
    <row r="76" spans="2:5" x14ac:dyDescent="0.5">
      <c r="B76" s="16" t="s">
        <v>52</v>
      </c>
      <c r="C76" s="64">
        <f>SUM(C71:C75)</f>
        <v>0</v>
      </c>
      <c r="D76" s="54"/>
      <c r="E76" s="59">
        <f>SUM(E71:E75)</f>
        <v>0</v>
      </c>
    </row>
    <row r="77" spans="2:5" x14ac:dyDescent="0.5">
      <c r="C77" s="49"/>
      <c r="D77" s="49"/>
      <c r="E77" s="49"/>
    </row>
    <row r="78" spans="2:5" x14ac:dyDescent="0.5">
      <c r="B78" s="15" t="s">
        <v>59</v>
      </c>
      <c r="C78" s="49"/>
      <c r="D78" s="49"/>
      <c r="E78" s="65">
        <f>SUMIF(D71:D75,"&lt;"&amp;$E$11,C71:C75)</f>
        <v>0</v>
      </c>
    </row>
    <row r="79" spans="2:5" x14ac:dyDescent="0.5">
      <c r="B79" s="15" t="s">
        <v>60</v>
      </c>
      <c r="C79" s="49"/>
      <c r="D79" s="49"/>
      <c r="E79" s="65">
        <f>+C76-E78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Cover Page</vt:lpstr>
      <vt:lpstr>Comps Data (Hard-Coded)</vt:lpstr>
      <vt:lpstr>&lt;&lt;Captial IQ</vt:lpstr>
      <vt:lpstr>Comps Data (Capital IQ))</vt:lpstr>
      <vt:lpstr>AMZN</vt:lpstr>
      <vt:lpstr>WMT</vt:lpstr>
      <vt:lpstr>HD</vt:lpstr>
      <vt:lpstr>LOW</vt:lpstr>
      <vt:lpstr>TGT</vt:lpstr>
      <vt:lpstr>BABA</vt:lpstr>
      <vt:lpstr>EBAY</vt:lpstr>
      <vt:lpstr>ETSY</vt:lpstr>
      <vt:lpstr>GOOG.L</vt:lpstr>
      <vt:lpstr>FB</vt:lpstr>
      <vt:lpstr>TWTR</vt:lpstr>
      <vt:lpstr>CRM</vt:lpstr>
      <vt:lpstr>ORCL</vt:lpstr>
      <vt:lpstr>SAP</vt:lpstr>
      <vt:lpstr>VMW</vt:lpstr>
      <vt:lpstr>NFLX</vt:lpstr>
      <vt:lpstr>SPOT</vt:lpstr>
      <vt:lpstr>ROKU</vt:lpstr>
      <vt:lpstr>SIRI</vt:lpstr>
      <vt:lpstr>Company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Ross</dc:creator>
  <cp:keywords/>
  <dc:description/>
  <cp:lastModifiedBy>Jeffrey Schmidt</cp:lastModifiedBy>
  <cp:revision/>
  <dcterms:created xsi:type="dcterms:W3CDTF">1899-12-30T07:00:00Z</dcterms:created>
  <dcterms:modified xsi:type="dcterms:W3CDTF">2024-08-16T20:37:24Z</dcterms:modified>
  <cp:category/>
  <cp:contentStatus/>
  <dc:language/>
  <cp:version/>
</cp:coreProperties>
</file>