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showObjects="none"/>
  <mc:AlternateContent xmlns:mc="http://schemas.openxmlformats.org/markup-compatibility/2006">
    <mc:Choice Requires="x15">
      <x15ac:absPath xmlns:x15ac="http://schemas.microsoft.com/office/spreadsheetml/2010/11/ac" url="https://cognizantonlineeur-my.sharepoint.com/personal/2245419_cognizant_com/Documents/Documents/OceanBlueCloud_062023/DailyUseFile_Jan2025/"/>
    </mc:Choice>
  </mc:AlternateContent>
  <xr:revisionPtr revIDLastSave="8195" documentId="13_ncr:1_{D46BB410-D25E-4C42-8C13-2F1B18B2A726}" xr6:coauthVersionLast="47" xr6:coauthVersionMax="47" xr10:uidLastSave="{7EAC5B04-17AC-4977-909B-430FAC64ACD8}"/>
  <bookViews>
    <workbookView minimized="1" xWindow="1080" yWindow="1035" windowWidth="19125" windowHeight="10140" tabRatio="820" activeTab="10" xr2:uid="{00000000-000D-0000-FFFF-FFFF00000000}"/>
  </bookViews>
  <sheets>
    <sheet name="Money" sheetId="3" r:id="rId1"/>
    <sheet name="Papa" sheetId="19" r:id="rId2"/>
    <sheet name="Coins" sheetId="17" r:id="rId3"/>
    <sheet name="PF" sheetId="2" r:id="rId4"/>
    <sheet name="MFs" sheetId="21" r:id="rId5"/>
    <sheet name="MFs Old" sheetId="14" r:id="rId6"/>
    <sheet name="MadridHome" sheetId="20" r:id="rId7"/>
    <sheet name="INFO" sheetId="9" r:id="rId8"/>
    <sheet name="NPS" sheetId="4" r:id="rId9"/>
    <sheet name="PDM" sheetId="8" r:id="rId10"/>
    <sheet name="LogNew" sheetId="22" r:id="rId11"/>
    <sheet name="consultants" sheetId="12" r:id="rId12"/>
    <sheet name="Zerodha" sheetId="15" r:id="rId13"/>
    <sheet name="BuyVsRent" sheetId="18" r:id="rId14"/>
    <sheet name="Rent Calc" sheetId="7" r:id="rId15"/>
  </sheets>
  <definedNames>
    <definedName name="_xlnm._FilterDatabase" localSheetId="5" hidden="1">'MFs Old'!$A$1:$AD$42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4" i="3" l="1"/>
  <c r="K44" i="3" s="1"/>
  <c r="E47" i="3"/>
  <c r="E48" i="3"/>
  <c r="U33" i="3"/>
  <c r="V33" i="3" s="1"/>
  <c r="U32" i="3"/>
  <c r="V32" i="3" s="1"/>
  <c r="D32" i="3"/>
  <c r="L32" i="3" s="1"/>
  <c r="U31" i="3"/>
  <c r="V31" i="3" s="1"/>
  <c r="L31" i="3"/>
  <c r="G30" i="3"/>
  <c r="L30" i="3" s="1"/>
  <c r="L29" i="3"/>
  <c r="K28" i="3"/>
  <c r="L28" i="3" s="1"/>
  <c r="L27" i="3"/>
  <c r="H53" i="21"/>
  <c r="H29" i="21"/>
  <c r="D62" i="21"/>
  <c r="D16" i="17"/>
  <c r="K13" i="17"/>
  <c r="I13" i="17"/>
  <c r="D63" i="21"/>
  <c r="E62" i="21"/>
  <c r="C36" i="20"/>
  <c r="C34" i="20"/>
  <c r="C33" i="20"/>
  <c r="C31" i="20" s="1"/>
  <c r="C32" i="20"/>
  <c r="C35" i="20" s="1"/>
  <c r="W32" i="3" l="1"/>
  <c r="W31" i="3"/>
  <c r="D33" i="3"/>
  <c r="L33" i="3" s="1"/>
  <c r="W33" i="3" s="1"/>
  <c r="A84" i="20"/>
  <c r="A85" i="20" s="1"/>
  <c r="A86" i="20" s="1"/>
  <c r="A87" i="20" s="1"/>
  <c r="A88" i="20" s="1"/>
  <c r="K55" i="20"/>
  <c r="B84" i="20"/>
  <c r="B85" i="20" s="1"/>
  <c r="B86" i="20" s="1"/>
  <c r="B87" i="20" s="1"/>
  <c r="B88" i="20" s="1"/>
  <c r="D31" i="8"/>
  <c r="F17" i="8"/>
  <c r="F21" i="8" s="1"/>
  <c r="L171" i="22"/>
  <c r="E51" i="20"/>
  <c r="C40" i="20"/>
  <c r="C44" i="20" s="1"/>
  <c r="D44" i="20" s="1"/>
  <c r="H40" i="20"/>
  <c r="H41" i="20" s="1"/>
  <c r="H42" i="20" s="1"/>
  <c r="H43" i="20" s="1"/>
  <c r="H44" i="20" s="1"/>
  <c r="H45" i="20" s="1"/>
  <c r="H46" i="20" s="1"/>
  <c r="H47" i="20" s="1"/>
  <c r="H48" i="20" s="1"/>
  <c r="C64" i="3"/>
  <c r="F32" i="14"/>
  <c r="W32" i="14"/>
  <c r="V32" i="14"/>
  <c r="A32" i="14"/>
  <c r="I23" i="21"/>
  <c r="I22" i="21"/>
  <c r="I21" i="21"/>
  <c r="G29" i="21"/>
  <c r="J10" i="17"/>
  <c r="L11" i="17"/>
  <c r="J11" i="17"/>
  <c r="A16" i="20"/>
  <c r="A17" i="20" s="1"/>
  <c r="A18" i="20" s="1"/>
  <c r="A19" i="20" s="1"/>
  <c r="A20" i="20" s="1"/>
  <c r="A21" i="20" s="1"/>
  <c r="A22" i="20" s="1"/>
  <c r="A23" i="20" s="1"/>
  <c r="A24" i="20" s="1"/>
  <c r="A25" i="20" s="1"/>
  <c r="C53" i="20"/>
  <c r="C54" i="20" s="1"/>
  <c r="D49" i="20"/>
  <c r="F49" i="20" s="1"/>
  <c r="C47" i="20"/>
  <c r="R31" i="18"/>
  <c r="R24" i="18"/>
  <c r="R32" i="18"/>
  <c r="R25" i="18"/>
  <c r="U25" i="18"/>
  <c r="U26" i="18" s="1"/>
  <c r="U27" i="18" s="1"/>
  <c r="P24" i="18"/>
  <c r="P25" i="18"/>
  <c r="P32" i="18"/>
  <c r="P31" i="18" s="1"/>
  <c r="P33" i="18" s="1"/>
  <c r="P26" i="18"/>
  <c r="U33" i="18"/>
  <c r="U34" i="18" s="1"/>
  <c r="O30" i="18"/>
  <c r="U32" i="18"/>
  <c r="F30" i="14"/>
  <c r="F29" i="14"/>
  <c r="F28" i="14"/>
  <c r="F20" i="14"/>
  <c r="F13" i="14"/>
  <c r="F11" i="14"/>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4" i="14"/>
  <c r="A35" i="14" s="1"/>
  <c r="A36" i="14" s="1"/>
  <c r="A37" i="14" s="1"/>
  <c r="A38" i="14" s="1"/>
  <c r="A39" i="14" s="1"/>
  <c r="A40" i="14" s="1"/>
  <c r="A41" i="14" s="1"/>
  <c r="A42" i="14" s="1"/>
  <c r="H51" i="21"/>
  <c r="G15" i="21"/>
  <c r="W31" i="14"/>
  <c r="F31" i="14" s="1"/>
  <c r="O38" i="18"/>
  <c r="U19" i="18"/>
  <c r="U18" i="18"/>
  <c r="T20" i="18"/>
  <c r="K35" i="18"/>
  <c r="Q36" i="18"/>
  <c r="O37" i="18"/>
  <c r="O39" i="18" s="1"/>
  <c r="P15" i="18"/>
  <c r="O23" i="18"/>
  <c r="O17" i="18"/>
  <c r="O15" i="18"/>
  <c r="W17" i="14"/>
  <c r="F17" i="14" s="1"/>
  <c r="W16" i="14"/>
  <c r="F16" i="14" s="1"/>
  <c r="W15" i="14"/>
  <c r="F15" i="14" s="1"/>
  <c r="W10" i="14"/>
  <c r="F10" i="14" s="1"/>
  <c r="C12" i="21"/>
  <c r="C13" i="21" s="1"/>
  <c r="C14" i="21" s="1"/>
  <c r="U9" i="14"/>
  <c r="U11" i="14"/>
  <c r="C22" i="21"/>
  <c r="C23" i="21" s="1"/>
  <c r="C24" i="21" s="1"/>
  <c r="C25" i="21" s="1"/>
  <c r="C26" i="21" s="1"/>
  <c r="C27" i="21" s="1"/>
  <c r="C28" i="21" s="1"/>
  <c r="Q40" i="14"/>
  <c r="Q39" i="14"/>
  <c r="Q38" i="14"/>
  <c r="Q35" i="14"/>
  <c r="C31" i="18"/>
  <c r="F25" i="18"/>
  <c r="E25" i="18"/>
  <c r="D25" i="18"/>
  <c r="C25" i="18"/>
  <c r="E16" i="18"/>
  <c r="E27" i="18" s="1"/>
  <c r="F16" i="18"/>
  <c r="F27" i="18" s="1"/>
  <c r="C16" i="18"/>
  <c r="C27" i="18" s="1"/>
  <c r="D16" i="18"/>
  <c r="D27" i="18" s="1"/>
  <c r="J73" i="15"/>
  <c r="J72" i="15"/>
  <c r="I8" i="18"/>
  <c r="I10" i="18" s="1"/>
  <c r="I5" i="18"/>
  <c r="D6" i="18"/>
  <c r="E6" i="18" s="1"/>
  <c r="P14" i="19"/>
  <c r="P9" i="19"/>
  <c r="P8" i="19"/>
  <c r="P7" i="19"/>
  <c r="X7" i="19" s="1"/>
  <c r="P6" i="19"/>
  <c r="X6" i="19" s="1"/>
  <c r="C19" i="2"/>
  <c r="C56" i="15"/>
  <c r="E43" i="15"/>
  <c r="G43" i="15" s="1"/>
  <c r="D4" i="18"/>
  <c r="E4" i="18" s="1"/>
  <c r="E9" i="18"/>
  <c r="E8" i="18"/>
  <c r="D3" i="18"/>
  <c r="E3" i="18" s="1"/>
  <c r="D7" i="18"/>
  <c r="E7" i="18" s="1"/>
  <c r="D5" i="18"/>
  <c r="E5" i="18" s="1"/>
  <c r="E46" i="3"/>
  <c r="M11" i="17"/>
  <c r="M10" i="17"/>
  <c r="M9" i="17"/>
  <c r="M8" i="17"/>
  <c r="M7" i="17"/>
  <c r="M5" i="17"/>
  <c r="M4" i="17"/>
  <c r="K96" i="7"/>
  <c r="K101" i="7" s="1"/>
  <c r="Q42" i="14"/>
  <c r="Q41" i="14"/>
  <c r="M6" i="17"/>
  <c r="H71" i="14"/>
  <c r="G71" i="14"/>
  <c r="I69" i="14"/>
  <c r="J69" i="14" s="1"/>
  <c r="I68" i="14"/>
  <c r="J68" i="14" s="1"/>
  <c r="C56" i="3"/>
  <c r="V5" i="14"/>
  <c r="E45" i="3"/>
  <c r="E42" i="15"/>
  <c r="G42" i="15" s="1"/>
  <c r="M20" i="8" l="1"/>
  <c r="L13" i="17"/>
  <c r="H54" i="21"/>
  <c r="D48" i="20"/>
  <c r="F48" i="20" s="1"/>
  <c r="C55" i="20"/>
  <c r="W33" i="18"/>
  <c r="O42" i="18"/>
  <c r="I12" i="18"/>
  <c r="C18" i="18"/>
  <c r="E18" i="18"/>
  <c r="F18" i="18"/>
  <c r="D18" i="18"/>
  <c r="J80" i="15"/>
  <c r="I71" i="14"/>
  <c r="J71" i="14" s="1"/>
  <c r="W5" i="14"/>
  <c r="F5" i="14" s="1"/>
  <c r="A6" i="17"/>
  <c r="A8" i="17" s="1"/>
  <c r="A11" i="17" s="1"/>
  <c r="A10" i="17" s="1"/>
  <c r="K87" i="3"/>
  <c r="E41" i="15"/>
  <c r="E40" i="15"/>
  <c r="D50" i="20" l="1"/>
  <c r="E39" i="15"/>
  <c r="E38" i="15"/>
  <c r="E37" i="15"/>
  <c r="J61" i="3"/>
  <c r="J60" i="3"/>
  <c r="D12" i="15"/>
  <c r="F12" i="15" s="1"/>
  <c r="G12" i="15" s="1"/>
  <c r="I12" i="15" s="1"/>
  <c r="E29" i="15"/>
  <c r="E36" i="15"/>
  <c r="E35" i="15"/>
  <c r="D108" i="7"/>
  <c r="E34" i="15"/>
  <c r="E33" i="15"/>
  <c r="E32" i="15"/>
  <c r="V22" i="14"/>
  <c r="V21" i="14"/>
  <c r="V13" i="14"/>
  <c r="V18" i="14"/>
  <c r="E31" i="15"/>
  <c r="J62" i="3" l="1"/>
  <c r="E30" i="15"/>
  <c r="Q14" i="14" l="1"/>
  <c r="W14" i="14" s="1"/>
  <c r="F14" i="14" s="1"/>
  <c r="W18" i="14" l="1"/>
  <c r="F18" i="14" s="1"/>
  <c r="W21" i="14"/>
  <c r="F21" i="14" s="1"/>
  <c r="W22" i="14"/>
  <c r="F22" i="14" s="1"/>
  <c r="D107" i="7" l="1"/>
  <c r="E34" i="7" l="1"/>
  <c r="E30" i="7"/>
  <c r="E29" i="7"/>
  <c r="F28" i="15" l="1"/>
  <c r="E28" i="15"/>
  <c r="G28" i="15" l="1"/>
  <c r="F29" i="15"/>
  <c r="C62" i="2"/>
  <c r="F30" i="15" l="1"/>
  <c r="G29" i="15"/>
  <c r="H28" i="15" s="1"/>
  <c r="F31" i="15" l="1"/>
  <c r="G30" i="15"/>
  <c r="H29" i="15" s="1"/>
  <c r="E27" i="15"/>
  <c r="G27" i="15" s="1"/>
  <c r="F32" i="15" l="1"/>
  <c r="F33" i="15" s="1"/>
  <c r="G31" i="15"/>
  <c r="H30" i="15" s="1"/>
  <c r="G34" i="2"/>
  <c r="G33" i="2"/>
  <c r="F34" i="15" l="1"/>
  <c r="G33" i="15"/>
  <c r="G32" i="15"/>
  <c r="E26" i="15"/>
  <c r="G26" i="15" s="1"/>
  <c r="G34" i="15" l="1"/>
  <c r="H34" i="15" s="1"/>
  <c r="F35" i="15"/>
  <c r="D106" i="7"/>
  <c r="F36" i="15" l="1"/>
  <c r="G35" i="15"/>
  <c r="H35" i="15" s="1"/>
  <c r="G36" i="15" l="1"/>
  <c r="H36" i="15" s="1"/>
  <c r="F37" i="15"/>
  <c r="E25" i="15"/>
  <c r="G25" i="15" s="1"/>
  <c r="F38" i="15" l="1"/>
  <c r="G37" i="15"/>
  <c r="H37" i="15" s="1"/>
  <c r="I9" i="15"/>
  <c r="I10" i="15"/>
  <c r="I11" i="15"/>
  <c r="I8" i="15"/>
  <c r="F21" i="15"/>
  <c r="F39" i="15" l="1"/>
  <c r="G38" i="15"/>
  <c r="H38" i="15" s="1"/>
  <c r="E24" i="15"/>
  <c r="G39" i="15" l="1"/>
  <c r="H39" i="15" s="1"/>
  <c r="F40" i="15"/>
  <c r="F22" i="15"/>
  <c r="E23" i="15"/>
  <c r="E18" i="15"/>
  <c r="G40" i="15" l="1"/>
  <c r="H40" i="15" s="1"/>
  <c r="F41" i="15"/>
  <c r="G41" i="15" s="1"/>
  <c r="F23" i="15"/>
  <c r="F24" i="15" s="1"/>
  <c r="G24" i="15" s="1"/>
  <c r="G23" i="15" l="1"/>
  <c r="E22" i="15"/>
  <c r="G22" i="15" l="1"/>
  <c r="K21" i="7" l="1"/>
  <c r="K20" i="7"/>
  <c r="K19" i="7"/>
  <c r="K18" i="7"/>
  <c r="K17" i="7"/>
  <c r="K16" i="7"/>
  <c r="H19" i="7"/>
  <c r="H20" i="7" s="1"/>
  <c r="G21" i="7" s="1"/>
  <c r="G19" i="7"/>
  <c r="G20" i="7"/>
  <c r="H18" i="7"/>
  <c r="K22" i="7" l="1"/>
  <c r="G22" i="7"/>
  <c r="E21" i="15" l="1"/>
  <c r="G21" i="15" s="1"/>
  <c r="E20" i="15" l="1"/>
  <c r="G20" i="15" s="1"/>
  <c r="Q11" i="14" l="1"/>
  <c r="V11" i="14" s="1"/>
  <c r="Q32" i="14" l="1"/>
  <c r="G18" i="15" l="1"/>
  <c r="E19" i="15"/>
  <c r="G19" i="15" s="1"/>
  <c r="H35" i="2" l="1"/>
  <c r="H34" i="2"/>
  <c r="H33" i="2"/>
  <c r="D31" i="2"/>
  <c r="F30" i="2"/>
  <c r="F32" i="2"/>
  <c r="A30" i="2"/>
  <c r="A31" i="2" s="1"/>
  <c r="A32" i="2" s="1"/>
  <c r="A33" i="2" s="1"/>
  <c r="A34" i="2" s="1"/>
  <c r="A35" i="2" s="1"/>
  <c r="F36" i="2" l="1"/>
  <c r="H36" i="2"/>
  <c r="U7" i="14" l="1"/>
  <c r="F8" i="15"/>
  <c r="F9" i="15"/>
  <c r="D10" i="15" l="1"/>
  <c r="F10" i="15" s="1"/>
  <c r="D11" i="15"/>
  <c r="F11" i="15" s="1"/>
  <c r="Q24" i="14" l="1"/>
  <c r="U8" i="14"/>
  <c r="W8" i="14" l="1"/>
  <c r="F8" i="14" s="1"/>
  <c r="V8" i="14"/>
  <c r="W24" i="14"/>
  <c r="F24" i="14" s="1"/>
  <c r="V24" i="14"/>
  <c r="Q19" i="14"/>
  <c r="Q12" i="14"/>
  <c r="Q4" i="14"/>
  <c r="Q3" i="14"/>
  <c r="Q2" i="14"/>
  <c r="Q25" i="14"/>
  <c r="Q27" i="14"/>
  <c r="Q26" i="14"/>
  <c r="Q30" i="14"/>
  <c r="V30" i="14" s="1"/>
  <c r="Q23" i="14"/>
  <c r="Q29" i="14"/>
  <c r="Q28" i="14"/>
  <c r="Q9" i="14"/>
  <c r="W9" i="14" s="1"/>
  <c r="F9" i="14" s="1"/>
  <c r="Q6" i="14"/>
  <c r="Q7" i="14"/>
  <c r="Q20" i="14"/>
  <c r="V20" i="14" s="1"/>
  <c r="V6" i="14" l="1"/>
  <c r="W6" i="14"/>
  <c r="F6" i="14" s="1"/>
  <c r="V7" i="14"/>
  <c r="W7" i="14"/>
  <c r="F7" i="14" s="1"/>
  <c r="V29" i="14"/>
  <c r="W25" i="14"/>
  <c r="F25" i="14" s="1"/>
  <c r="V25" i="14"/>
  <c r="W3" i="14"/>
  <c r="F3" i="14" s="1"/>
  <c r="V3" i="14"/>
  <c r="W23" i="14"/>
  <c r="F23" i="14" s="1"/>
  <c r="V23" i="14"/>
  <c r="W19" i="14"/>
  <c r="F19" i="14" s="1"/>
  <c r="V19" i="14"/>
  <c r="W2" i="14"/>
  <c r="F2" i="14" s="1"/>
  <c r="V2" i="14"/>
  <c r="W4" i="14"/>
  <c r="F4" i="14" s="1"/>
  <c r="V4" i="14"/>
  <c r="W12" i="14"/>
  <c r="F12" i="14" s="1"/>
  <c r="V12" i="14"/>
  <c r="W26" i="14"/>
  <c r="F26" i="14" s="1"/>
  <c r="V26" i="14"/>
  <c r="W27" i="14"/>
  <c r="F27" i="14" s="1"/>
  <c r="V27" i="14"/>
  <c r="C11" i="4"/>
  <c r="E9" i="8" l="1"/>
  <c r="B17" i="7" l="1"/>
  <c r="B4" i="7"/>
  <c r="H75" i="7" l="1"/>
  <c r="I75" i="7" s="1"/>
  <c r="N23" i="7" l="1"/>
  <c r="N15" i="7"/>
  <c r="N17" i="7" l="1"/>
  <c r="N19" i="7" s="1"/>
  <c r="L85" i="7"/>
  <c r="M72" i="7"/>
  <c r="M63" i="7"/>
  <c r="M68" i="7" s="1"/>
  <c r="M76" i="7" s="1"/>
  <c r="M60" i="7"/>
  <c r="N22" i="7" l="1"/>
  <c r="N21" i="7"/>
  <c r="B5" i="8"/>
  <c r="B6" i="8" s="1"/>
  <c r="B7" i="8" s="1"/>
  <c r="B8" i="8" s="1"/>
  <c r="B9" i="8" s="1"/>
  <c r="B10" i="8" s="1"/>
  <c r="B11" i="8" s="1"/>
  <c r="B12" i="8" s="1"/>
  <c r="B13" i="8" s="1"/>
  <c r="B14" i="8" s="1"/>
  <c r="B15" i="8" s="1"/>
  <c r="B16" i="8" s="1"/>
  <c r="B17" i="8" s="1"/>
  <c r="B18" i="8" s="1"/>
  <c r="B19" i="8" s="1"/>
  <c r="B20" i="8" s="1"/>
  <c r="J43" i="7" l="1"/>
  <c r="J42" i="7"/>
  <c r="H63" i="7"/>
  <c r="H66" i="7" s="1"/>
  <c r="H69" i="7" s="1"/>
  <c r="H58" i="7"/>
  <c r="J58" i="7" s="1"/>
  <c r="H44" i="7"/>
  <c r="H48" i="7" s="1"/>
  <c r="G63" i="7"/>
  <c r="G66" i="7" s="1"/>
  <c r="G58" i="7"/>
  <c r="G44" i="7"/>
  <c r="G48" i="7" s="1"/>
  <c r="H60" i="7" l="1"/>
  <c r="H72" i="7"/>
  <c r="H74" i="7" s="1"/>
  <c r="G69" i="7"/>
  <c r="J44" i="7"/>
  <c r="J48" i="7" s="1"/>
  <c r="J60" i="7" s="1"/>
  <c r="G24" i="7" s="1"/>
  <c r="G60" i="7"/>
  <c r="E10" i="8"/>
  <c r="E21" i="8" s="1"/>
  <c r="D25" i="8" s="1"/>
  <c r="D26" i="8" l="1"/>
  <c r="M5" i="8"/>
  <c r="B67" i="7" l="1"/>
  <c r="B47" i="7"/>
  <c r="B35" i="7"/>
  <c r="B36" i="7" s="1"/>
  <c r="G6" i="7" s="1"/>
  <c r="C33" i="7"/>
  <c r="F32" i="7"/>
  <c r="C29" i="7"/>
  <c r="B18" i="7"/>
  <c r="B19" i="7" s="1"/>
  <c r="D19" i="7" s="1"/>
  <c r="B6" i="7"/>
  <c r="D4" i="7"/>
  <c r="C4" i="7"/>
  <c r="B5" i="7" s="1"/>
  <c r="B11" i="7" s="1"/>
  <c r="B58" i="7" l="1"/>
  <c r="G5" i="7" s="1"/>
  <c r="B48" i="7"/>
  <c r="D6" i="7"/>
  <c r="B12" i="7" s="1"/>
  <c r="B14" i="7" s="1"/>
  <c r="D14" i="7" s="1"/>
  <c r="B10" i="7"/>
  <c r="D21" i="7" l="1"/>
  <c r="G4" i="7"/>
  <c r="G7" i="7" s="1"/>
  <c r="H25" i="7" s="1"/>
  <c r="H26" i="7" s="1"/>
  <c r="H27" i="7" s="1"/>
  <c r="G28" i="7" s="1"/>
  <c r="G29" i="7" s="1"/>
  <c r="K101" i="2" l="1"/>
  <c r="N86" i="2"/>
  <c r="N87" i="2" s="1"/>
  <c r="N88" i="2" s="1"/>
  <c r="N89" i="2" s="1"/>
  <c r="N90" i="2" s="1"/>
  <c r="N91" i="2" s="1"/>
  <c r="N92" i="2" s="1"/>
  <c r="N93" i="2" s="1"/>
  <c r="N94" i="2" s="1"/>
  <c r="N95" i="2" s="1"/>
  <c r="N96" i="2" s="1"/>
  <c r="N97" i="2" s="1"/>
  <c r="N98" i="2" s="1"/>
  <c r="N99" i="2" s="1"/>
  <c r="J86" i="2"/>
  <c r="J87" i="2" s="1"/>
  <c r="J88" i="2" s="1"/>
  <c r="J89" i="2" s="1"/>
  <c r="J90" i="2" s="1"/>
  <c r="J91" i="2" s="1"/>
  <c r="J92" i="2" s="1"/>
  <c r="J93" i="2" s="1"/>
  <c r="J94" i="2" s="1"/>
  <c r="J95" i="2" s="1"/>
  <c r="J96" i="2" s="1"/>
  <c r="J97" i="2" s="1"/>
  <c r="J98" i="2" s="1"/>
  <c r="J99" i="2" s="1"/>
  <c r="E86" i="2"/>
  <c r="E87" i="2" s="1"/>
  <c r="E88" i="2" s="1"/>
  <c r="E89" i="2" s="1"/>
  <c r="E90" i="2" s="1"/>
  <c r="E91" i="2" s="1"/>
  <c r="E92" i="2" s="1"/>
  <c r="E93" i="2" s="1"/>
  <c r="E94" i="2" s="1"/>
  <c r="E95" i="2" s="1"/>
  <c r="E96" i="2" s="1"/>
  <c r="E97" i="2" s="1"/>
  <c r="E98" i="2" s="1"/>
  <c r="E99" i="2" s="1"/>
  <c r="B86" i="2"/>
  <c r="B87" i="2" s="1"/>
  <c r="B88" i="2" s="1"/>
  <c r="B89" i="2" s="1"/>
  <c r="A86" i="2"/>
  <c r="A87" i="2" s="1"/>
  <c r="A88" i="2" s="1"/>
  <c r="A89" i="2" s="1"/>
  <c r="A90" i="2" s="1"/>
  <c r="A91" i="2" s="1"/>
  <c r="A92" i="2" s="1"/>
  <c r="A93" i="2" s="1"/>
  <c r="A94" i="2" s="1"/>
  <c r="A95" i="2" s="1"/>
  <c r="A96" i="2" s="1"/>
  <c r="A97" i="2" s="1"/>
  <c r="A98" i="2" s="1"/>
  <c r="A99" i="2" s="1"/>
  <c r="M85" i="2"/>
  <c r="O85" i="2" s="1"/>
  <c r="D85" i="2"/>
  <c r="F85" i="2" s="1"/>
  <c r="F45" i="2"/>
  <c r="F49" i="2" s="1"/>
  <c r="F52" i="2" s="1"/>
  <c r="F53" i="2" s="1"/>
  <c r="F54" i="2" s="1"/>
  <c r="F55" i="2" s="1"/>
  <c r="F56" i="2" s="1"/>
  <c r="F57" i="2" s="1"/>
  <c r="F58" i="2" s="1"/>
  <c r="A45" i="2"/>
  <c r="A46" i="2" s="1"/>
  <c r="A47" i="2" s="1"/>
  <c r="A48" i="2" s="1"/>
  <c r="A49" i="2" s="1"/>
  <c r="A50" i="2" s="1"/>
  <c r="A51" i="2" s="1"/>
  <c r="A52" i="2" s="1"/>
  <c r="A53" i="2" s="1"/>
  <c r="A54" i="2" s="1"/>
  <c r="A55" i="2" s="1"/>
  <c r="A56" i="2" s="1"/>
  <c r="A57" i="2" s="1"/>
  <c r="A58" i="2" s="1"/>
  <c r="E44" i="2"/>
  <c r="H44" i="2" s="1"/>
  <c r="D45" i="2" s="1"/>
  <c r="E45" i="2" s="1"/>
  <c r="G85" i="2" l="1"/>
  <c r="C86" i="2" s="1"/>
  <c r="D86" i="2" s="1"/>
  <c r="F86" i="2" s="1"/>
  <c r="G86" i="2" s="1"/>
  <c r="C87" i="2" s="1"/>
  <c r="D87" i="2" s="1"/>
  <c r="B90" i="2"/>
  <c r="G45" i="2"/>
  <c r="H45" i="2" s="1"/>
  <c r="D46" i="2" s="1"/>
  <c r="P85" i="2"/>
  <c r="L86" i="2" s="1"/>
  <c r="M86" i="2" s="1"/>
  <c r="E46" i="2" l="1"/>
  <c r="G46" i="2" s="1"/>
  <c r="H46" i="2" s="1"/>
  <c r="D47" i="2" s="1"/>
  <c r="E47" i="2" s="1"/>
  <c r="F87" i="2"/>
  <c r="G87" i="2" s="1"/>
  <c r="C88" i="2" s="1"/>
  <c r="D88" i="2" s="1"/>
  <c r="O86" i="2"/>
  <c r="B91" i="2"/>
  <c r="F88" i="2" l="1"/>
  <c r="G47" i="2"/>
  <c r="P86" i="2"/>
  <c r="L87" i="2" s="1"/>
  <c r="M87" i="2" s="1"/>
  <c r="B92" i="2"/>
  <c r="H47" i="2" l="1"/>
  <c r="D48" i="2" s="1"/>
  <c r="E48" i="2" s="1"/>
  <c r="O87" i="2"/>
  <c r="P87" i="2" s="1"/>
  <c r="L88" i="2" s="1"/>
  <c r="M88" i="2" s="1"/>
  <c r="B93" i="2"/>
  <c r="G88" i="2"/>
  <c r="C89" i="2" s="1"/>
  <c r="D89" i="2" s="1"/>
  <c r="G48" i="2" l="1"/>
  <c r="H48" i="2" s="1"/>
  <c r="D49" i="2" s="1"/>
  <c r="E49" i="2" s="1"/>
  <c r="G49" i="2" s="1"/>
  <c r="H49" i="2" s="1"/>
  <c r="D50" i="2" s="1"/>
  <c r="E50" i="2" s="1"/>
  <c r="B94" i="2"/>
  <c r="F89" i="2"/>
  <c r="G89" i="2" s="1"/>
  <c r="C90" i="2" s="1"/>
  <c r="D90" i="2" s="1"/>
  <c r="O88" i="2"/>
  <c r="P88" i="2" s="1"/>
  <c r="L89" i="2" s="1"/>
  <c r="M89" i="2" s="1"/>
  <c r="O89" i="2" l="1"/>
  <c r="P89" i="2" s="1"/>
  <c r="L90" i="2" s="1"/>
  <c r="M90" i="2" s="1"/>
  <c r="F90" i="2"/>
  <c r="G90" i="2" s="1"/>
  <c r="C91" i="2" s="1"/>
  <c r="D91" i="2" s="1"/>
  <c r="G50" i="2"/>
  <c r="H50" i="2" s="1"/>
  <c r="D51" i="2" s="1"/>
  <c r="E51" i="2" s="1"/>
  <c r="B95" i="2"/>
  <c r="O90" i="2" l="1"/>
  <c r="P90" i="2" s="1"/>
  <c r="L91" i="2" s="1"/>
  <c r="M91" i="2" s="1"/>
  <c r="G51" i="2"/>
  <c r="H51" i="2" s="1"/>
  <c r="D52" i="2" s="1"/>
  <c r="E52" i="2" s="1"/>
  <c r="F91" i="2"/>
  <c r="G91" i="2" s="1"/>
  <c r="C92" i="2" s="1"/>
  <c r="D92" i="2" s="1"/>
  <c r="B96" i="2"/>
  <c r="O91" i="2" l="1"/>
  <c r="P91" i="2" s="1"/>
  <c r="L92" i="2" s="1"/>
  <c r="M92" i="2" s="1"/>
  <c r="G52" i="2"/>
  <c r="H52" i="2" s="1"/>
  <c r="D53" i="2" s="1"/>
  <c r="E53" i="2" s="1"/>
  <c r="B97" i="2"/>
  <c r="F92" i="2"/>
  <c r="G92" i="2" s="1"/>
  <c r="C93" i="2" s="1"/>
  <c r="D93" i="2" s="1"/>
  <c r="O92" i="2" l="1"/>
  <c r="P92" i="2" s="1"/>
  <c r="L93" i="2" s="1"/>
  <c r="M93" i="2" s="1"/>
  <c r="F93" i="2"/>
  <c r="G93" i="2" s="1"/>
  <c r="C94" i="2" s="1"/>
  <c r="D94" i="2" s="1"/>
  <c r="G53" i="2"/>
  <c r="H53" i="2" s="1"/>
  <c r="D54" i="2" s="1"/>
  <c r="E54" i="2" s="1"/>
  <c r="B98" i="2"/>
  <c r="F94" i="2" l="1"/>
  <c r="G94" i="2" s="1"/>
  <c r="C95" i="2" s="1"/>
  <c r="D95" i="2" s="1"/>
  <c r="G54" i="2"/>
  <c r="H54" i="2" s="1"/>
  <c r="D55" i="2" s="1"/>
  <c r="E55" i="2" s="1"/>
  <c r="B99" i="2"/>
  <c r="O93" i="2"/>
  <c r="P93" i="2" s="1"/>
  <c r="L94" i="2" s="1"/>
  <c r="M94" i="2" s="1"/>
  <c r="F95" i="2" l="1"/>
  <c r="G95" i="2" s="1"/>
  <c r="C96" i="2" s="1"/>
  <c r="D96" i="2" s="1"/>
  <c r="O94" i="2"/>
  <c r="P94" i="2" s="1"/>
  <c r="L95" i="2" s="1"/>
  <c r="M95" i="2" s="1"/>
  <c r="B101" i="2"/>
  <c r="C102" i="2" s="1"/>
  <c r="G55" i="2"/>
  <c r="H55" i="2" s="1"/>
  <c r="D56" i="2" s="1"/>
  <c r="E56" i="2" s="1"/>
  <c r="O95" i="2" l="1"/>
  <c r="P95" i="2" s="1"/>
  <c r="L96" i="2" s="1"/>
  <c r="M96" i="2" s="1"/>
  <c r="F96" i="2"/>
  <c r="G96" i="2" s="1"/>
  <c r="C97" i="2" s="1"/>
  <c r="D97" i="2" s="1"/>
  <c r="G56" i="2"/>
  <c r="H56" i="2" s="1"/>
  <c r="D57" i="2" s="1"/>
  <c r="E57" i="2" s="1"/>
  <c r="O96" i="2" l="1"/>
  <c r="P96" i="2" s="1"/>
  <c r="L97" i="2" s="1"/>
  <c r="M97" i="2" s="1"/>
  <c r="F97" i="2"/>
  <c r="G97" i="2" s="1"/>
  <c r="C98" i="2" s="1"/>
  <c r="D98" i="2" s="1"/>
  <c r="G57" i="2"/>
  <c r="H57" i="2" s="1"/>
  <c r="D58" i="2" s="1"/>
  <c r="E58" i="2" s="1"/>
  <c r="G58" i="2" l="1"/>
  <c r="F98" i="2"/>
  <c r="G98" i="2" s="1"/>
  <c r="C99" i="2" s="1"/>
  <c r="D99" i="2" s="1"/>
  <c r="O97" i="2"/>
  <c r="P97" i="2" s="1"/>
  <c r="L98" i="2" s="1"/>
  <c r="M98" i="2" s="1"/>
  <c r="H58" i="2" l="1"/>
  <c r="C63" i="2" s="1"/>
  <c r="O98" i="2"/>
  <c r="P98" i="2" s="1"/>
  <c r="L99" i="2" s="1"/>
  <c r="M99" i="2" s="1"/>
  <c r="F99" i="2"/>
  <c r="F100" i="2" s="1"/>
  <c r="D63" i="2" l="1"/>
  <c r="G99" i="2"/>
  <c r="B102" i="2" s="1"/>
  <c r="B103" i="2" s="1"/>
  <c r="O99" i="2"/>
  <c r="O100" i="2" s="1"/>
  <c r="B104" i="2"/>
  <c r="P99" i="2" l="1"/>
  <c r="K102" i="2" s="1"/>
  <c r="K103" i="2" l="1"/>
  <c r="B105" i="2"/>
  <c r="D26" i="20"/>
</calcChain>
</file>

<file path=xl/sharedStrings.xml><?xml version="1.0" encoding="utf-8"?>
<sst xmlns="http://schemas.openxmlformats.org/spreadsheetml/2006/main" count="2936" uniqueCount="1898">
  <si>
    <t>HDFC TAX SAVER GROWTH</t>
  </si>
  <si>
    <t>Folio</t>
  </si>
  <si>
    <t>Units</t>
  </si>
  <si>
    <t>HDFC PRUDENCE</t>
  </si>
  <si>
    <t>7888484/26</t>
  </si>
  <si>
    <t>ICICI PRU TAX PLAN REGULAR GROWTH</t>
  </si>
  <si>
    <t>5818594/47</t>
  </si>
  <si>
    <t>Tenure</t>
  </si>
  <si>
    <t>RELIANCE SMALL CAP FUND - GROWTH PLAN GROWTH OPTION</t>
  </si>
  <si>
    <t>ICICI Prudential Value Discovery Fund - Regular Plan - Growth</t>
  </si>
  <si>
    <t>7288902/04</t>
  </si>
  <si>
    <t>Franklin India Smaller Companies Fund-GROWTH</t>
  </si>
  <si>
    <t>email</t>
  </si>
  <si>
    <t>Axis Long Term Equity Fund(G)</t>
  </si>
  <si>
    <t>ELSS</t>
  </si>
  <si>
    <t>Birla SL Tax Relief 96 Fund</t>
  </si>
  <si>
    <t>Tata India Tax Saver Reg Growth</t>
  </si>
  <si>
    <t>3558205/41</t>
  </si>
  <si>
    <t>2800092/21</t>
  </si>
  <si>
    <t>Year</t>
  </si>
  <si>
    <t>Total</t>
  </si>
  <si>
    <t>PF</t>
  </si>
  <si>
    <t>2015-16</t>
  </si>
  <si>
    <t>2016-17</t>
  </si>
  <si>
    <t>PPF</t>
  </si>
  <si>
    <t>SrNo</t>
  </si>
  <si>
    <t>Amt/year</t>
  </si>
  <si>
    <t>amt from last year</t>
  </si>
  <si>
    <t>total investment amt</t>
  </si>
  <si>
    <t>rate%</t>
  </si>
  <si>
    <t>interest amt this year</t>
  </si>
  <si>
    <t>total amt for next tear</t>
  </si>
  <si>
    <t>2013-14</t>
  </si>
  <si>
    <t>2014-15</t>
  </si>
  <si>
    <t>Investment</t>
  </si>
  <si>
    <t>Return</t>
  </si>
  <si>
    <t>amt/year</t>
  </si>
  <si>
    <t>input amt</t>
  </si>
  <si>
    <t>final amt</t>
  </si>
  <si>
    <t>(tax saved)</t>
  </si>
  <si>
    <t>%increase</t>
  </si>
  <si>
    <t>%inc/year</t>
  </si>
  <si>
    <t>4th May 2015</t>
  </si>
  <si>
    <t>EMI</t>
  </si>
  <si>
    <t>Date</t>
  </si>
  <si>
    <t>Balance</t>
  </si>
  <si>
    <t>2017-18</t>
  </si>
  <si>
    <t>FY2016-17</t>
  </si>
  <si>
    <t>FY2017-18</t>
  </si>
  <si>
    <t>PRAN</t>
  </si>
  <si>
    <t>110097569023</t>
  </si>
  <si>
    <t>From</t>
  </si>
  <si>
    <t>HDFC</t>
  </si>
  <si>
    <t>Current Value</t>
  </si>
  <si>
    <t>Mahindra Mutual Fund Kar Bachat Yojana - Direct Plan (G)</t>
  </si>
  <si>
    <t>IDFC Tax Advantage (ELSS) Fund-Growth-(Direct Plan)</t>
  </si>
  <si>
    <t>2090796/20</t>
  </si>
  <si>
    <t>Month</t>
  </si>
  <si>
    <t>Large Cap</t>
  </si>
  <si>
    <t>Small Cap</t>
  </si>
  <si>
    <t>Mid Cap</t>
  </si>
  <si>
    <t>BOI AXA Tax Advantage</t>
  </si>
  <si>
    <t>2018-19</t>
  </si>
  <si>
    <t>EPAM</t>
  </si>
  <si>
    <t>HRA Calc</t>
  </si>
  <si>
    <t>Enter yellow fields Only</t>
  </si>
  <si>
    <t>Taxable Income Calculation</t>
  </si>
  <si>
    <t>FY 2018-19</t>
  </si>
  <si>
    <t>Rent</t>
  </si>
  <si>
    <t>50 or 40%basic</t>
  </si>
  <si>
    <t>10%basic</t>
  </si>
  <si>
    <t>CTC</t>
  </si>
  <si>
    <t>FY 15-16</t>
  </si>
  <si>
    <t>Basic (yearly)</t>
  </si>
  <si>
    <t>HRA Exemption</t>
  </si>
  <si>
    <t>FY 16-17</t>
  </si>
  <si>
    <t>HRA</t>
  </si>
  <si>
    <t>Chapter VI A</t>
  </si>
  <si>
    <t>FY 17-18</t>
  </si>
  <si>
    <t>rent-10%basic</t>
  </si>
  <si>
    <t>FBP</t>
  </si>
  <si>
    <t>FY 18-19</t>
  </si>
  <si>
    <t>Rent/month</t>
  </si>
  <si>
    <t>Taxable Income</t>
  </si>
  <si>
    <t>Rule (lowest)</t>
  </si>
  <si>
    <t>50%Basic</t>
  </si>
  <si>
    <t>Tax slab</t>
  </si>
  <si>
    <t>0 to 2.5lac</t>
  </si>
  <si>
    <t>Rent-10%Basic</t>
  </si>
  <si>
    <t>2.5 lac to 5 lac</t>
  </si>
  <si>
    <t>5 lac to 10 lac</t>
  </si>
  <si>
    <t>Exempt</t>
  </si>
  <si>
    <t>My tax saved</t>
  </si>
  <si>
    <t>Above 10 lac</t>
  </si>
  <si>
    <t>Tax calculation</t>
  </si>
  <si>
    <t>Mom yearly income</t>
  </si>
  <si>
    <t>Taxable income(less than 10lac)</t>
  </si>
  <si>
    <t>balance taxable income</t>
  </si>
  <si>
    <t>10% slab amount</t>
  </si>
  <si>
    <t>Slab 1 till 2.5lac</t>
  </si>
  <si>
    <t>Tax as per 10%</t>
  </si>
  <si>
    <t>Mom tax</t>
  </si>
  <si>
    <t>Slab 2, 2.5 to 5lac</t>
  </si>
  <si>
    <t>Slab 3, 5 to 10lac</t>
  </si>
  <si>
    <t>Net Tax Saved</t>
  </si>
  <si>
    <t>Total Tax Payable(appx)</t>
  </si>
  <si>
    <t>Taxable income(above 10lac)</t>
  </si>
  <si>
    <t>FBP Part</t>
  </si>
  <si>
    <t>Bills</t>
  </si>
  <si>
    <t>limit/year</t>
  </si>
  <si>
    <t>month in epam</t>
  </si>
  <si>
    <t>Note</t>
  </si>
  <si>
    <t>#Generals</t>
  </si>
  <si>
    <t>Slab 4, above 10lac</t>
  </si>
  <si>
    <t>LTA</t>
  </si>
  <si>
    <t>need bills, apply asap</t>
  </si>
  <si>
    <t>Fuel Car Maintenance 2400/month</t>
  </si>
  <si>
    <t>Professional Development (book, courses etc) 1000/month</t>
  </si>
  <si>
    <t>need bills</t>
  </si>
  <si>
    <t>Telephone</t>
  </si>
  <si>
    <t>Business Attire (formal suite,shirt&amp;pants. Not shoes,tshirt) 1000/month</t>
  </si>
  <si>
    <t>Driver Salary</t>
  </si>
  <si>
    <t>Children Education</t>
  </si>
  <si>
    <t>declaration, 100: Normal Sch and 400: Boarding School</t>
  </si>
  <si>
    <t>Food</t>
  </si>
  <si>
    <t>no bill required</t>
  </si>
  <si>
    <t>https://pdf2jpg.net</t>
  </si>
  <si>
    <t>Max FBP</t>
  </si>
  <si>
    <t xml:space="preserve">Qtr stmt can be given + for last qtr declaration need to give </t>
  </si>
  <si>
    <t>DEDUCTIONS VIA</t>
  </si>
  <si>
    <t>80C - 1.5lac</t>
  </si>
  <si>
    <t>PPF[1.5lac limit]</t>
  </si>
  <si>
    <t>ICICI ins</t>
  </si>
  <si>
    <t>NPS for 2 Lac</t>
  </si>
  <si>
    <t>80D : Medical Insurance</t>
  </si>
  <si>
    <t>Parent</t>
  </si>
  <si>
    <t>Self</t>
  </si>
  <si>
    <t>Other VI A Sections like Edu loan</t>
  </si>
  <si>
    <t>Total Exeption under VI A</t>
  </si>
  <si>
    <t>NOTE:</t>
  </si>
  <si>
    <t>Tax declaration can be done every month before 20th day (till Dec)</t>
  </si>
  <si>
    <t>s</t>
  </si>
  <si>
    <t>For LTA if you want the annual amount to be Rs.60,000/-, please divide 60,000/- by balance no. of months in this FY and put the monthly figure</t>
  </si>
  <si>
    <r>
      <t>FBP will be open every first month of the quarter (Apr, Jul, Oct &amp; Jan) from 1</t>
    </r>
    <r>
      <rPr>
        <vertAlign val="superscript"/>
        <sz val="7.5"/>
        <color rgb="FF1F497D"/>
        <rFont val="Times New Roman"/>
        <family val="1"/>
      </rPr>
      <t>st</t>
    </r>
    <r>
      <rPr>
        <sz val="11"/>
        <color rgb="FF1F497D"/>
        <rFont val="Times New Roman"/>
        <family val="1"/>
      </rPr>
      <t> to 12</t>
    </r>
    <r>
      <rPr>
        <vertAlign val="superscript"/>
        <sz val="7.5"/>
        <color rgb="FF1F497D"/>
        <rFont val="Times New Roman"/>
        <family val="1"/>
      </rPr>
      <t>th</t>
    </r>
  </si>
  <si>
    <t xml:space="preserve">#RENT </t>
  </si>
  <si>
    <t>Rent receipt</t>
  </si>
  <si>
    <t>Desc</t>
  </si>
  <si>
    <t>Demand</t>
  </si>
  <si>
    <t>LIC Payments</t>
  </si>
  <si>
    <t>Personal Payments</t>
  </si>
  <si>
    <t>LIC Login</t>
  </si>
  <si>
    <t>Booking amount</t>
  </si>
  <si>
    <t>http://www.lichousing.com/</t>
  </si>
  <si>
    <t>On 60 Days of Booking</t>
  </si>
  <si>
    <t>Loan Accnt: 311000002828</t>
  </si>
  <si>
    <t>File No: 3110004196</t>
  </si>
  <si>
    <t>Customer id: 18957143</t>
  </si>
  <si>
    <t>Foundation</t>
  </si>
  <si>
    <t>1st Floor</t>
  </si>
  <si>
    <t>2nd Floor</t>
  </si>
  <si>
    <t>3rd Floor</t>
  </si>
  <si>
    <t>Completion</t>
  </si>
  <si>
    <t>Possession</t>
  </si>
  <si>
    <t>Flat cost appx(incl parking,edc)</t>
  </si>
  <si>
    <t>Super Area</t>
  </si>
  <si>
    <t>Total amount paid to PDM</t>
  </si>
  <si>
    <t>Flat cost w/o parking,edc etc</t>
  </si>
  <si>
    <t>LIC Loan</t>
  </si>
  <si>
    <t>LIC pending amount</t>
  </si>
  <si>
    <t>LIC Site Data(Mar 2018)</t>
  </si>
  <si>
    <t>principal o/s</t>
  </si>
  <si>
    <t>principal repaid</t>
  </si>
  <si>
    <t>interest repaid</t>
  </si>
  <si>
    <t>Oracle</t>
  </si>
  <si>
    <t>Xebia</t>
  </si>
  <si>
    <t>LIC Cheque Amt</t>
  </si>
  <si>
    <t>Downpayment</t>
  </si>
  <si>
    <t>Interest</t>
  </si>
  <si>
    <t>Lilla</t>
  </si>
  <si>
    <t>Bhabhi</t>
  </si>
  <si>
    <t xml:space="preserve">Bhai </t>
  </si>
  <si>
    <t>Broker</t>
  </si>
  <si>
    <t>SIP</t>
  </si>
  <si>
    <t>FY 2017-18</t>
  </si>
  <si>
    <t>Equity</t>
  </si>
  <si>
    <t>email/23J@</t>
  </si>
  <si>
    <t>SBI Blue Chip Fund - Direct Plan - Growth</t>
  </si>
  <si>
    <t>gross salaray</t>
  </si>
  <si>
    <t>xebia</t>
  </si>
  <si>
    <t>epam</t>
  </si>
  <si>
    <t>sec 10 allowance</t>
  </si>
  <si>
    <t>balance</t>
  </si>
  <si>
    <t>gross total income</t>
  </si>
  <si>
    <t>deduction (entertainment)</t>
  </si>
  <si>
    <t>chapter vi a</t>
  </si>
  <si>
    <t>80c</t>
  </si>
  <si>
    <t>80ccd</t>
  </si>
  <si>
    <t>80ccc</t>
  </si>
  <si>
    <t>80e</t>
  </si>
  <si>
    <t>1.5 lac limit</t>
  </si>
  <si>
    <t>total vi a</t>
  </si>
  <si>
    <t>total income</t>
  </si>
  <si>
    <t>tax</t>
  </si>
  <si>
    <t>cess 3% of tax</t>
  </si>
  <si>
    <t>relief 89/90</t>
  </si>
  <si>
    <t>total tax payable</t>
  </si>
  <si>
    <t>tax payable</t>
  </si>
  <si>
    <t>proof can be given</t>
  </si>
  <si>
    <t>leave encashed, hra, lta</t>
  </si>
  <si>
    <t>other income</t>
  </si>
  <si>
    <t>nps</t>
  </si>
  <si>
    <t>80d</t>
  </si>
  <si>
    <t>insurance</t>
  </si>
  <si>
    <t>TDS</t>
  </si>
  <si>
    <t>actual tax to be paid</t>
  </si>
  <si>
    <t>tax paid in fy 2017-18</t>
  </si>
  <si>
    <t>FY 2017-18 Calculation</t>
  </si>
  <si>
    <t>Payment Receipt</t>
  </si>
  <si>
    <t>Yes</t>
  </si>
  <si>
    <t>B1 i</t>
  </si>
  <si>
    <t>B4</t>
  </si>
  <si>
    <t>80C</t>
  </si>
  <si>
    <t>80CCD</t>
  </si>
  <si>
    <t>80D  (A)</t>
  </si>
  <si>
    <t>80DDB</t>
  </si>
  <si>
    <t>C 1</t>
  </si>
  <si>
    <t>Total Deduction</t>
  </si>
  <si>
    <t>Gross Total income</t>
  </si>
  <si>
    <t>Total Income</t>
  </si>
  <si>
    <t>C2</t>
  </si>
  <si>
    <t>Total Tax</t>
  </si>
  <si>
    <t>D1</t>
  </si>
  <si>
    <t>Cess</t>
  </si>
  <si>
    <t>D4</t>
  </si>
  <si>
    <t>234 B</t>
  </si>
  <si>
    <t>234 C</t>
  </si>
  <si>
    <t>Final Tax</t>
  </si>
  <si>
    <t>income tax site</t>
  </si>
  <si>
    <t>xebia tds</t>
  </si>
  <si>
    <t>income = 571334</t>
  </si>
  <si>
    <t>income = 1881544</t>
  </si>
  <si>
    <t>Total TDS</t>
  </si>
  <si>
    <t>Amount Payble</t>
  </si>
  <si>
    <t>Original</t>
  </si>
  <si>
    <t>Now</t>
  </si>
  <si>
    <t>Saved</t>
  </si>
  <si>
    <t>#CA Vishal</t>
  </si>
  <si>
    <t>Mom Tax Calculation</t>
  </si>
  <si>
    <t>Rent/Month</t>
  </si>
  <si>
    <t>Rental income</t>
  </si>
  <si>
    <t>SD 30%</t>
  </si>
  <si>
    <t>Net total income</t>
  </si>
  <si>
    <t>Slab</t>
  </si>
  <si>
    <t>upto 3 lac</t>
  </si>
  <si>
    <t>Nil</t>
  </si>
  <si>
    <t>3 to 5 lac</t>
  </si>
  <si>
    <t>5%</t>
  </si>
  <si>
    <t>as per slab</t>
  </si>
  <si>
    <t>cess</t>
  </si>
  <si>
    <t>challan tax paid self</t>
  </si>
  <si>
    <t>Total Tax Paid</t>
  </si>
  <si>
    <t>Tax saved by vishal CA</t>
  </si>
  <si>
    <t>#Rent History</t>
  </si>
  <si>
    <t>City</t>
  </si>
  <si>
    <t>Delhi</t>
  </si>
  <si>
    <t>Pune</t>
  </si>
  <si>
    <t>Canara Robeco Emerging Equities</t>
  </si>
  <si>
    <t>Done</t>
  </si>
  <si>
    <t>?</t>
  </si>
  <si>
    <t>401147299865</t>
  </si>
  <si>
    <t>Invesco India Growth Opportunities Fund</t>
  </si>
  <si>
    <t>HDFC Small Cap Fund</t>
  </si>
  <si>
    <t>Reliance Small Cap Fund</t>
  </si>
  <si>
    <t>Bhaiya</t>
  </si>
  <si>
    <t>Total Flat Costs</t>
  </si>
  <si>
    <t>Pending 8th Floor Amt</t>
  </si>
  <si>
    <t>Pending 10th Floor</t>
  </si>
  <si>
    <t xml:space="preserve">Pending Possession </t>
  </si>
  <si>
    <t>Total Amount Paid</t>
  </si>
  <si>
    <t>20th Oct 2018</t>
  </si>
  <si>
    <t>KR</t>
  </si>
  <si>
    <t>Paid</t>
  </si>
  <si>
    <t>1st July 2015 + 8th Apr 2018 + 20th Oct 2018</t>
  </si>
  <si>
    <t>Rs 66000</t>
  </si>
  <si>
    <t>Remarks</t>
  </si>
  <si>
    <t>Status</t>
  </si>
  <si>
    <t>7th Oct 2017</t>
  </si>
  <si>
    <t>24 Aug 2017 (+60K) given by bhaiyya to me for bike purchase etc</t>
  </si>
  <si>
    <t>26-27th Sept 2017 (-60K) returned to bhabhi axis acc</t>
  </si>
  <si>
    <t>16th Feb 2018</t>
  </si>
  <si>
    <t>Received Date</t>
  </si>
  <si>
    <t>Received Amount</t>
  </si>
  <si>
    <t>Me</t>
  </si>
  <si>
    <t xml:space="preserve">26th Sept 2017 </t>
  </si>
  <si>
    <t>24th Aug 2017</t>
  </si>
  <si>
    <t>T7 E2</t>
  </si>
  <si>
    <t>May/Nov 2018</t>
  </si>
  <si>
    <t>Rs 20000</t>
  </si>
  <si>
    <t>20K cheque deposited in hdfc</t>
  </si>
  <si>
    <t>FY2018-19</t>
  </si>
  <si>
    <t>LL Name</t>
  </si>
  <si>
    <t>Mom</t>
  </si>
  <si>
    <t>Insurance + Maintenance + Fuel bill req</t>
  </si>
  <si>
    <t>Delhi/Pune</t>
  </si>
  <si>
    <t>In Pune : July 2017</t>
  </si>
  <si>
    <t>crn:12639695016415107, trn:6442187914910, date:2018-12-17 15:17:07</t>
  </si>
  <si>
    <t>CA Vishal saved 40K tax</t>
  </si>
  <si>
    <t>SBI: 00000032963998197</t>
  </si>
  <si>
    <t>Notes</t>
  </si>
  <si>
    <t>Company</t>
  </si>
  <si>
    <t>Joining Time</t>
  </si>
  <si>
    <t>Name</t>
  </si>
  <si>
    <t>yes</t>
  </si>
  <si>
    <t>Linkedin</t>
  </si>
  <si>
    <t>na</t>
  </si>
  <si>
    <t>Ggn</t>
  </si>
  <si>
    <t>sheetal0123@gmail.com</t>
  </si>
  <si>
    <t>consultants email</t>
  </si>
  <si>
    <t>charu.sahai@orcapodservices.com,ankit.k@pyramidconsultinginc.com,nd@wow.lc,cv@sabiohr.com,rohan.corpsourceone@gmail.com,madhumita@sisolution.in,Rishabh.s@e-solutionsinc.com,yjain02@gmail.com,naheeda.j@nemps.com,apply@bridgethebrains.com,rajni.datta.sharma@gmail.com,manjiri.joshi@seedinfotech.com,lalit@sonyocareers.com,niketa.saxena@pyramidconsultinginc.com,sheena.thanvi@ashtopusconsulting.com,manoj@kcpn.in,parul@9to6consultants.com,jhony@crystalhiring.com,suraj@mastermindnetwork.co.in,shikha@vanassociates.com,sai@burgeonits.com,pcs5@pentagon-services.com,shweta.yojnahr@gmail.com,nibha@jconnect.in,jagruti@nemps.com,arti.sharma@sonyocareers.com,ruchika.dhamale@mancerconsulting.com,nishida.kunder@curvehr.com,mazhar@ssjsolutions.com,anita@acmeconsulting.co.in,chitra@indihire.com,nazima@vlsconsulting.in,sukriti.sharma@tothenew.com,deepikaarora@zykoontech.com,amit_kumar7@rsystems.com,swarna@acelinetech.com,cr@naukrichoice.com,crm@naukrichoice.com,ashok.choubey.del@sampoorna.com,feedback@sampoorna.com,archana.joshi@successpact.com,anusha.m@ustechsolutionsinc.com,karuna@unicorninfotech.com,Pavan.tc@artechinfo.in ,shital@bestinfosystems.co.in,ashoksachan@bestinfosystems.co.in,mastani.kalipulla@ikyaglobal.com,hr2@careergraph.in,kavitha@satlineglobal.com ,jobs@homosapiens.co.in,neha@eresourcetech.com,swati@ecsindia.in,sravanthi@blackapple-solutions.com ,nikhar@uniconhr.com,venkatesh@primusglobal.com,Khushbook@spearsearch.in,shital@spearsearch.in,nikhitha.j@Panso.in,jayaraj@kktecsolutions.com,fiza@aggyconsulting.com,nishi.gupta@orcapodservices.com,rupa.chary@transleap.in,deepali.t@alpconsulting.in,richa@knrconsulting.co.in,bang1@brraysoft.com,kavyashree@impsmanagement.com,hr@naukrichoice.com,lalitn@sonyocareers.com,archie@a-square.co.in,amit@a-square.co.in,pooja.h@sutrajobs.com,venkanna.d@janyatech.com,prakash.dhyani@newtechr.com,divya@skystaffingsolutions.com,ravish@buzzhire.in,rohini@tandeminfo.in,anisha.malhotra@nikosconsulting.com,neelam.yadav@horizonconsulting.in,shraddha.kale@thinkpeople.in,nivedita@anzycareers.com,poornima@bangaloresoftware.com,gdp.sap123@gmail.com,rashmi.paul@marlabs.com,achaudhary.iss@gmail.com,Sheena.Thanvi@ashtopusconsulting.com,Priyanka.kapoor@wowjobs.biz,rjain@goaheadconsultant.com,pradeep.nadendla@issme.net,nivedita@anzycareers.com,harshal@safetykart.com,gaurav.chettri@payu.in,Jashan.Singh@mobileum.com,Sarung.Subnani@timesinternet.in,neha.goyal@avizva.com,Kiran.joshi@genpact.com,meenal.singh@strawberryinfotech.com,akansha.agarwal@nagarro.com,navya.agrawal@genpact.com,akanksha.yadav2@genpact.com,trilokn@travash.com</t>
  </si>
  <si>
    <t>praveen.mishra@nucleussoftware.com,amim@adobe.com,jaya.gupta@infogain.com,vibha.b.v@huawei.com,varun.madan@olx.com,amanchala@vmware.com,talent@smile.co.in,amrita.walia@ibibogroup.com,adatta3@sapient.com,nibha_kuttappan@mastercard.com,ptewari@sapient.com,rsood@cvent.com,alka@twsol.com,jobs5@headhunterz.in,amar@symmetrical.in,Praveen.mishra_ext@nucleussoftware.com,Charu.Sethi@guavus.com,careers@gen-xt.com,InterGlobe Rajesh.Gandhi@igt.in,info@oodlestechnologies.com,hr@metadesignsolutions.com,careers@metadesignsolutions.com,kanchi.naik@radfordglobal.co.in,viprali.rastogi@snapdeal.com,sonal.bagla@zomato.com,ninad.tawade@zomato.com,viprali.rastogi@snapdeal.com,latika.varma@jpmchase.com</t>
  </si>
  <si>
    <t>companies email id</t>
  </si>
  <si>
    <t>http://kurtosys.theresumator.com/apply/job_20150329194735_M3QUC4IZLWVWNHFJ/Sr-QA-Analyst</t>
  </si>
  <si>
    <t>https://www.kurtosys.com/about/careers/</t>
  </si>
  <si>
    <t>MediaAgility1</t>
  </si>
  <si>
    <t>QACareers@tavant.com | sub: Quality Engineer/Senior Quality Engineer/Lead– Quality Engineer (Functional Automation Testing)</t>
  </si>
  <si>
    <t>###</t>
  </si>
  <si>
    <t>23j@</t>
  </si>
  <si>
    <t xml:space="preserve">https://github.com/sheetalrepo </t>
  </si>
  <si>
    <t xml:space="preserve">https://github.com/sheetal0123 </t>
  </si>
  <si>
    <t>https://github.com/sheetalsingh</t>
  </si>
  <si>
    <t xml:space="preserve">wordpress </t>
  </si>
  <si>
    <t>https://blogbysheetal.wordpress.com/</t>
  </si>
  <si>
    <t>money-control</t>
  </si>
  <si>
    <t>EPF</t>
  </si>
  <si>
    <t>moster</t>
  </si>
  <si>
    <t>naukri</t>
  </si>
  <si>
    <t>timesjob</t>
  </si>
  <si>
    <t>glassdoor</t>
  </si>
  <si>
    <t>FK seller</t>
  </si>
  <si>
    <t>flipkart affiliate       | seema, seema pan, seema icici a/c | sheetal0123@yahoo.com | 9958958901 | tracking id: sheetal011 | https://affiliate.flipkart.com/</t>
  </si>
  <si>
    <t xml:space="preserve">25_@.....   </t>
  </si>
  <si>
    <t xml:space="preserve"> 23j@</t>
  </si>
  <si>
    <t>Basic (monthly)</t>
  </si>
  <si>
    <t>215844 (bank?)</t>
  </si>
  <si>
    <t>215847(), 085843(), 581472()</t>
  </si>
  <si>
    <t>123521(Axis Njf)</t>
  </si>
  <si>
    <t>123531(Axis Njf)</t>
  </si>
  <si>
    <t>992043 (HDFC KG Marg Delhi)</t>
  </si>
  <si>
    <t>999674 (HDFC KG Marg Delhi)</t>
  </si>
  <si>
    <t>30431 (HDFC KG Marg Delhi)</t>
  </si>
  <si>
    <t>Cheque Dated</t>
  </si>
  <si>
    <t>Credit Note Amount Adjusted, Not paid</t>
  </si>
  <si>
    <t>008982 ()</t>
  </si>
  <si>
    <t>016226 ()</t>
  </si>
  <si>
    <t>041993 ()</t>
  </si>
  <si>
    <t>058525 ()</t>
  </si>
  <si>
    <t>24th May 2014</t>
  </si>
  <si>
    <t>New Agreement Date</t>
  </si>
  <si>
    <t>Original Agreement Date</t>
  </si>
  <si>
    <t>22nd Aug 2012</t>
  </si>
  <si>
    <t>lowest figure</t>
  </si>
  <si>
    <t>Other Income(FD)</t>
  </si>
  <si>
    <t xml:space="preserve">c sheetal0123 </t>
  </si>
  <si>
    <t>FY2019-20</t>
  </si>
  <si>
    <t>26a@</t>
  </si>
  <si>
    <t>sheetalsingh</t>
  </si>
  <si>
    <t>M@</t>
  </si>
  <si>
    <t>sheetal_singh@epam.com</t>
  </si>
  <si>
    <t>2019-20</t>
  </si>
  <si>
    <t>UiPath</t>
  </si>
  <si>
    <t>M@23</t>
  </si>
  <si>
    <t xml:space="preserve">sheetal0123   </t>
  </si>
  <si>
    <t>M123</t>
  </si>
  <si>
    <t>Tax to be paid</t>
  </si>
  <si>
    <t>Refund</t>
  </si>
  <si>
    <t>eVerify Date</t>
  </si>
  <si>
    <t>8th Nov 2019</t>
  </si>
  <si>
    <t>waiting</t>
  </si>
  <si>
    <t>MOM</t>
  </si>
  <si>
    <t>ITR Filed</t>
  </si>
  <si>
    <t>18th July 2019</t>
  </si>
  <si>
    <t>KUKU</t>
  </si>
  <si>
    <t>M@123</t>
  </si>
  <si>
    <t>http://bcud.unipune.ac.in/CERTIFICATE/GeneralPages/Default.aspx</t>
  </si>
  <si>
    <t>sheetal0123 / M@123</t>
  </si>
  <si>
    <t>cmasharma147</t>
  </si>
  <si>
    <t>147CMASHARMA</t>
  </si>
  <si>
    <t>NPS</t>
  </si>
  <si>
    <t>Zerodha</t>
  </si>
  <si>
    <t>Money Lend</t>
  </si>
  <si>
    <t>Increment (Apr)</t>
  </si>
  <si>
    <t>New CTC (Apr)</t>
  </si>
  <si>
    <t>Apr 2018:  22.24</t>
  </si>
  <si>
    <t>Apr 2019:  24.02</t>
  </si>
  <si>
    <t>Type</t>
  </si>
  <si>
    <t>Mode</t>
  </si>
  <si>
    <t>Total Inv.</t>
  </si>
  <si>
    <t>Ini. NAV</t>
  </si>
  <si>
    <t>Curr NAV</t>
  </si>
  <si>
    <t>Starting Mnth</t>
  </si>
  <si>
    <t>Mature By</t>
  </si>
  <si>
    <t>Current Val</t>
  </si>
  <si>
    <t>SIP Amt</t>
  </si>
  <si>
    <t>Dated</t>
  </si>
  <si>
    <t>Login Details</t>
  </si>
  <si>
    <t>90121648633</t>
  </si>
  <si>
    <t>Fund</t>
  </si>
  <si>
    <t>Fund Name</t>
  </si>
  <si>
    <t>Active_NoSIP</t>
  </si>
  <si>
    <t>Lumsum</t>
  </si>
  <si>
    <t>Offline</t>
  </si>
  <si>
    <t>For</t>
  </si>
  <si>
    <t>Kids-P</t>
  </si>
  <si>
    <t>Kids-K</t>
  </si>
  <si>
    <t>Online</t>
  </si>
  <si>
    <t>SIP Count</t>
  </si>
  <si>
    <t>Redeemed</t>
  </si>
  <si>
    <t>i 665114570636</t>
  </si>
  <si>
    <t>PAN/OTP</t>
  </si>
  <si>
    <t>Gmail login</t>
  </si>
  <si>
    <t>4th Jan 2020</t>
  </si>
  <si>
    <t>sheetal0123/M@123/OTP</t>
  </si>
  <si>
    <t>Account No: 61069494-WB99</t>
  </si>
  <si>
    <t>SBI combined both these investment into one</t>
  </si>
  <si>
    <t>Reliance large Cap Fund - Regular</t>
  </si>
  <si>
    <t>Reliance large Cap Fund - Direct</t>
  </si>
  <si>
    <t>email/K@25</t>
  </si>
  <si>
    <t>sheetal_singh_23/ 23J</t>
  </si>
  <si>
    <t>not able to create login</t>
  </si>
  <si>
    <t>Available Margin</t>
  </si>
  <si>
    <t>Current Balance</t>
  </si>
  <si>
    <t>Invested Amount</t>
  </si>
  <si>
    <t>Investment (In Market)</t>
  </si>
  <si>
    <t>Profit/Loss</t>
  </si>
  <si>
    <t>White Rock Pvt Ltd</t>
  </si>
  <si>
    <t>Yearly Chart</t>
  </si>
  <si>
    <t>Monthy Chart</t>
  </si>
  <si>
    <t>FY 2019-20</t>
  </si>
  <si>
    <t>FY 19-20</t>
  </si>
  <si>
    <t>sheetal0123/Mobile-OTP</t>
  </si>
  <si>
    <t>folio not linked</t>
  </si>
  <si>
    <t>sheetal0123@yahoo.com</t>
  </si>
  <si>
    <t>sheetalonskype0123</t>
  </si>
  <si>
    <t>gmail</t>
  </si>
  <si>
    <t>8dsingh@gmail.com</t>
  </si>
  <si>
    <t>family</t>
  </si>
  <si>
    <t>igrandmom123@gmail.com</t>
  </si>
  <si>
    <t>https://www.facebook.com/sheetal0123singh</t>
  </si>
  <si>
    <t>FB</t>
  </si>
  <si>
    <t>beingyou10@gmail.com</t>
  </si>
  <si>
    <t>X…@123</t>
  </si>
  <si>
    <t>Youtube</t>
  </si>
  <si>
    <t>Youtube channel</t>
  </si>
  <si>
    <t xml:space="preserve">myschooldayzz@gmail.com </t>
  </si>
  <si>
    <t>git</t>
  </si>
  <si>
    <t>23j</t>
  </si>
  <si>
    <t>sheetalsingh@xebia.com</t>
  </si>
  <si>
    <t>sheetal01234</t>
  </si>
  <si>
    <t>sheetal231</t>
  </si>
  <si>
    <t>sheetal.abc / sheetal0123@gmail.com</t>
  </si>
  <si>
    <t>Twitter</t>
  </si>
  <si>
    <t>Pune university</t>
  </si>
  <si>
    <t>ssingh393</t>
  </si>
  <si>
    <t>https://certification.scrumalliance.org</t>
  </si>
  <si>
    <t>Git</t>
  </si>
  <si>
    <t>Docker</t>
  </si>
  <si>
    <t xml:space="preserve">Scrum </t>
  </si>
  <si>
    <t xml:space="preserve">sheetal0123  </t>
  </si>
  <si>
    <t>Udemy</t>
  </si>
  <si>
    <t>gmail login</t>
  </si>
  <si>
    <t>1st Jan 2020</t>
  </si>
  <si>
    <t>1st Jan 2019</t>
  </si>
  <si>
    <t>Q13</t>
  </si>
  <si>
    <t>seema0488</t>
  </si>
  <si>
    <t>K25</t>
  </si>
  <si>
    <t>later</t>
  </si>
  <si>
    <t>video has been under copyright restriction</t>
  </si>
  <si>
    <t>Keep it for kids only</t>
  </si>
  <si>
    <t>Youtube Channel Kids</t>
  </si>
  <si>
    <t>Youtube Channel Songs</t>
  </si>
  <si>
    <t>mob: mine…805 | alt email: 147…</t>
  </si>
  <si>
    <t>login with google account</t>
  </si>
  <si>
    <t>kaavya0123</t>
  </si>
  <si>
    <t>100349813474 - UAN</t>
  </si>
  <si>
    <t>todo</t>
  </si>
  <si>
    <t>HR/GGN/28425/050</t>
  </si>
  <si>
    <t>TBS</t>
  </si>
  <si>
    <t>SrNO</t>
  </si>
  <si>
    <t>PF Number</t>
  </si>
  <si>
    <t>HR/GGN/29078//412</t>
  </si>
  <si>
    <t>iTrust</t>
  </si>
  <si>
    <t>AP/HYD/29903//15717</t>
  </si>
  <si>
    <t>Kaarvy</t>
  </si>
  <si>
    <t>DL/CPM/42624/182</t>
  </si>
  <si>
    <t>LetsBuy</t>
  </si>
  <si>
    <t>KN/BG/BNG/23390/9943</t>
  </si>
  <si>
    <t>Symphony</t>
  </si>
  <si>
    <t>GN/GGN/0029067000/392</t>
  </si>
  <si>
    <t>AP/HYD/00349340000013162</t>
  </si>
  <si>
    <t>Emp Share (A)</t>
  </si>
  <si>
    <t>Empr Share (B)</t>
  </si>
  <si>
    <t>Pension (C)</t>
  </si>
  <si>
    <t>A+B Transferred to Symphony</t>
  </si>
  <si>
    <t>Pension pending</t>
  </si>
  <si>
    <t>A+B withdrawn</t>
  </si>
  <si>
    <t xml:space="preserve">Feb 2011 | Claim ID(10C)=GNGGN120100006063   &amp;&amp;  Claim ID(Form 19): GNGGN120100006062 </t>
  </si>
  <si>
    <t>Note 2</t>
  </si>
  <si>
    <t>Pension may be pending</t>
  </si>
  <si>
    <t>Claim ID APHYD111200021485</t>
  </si>
  <si>
    <t>All money withdrawn</t>
  </si>
  <si>
    <t>Money include TBS + LB</t>
  </si>
  <si>
    <t>Current Account</t>
  </si>
  <si>
    <t>23J</t>
  </si>
  <si>
    <t>Skype / Microsoft Account</t>
  </si>
  <si>
    <t>Azure</t>
  </si>
  <si>
    <t>MCID: 989801030 | U: gmail</t>
  </si>
  <si>
    <t>email/M@1234</t>
  </si>
  <si>
    <t>Mkt: 33K / Txn Date:  12/03/2020 11:05 AM</t>
  </si>
  <si>
    <t>Mkt 34K / 13 Mar</t>
  </si>
  <si>
    <t>Canara Robeco Bluechip Equity Fund</t>
  </si>
  <si>
    <t xml:space="preserve">Axis Bluechip Fund </t>
  </si>
  <si>
    <t>taken 130,440 from zerodha to hdfc</t>
  </si>
  <si>
    <t>Wiki</t>
  </si>
  <si>
    <t>Sheetal2301</t>
  </si>
  <si>
    <t>covid19</t>
  </si>
  <si>
    <t>Blocked , verification mail going on xebia account</t>
  </si>
  <si>
    <t>3J</t>
  </si>
  <si>
    <t>sheetal0123</t>
  </si>
  <si>
    <t>sheetalrepo</t>
  </si>
  <si>
    <t>Existing</t>
  </si>
  <si>
    <t>Slab 4, Above 10 lac</t>
  </si>
  <si>
    <t>New</t>
  </si>
  <si>
    <t>Gross Salary</t>
  </si>
  <si>
    <t>After various deduction</t>
  </si>
  <si>
    <t>Gross Salary appx</t>
  </si>
  <si>
    <t>Slab 3, 5 to 7.5lac</t>
  </si>
  <si>
    <t>Slab 4, 7.5 to 10lac</t>
  </si>
  <si>
    <t>Slab 5, 10 to 12.5lac</t>
  </si>
  <si>
    <t>Slab 5, 12.5 to 15lac</t>
  </si>
  <si>
    <t>Slab 6, 15 to 50lac</t>
  </si>
  <si>
    <t>Look like old system is better</t>
  </si>
  <si>
    <t>Current Balance In Account</t>
  </si>
  <si>
    <t>Money Taken To Bank</t>
  </si>
  <si>
    <t>Notes2</t>
  </si>
  <si>
    <t>Notes1</t>
  </si>
  <si>
    <t>Zerodha Seema</t>
  </si>
  <si>
    <t>TPIN: 381256</t>
  </si>
  <si>
    <t>Activated: 16th June 2020</t>
  </si>
  <si>
    <t>147CMASHARMA@GMAIL.COM</t>
  </si>
  <si>
    <t>B570679350</t>
  </si>
  <si>
    <t>BSES Rajdhani Delhi Electricity</t>
  </si>
  <si>
    <t>102579 (by zerodha to hdfc to zerodha)</t>
  </si>
  <si>
    <t>Options</t>
  </si>
  <si>
    <t>Console Report</t>
  </si>
  <si>
    <t>Total P/L</t>
  </si>
  <si>
    <t>till 8th July</t>
  </si>
  <si>
    <t>9560 (by zerodha to hdfc : withdrawn)</t>
  </si>
  <si>
    <t xml:space="preserve">rakshaknagargold3322 </t>
  </si>
  <si>
    <t>100349813474</t>
  </si>
  <si>
    <t>UAN</t>
  </si>
  <si>
    <t>As of 30 Jul 2020</t>
  </si>
  <si>
    <t>Emp Code</t>
  </si>
  <si>
    <t>00094</t>
  </si>
  <si>
    <t>31534</t>
  </si>
  <si>
    <t>2051</t>
  </si>
  <si>
    <t>DIGITAIL MANAGEMENT SERVICES PVT LTD 15-F, EAST PUNJABI BAGH , NEW DELHI -110026</t>
  </si>
  <si>
    <t>DT185</t>
  </si>
  <si>
    <t>12072</t>
  </si>
  <si>
    <t>Lead Quality Engineer</t>
  </si>
  <si>
    <t>Title</t>
  </si>
  <si>
    <t>XI432</t>
  </si>
  <si>
    <t>Senior Consultant</t>
  </si>
  <si>
    <t>531534</t>
  </si>
  <si>
    <t>Lead Software Test Automation Engineer</t>
  </si>
  <si>
    <t>EPAM SYSTEMS INDIA PRIVATE LIMITED | Address: 3RD &amp; 4TH FR, NORTH WING,JVP BUIL, P:NO:5,SW UNITS LAYOUT, MADHAPUR HYDERABAD 617</t>
  </si>
  <si>
    <t>TOS/P/KN/2565      6110</t>
  </si>
  <si>
    <t>Orbis</t>
  </si>
  <si>
    <t>mailtokaavya@gmail.com</t>
  </si>
  <si>
    <t>mailtogarvit@gmail.com</t>
  </si>
  <si>
    <t>PRAN 110097569023</t>
  </si>
  <si>
    <t>Rule 21 'IPIN  96973624442 TPIN 4347673</t>
  </si>
  <si>
    <t>Activation Date: 10/June/2016</t>
  </si>
  <si>
    <t>12th</t>
  </si>
  <si>
    <t>Kendriya Vidyalaya No 3, 9 BRD, Air Force Station, Viman Nagar, Pune    411014</t>
  </si>
  <si>
    <t>Roll No: 4207378</t>
  </si>
  <si>
    <t>Cert Serial No: 048538</t>
  </si>
  <si>
    <t>2001-02</t>
  </si>
  <si>
    <t>10th</t>
  </si>
  <si>
    <t>Roll No: 4132744</t>
  </si>
  <si>
    <t>Cert Serial No: 033359</t>
  </si>
  <si>
    <t>1999 - 00</t>
  </si>
  <si>
    <t>SEAT NO: B2113453</t>
  </si>
  <si>
    <t>Permanent Registration No:  70223385E</t>
  </si>
  <si>
    <t>2002-06</t>
  </si>
  <si>
    <t>BE</t>
  </si>
  <si>
    <t>https://pravara.in/engineering-prec-loni/</t>
  </si>
  <si>
    <t>Pravara Rural College of Engineering, Loni, Taluka-Rahata, District: Ahmednagar, Maharashtra, India, Pincode : 413736 +91 2422 273700</t>
  </si>
  <si>
    <t>Std</t>
  </si>
  <si>
    <t>RollNo</t>
  </si>
  <si>
    <t>Other</t>
  </si>
  <si>
    <t>Institute</t>
  </si>
  <si>
    <t>HR</t>
  </si>
  <si>
    <t>Gaurav.Sharma5@harman.com</t>
  </si>
  <si>
    <t>Contact</t>
  </si>
  <si>
    <t>+911245046015</t>
  </si>
  <si>
    <t>Address</t>
  </si>
  <si>
    <t xml:space="preserve">Xebia IT Architect India Pvt Ltd </t>
  </si>
  <si>
    <t>+911244700200  /246</t>
  </si>
  <si>
    <t>hrindia@xebia.com</t>
  </si>
  <si>
    <t>vaibhav_kelkar@epam.com</t>
  </si>
  <si>
    <t>9552560619</t>
  </si>
  <si>
    <t>Epam Systems India Pvt Ltd</t>
  </si>
  <si>
    <t>Flat No B-2 / 101, Floor No 1, Rakshak Nagar Gold, Kharadi, Pune, Maharashtra, India.PIN: 411014</t>
  </si>
  <si>
    <t>Jul 2006 to Jun 2017</t>
  </si>
  <si>
    <t>11 yr</t>
  </si>
  <si>
    <t>HCL</t>
  </si>
  <si>
    <t>NIIT</t>
  </si>
  <si>
    <t>Blackrock Advertising</t>
  </si>
  <si>
    <t>Nov 2006 to Sept 2007</t>
  </si>
  <si>
    <t>Aviva</t>
  </si>
  <si>
    <t>Insurance Training</t>
  </si>
  <si>
    <t>0 days</t>
  </si>
  <si>
    <t>Call Centre</t>
  </si>
  <si>
    <t>W</t>
  </si>
  <si>
    <t>Rohtak</t>
  </si>
  <si>
    <t>Njf</t>
  </si>
  <si>
    <t>Jul 2020:  25.3</t>
  </si>
  <si>
    <t>Tax Payable</t>
  </si>
  <si>
    <t>A+B</t>
  </si>
  <si>
    <t>A+B+C</t>
  </si>
  <si>
    <t>Office Address</t>
  </si>
  <si>
    <t>A+B Transferred to EPAM in Aug 20</t>
  </si>
  <si>
    <t>PF credit in passbook - delay by PF Department.</t>
  </si>
  <si>
    <t>May Jun 20 PF money not deposited</t>
  </si>
  <si>
    <t>email subject</t>
  </si>
  <si>
    <t>contact Abhinav jalani</t>
  </si>
  <si>
    <t>Added 1.5L in account</t>
  </si>
  <si>
    <t>Techblue Softwares Pvt Ltd</t>
  </si>
  <si>
    <t>iTrust Financial Advisors Pvt Ltd</t>
  </si>
  <si>
    <t>Karvy Stock Broking Ltd</t>
  </si>
  <si>
    <t>Symphony Teleca Services, building no 8, tower B, 2nd Floor, DLF Cyber City, Gurgaon 122002, Ph 01243884700</t>
  </si>
  <si>
    <t>Xebia IT Architect Pvt Ltd, 6th Floor, BPTP Park Centra, Sector 30, Gurgaon 122002. Ph 0124 4700222/200</t>
  </si>
  <si>
    <t xml:space="preserve">Reason For Leaving: To explore better automation opportunities </t>
  </si>
  <si>
    <t>Reason For Leaving: Karvy group acquired and asked for relocation</t>
  </si>
  <si>
    <t xml:space="preserve">Reason For Leaving: Flipkart.com acquired and asked for relocation </t>
  </si>
  <si>
    <t>Reason For Leaving: Client's "Shopzilla.com" services closed from India</t>
  </si>
  <si>
    <t>Reason For Leaving: To explore onsite opportunities</t>
  </si>
  <si>
    <t>Location</t>
  </si>
  <si>
    <t>K#</t>
  </si>
  <si>
    <t>seema loved name#papi ddmm</t>
  </si>
  <si>
    <t>2020-21</t>
  </si>
  <si>
    <t>Till 30th Oct 2020</t>
  </si>
  <si>
    <t>30th Nov 2020</t>
  </si>
  <si>
    <t>FY2020-21</t>
  </si>
  <si>
    <t>31/10/2020</t>
  </si>
  <si>
    <t>Added on Oct 20</t>
  </si>
  <si>
    <t>Till Nov End</t>
  </si>
  <si>
    <t>5039233731</t>
  </si>
  <si>
    <t>FlyBlue Seema</t>
  </si>
  <si>
    <t>FlyBlue Sheetal</t>
  </si>
  <si>
    <t>5038764495</t>
  </si>
  <si>
    <t>Bluebiz number GB09032</t>
  </si>
  <si>
    <t>email/M@123/MobileOTP  PIN DDMM</t>
  </si>
  <si>
    <t>mail sent : enq_t@camsonline.com</t>
  </si>
  <si>
    <t>Redemption will be done on 10th Nov 20</t>
  </si>
  <si>
    <t>U1762615</t>
  </si>
  <si>
    <t>U1771433</t>
  </si>
  <si>
    <t>U1762864</t>
  </si>
  <si>
    <t>U1762616</t>
  </si>
  <si>
    <t>Sheetal Singh</t>
  </si>
  <si>
    <t>Seema Khandelwal</t>
  </si>
  <si>
    <t>Kaavya Khandelwal</t>
  </si>
  <si>
    <t>Prithvi Khandelwal</t>
  </si>
  <si>
    <t>23 Jan 1985</t>
  </si>
  <si>
    <t>26 Apr 1988</t>
  </si>
  <si>
    <t>25 Jan 2013</t>
  </si>
  <si>
    <t>02 Jan 2016</t>
  </si>
  <si>
    <t>DOB</t>
  </si>
  <si>
    <t>Passport</t>
  </si>
  <si>
    <t>NIE</t>
  </si>
  <si>
    <t>SSN</t>
  </si>
  <si>
    <t>281540049435</t>
  </si>
  <si>
    <t>Y8077821M</t>
  </si>
  <si>
    <t>Y8077825D</t>
  </si>
  <si>
    <t>Y8077832Q</t>
  </si>
  <si>
    <t>Y8077830Z</t>
  </si>
  <si>
    <t>Son/Hijo</t>
  </si>
  <si>
    <t>Daughter/Hija</t>
  </si>
  <si>
    <t>Wife/Esposa</t>
  </si>
  <si>
    <t>Relation</t>
  </si>
  <si>
    <t>SHEETAL_SINGH@EPAM.COM</t>
  </si>
  <si>
    <t>Contact No</t>
  </si>
  <si>
    <t>+34 603 785 707</t>
  </si>
  <si>
    <t>EPAM System Spain S.L., Av. Imperio Argentina, 19-21, 2º Planta, 29004 Málaga</t>
  </si>
  <si>
    <t>Calle Canillas de Aceituno, 3, 29004, Málaga, Spain</t>
  </si>
  <si>
    <t>Info</t>
  </si>
  <si>
    <t>Unicaka BANK Account No</t>
  </si>
  <si>
    <t>Jul 2017 to Nov 2020</t>
  </si>
  <si>
    <t>3.5 yr</t>
  </si>
  <si>
    <t>Nov 2020</t>
  </si>
  <si>
    <t>Rs 160000</t>
  </si>
  <si>
    <t>Account CLOSED</t>
  </si>
  <si>
    <t>26a@ / 250113</t>
  </si>
  <si>
    <t>Refund Received 1st Dec 20  | CA Vishal | 80D 50K, 80DDB : 50K</t>
  </si>
  <si>
    <t>+919911872805/25j</t>
  </si>
  <si>
    <t>uni</t>
  </si>
  <si>
    <t>first daughter ddmm</t>
  </si>
  <si>
    <t>refund processed on 20th Dec 2020</t>
  </si>
  <si>
    <t>12th Aug 2020</t>
  </si>
  <si>
    <t>Lowi</t>
  </si>
  <si>
    <t>gmail/M@123</t>
  </si>
  <si>
    <t>epam mail/M@123</t>
  </si>
  <si>
    <t>s$</t>
  </si>
  <si>
    <t>Jul 2017 = '21.5 + 5</t>
  </si>
  <si>
    <t>Dec 2020 | 45K + 5K bonus</t>
  </si>
  <si>
    <t>Gade</t>
  </si>
  <si>
    <t>TF5127 Qwerty@123      PIN:786786</t>
  </si>
  <si>
    <t>147cmasharma@gmail.com</t>
  </si>
  <si>
    <t>Mirae Asset Emerging Bluechip Fund</t>
  </si>
  <si>
    <t>PGIM India Midcap Opportunity Fund</t>
  </si>
  <si>
    <t>Kotak Small Cap Fund G</t>
  </si>
  <si>
    <t>Ref: 905866 | 16th Jan 2021 | Redeem Value = 47362</t>
  </si>
  <si>
    <t>Absoulute Return</t>
  </si>
  <si>
    <t>Ref: MF-186013 | 16th Jan 2021 | Redeem Value = 60241</t>
  </si>
  <si>
    <t xml:space="preserve">Ref: EAAGR1311359285 | 16th Jan 2021 </t>
  </si>
  <si>
    <t>Ref: 172298515 | 16th Jan</t>
  </si>
  <si>
    <t>Ref: 161914818 | 16th Jan 2021</t>
  </si>
  <si>
    <t>Ref: SCAGR1311359310 | 16th Jan 2021</t>
  </si>
  <si>
    <t>16th Jan 2021</t>
  </si>
  <si>
    <t>Credited</t>
  </si>
  <si>
    <t>Hybrid</t>
  </si>
  <si>
    <t>PAPA MFs</t>
  </si>
  <si>
    <t xml:space="preserve">NIPPON INDIA LARGE CAP FUND </t>
  </si>
  <si>
    <t xml:space="preserve">PAN / M@      </t>
  </si>
  <si>
    <t xml:space="preserve">401211845622    </t>
  </si>
  <si>
    <t>90150372596</t>
  </si>
  <si>
    <t>Axis Bluechip Fund Regular Growth</t>
  </si>
  <si>
    <t>redeemed on 3rd jan 2021</t>
  </si>
  <si>
    <t xml:space="preserve">ABSL Tax Relief '96 Fund-ELSS </t>
  </si>
  <si>
    <t>Axis Long Term Equity Fund Regular Growth</t>
  </si>
  <si>
    <t xml:space="preserve">1038350798         </t>
  </si>
  <si>
    <t xml:space="preserve">90150373481  </t>
  </si>
  <si>
    <t>PAN/ M@</t>
  </si>
  <si>
    <t>Sr Software Test Engineer</t>
  </si>
  <si>
    <t>7975075</t>
  </si>
  <si>
    <t>25th</t>
  </si>
  <si>
    <t>15th</t>
  </si>
  <si>
    <t>beti</t>
  </si>
  <si>
    <t>19924228773</t>
  </si>
  <si>
    <t>Large-Mid Cap</t>
  </si>
  <si>
    <t>20th</t>
  </si>
  <si>
    <t>https://www.solerainc.es/contactanos</t>
  </si>
  <si>
    <t>Selvia, Spain</t>
  </si>
  <si>
    <t>Focused</t>
  </si>
  <si>
    <t>163449/85</t>
  </si>
  <si>
    <t>5103147542</t>
  </si>
  <si>
    <t>29th Dec 2019 SIP not creditted</t>
  </si>
  <si>
    <t>Rs 50000</t>
  </si>
  <si>
    <t>18th Feb 2021</t>
  </si>
  <si>
    <t># Folio: 40858476206 rel growth fund  117.808  132234 50k  9899855865</t>
  </si>
  <si>
    <t>910106393786</t>
  </si>
  <si>
    <t>9105163935</t>
  </si>
  <si>
    <t>Canera Robeco Emerging Equity</t>
  </si>
  <si>
    <t>pol: 17919780 | Term: 30 yr [2013 to 2043] | Due date: 29 July</t>
  </si>
  <si>
    <t>SeemaPAN/OTP in email n ph</t>
  </si>
  <si>
    <t>Year FY</t>
  </si>
  <si>
    <t>Dated Oct 2020: All previous PF has been transferred to EPAM. No idea about Pension fund.</t>
  </si>
  <si>
    <t>4th Jan 2021</t>
  </si>
  <si>
    <t>Final NAV</t>
  </si>
  <si>
    <t>Tot Units</t>
  </si>
  <si>
    <t>Final Val</t>
  </si>
  <si>
    <t>Profits</t>
  </si>
  <si>
    <t>Switched from Flexi to Midcaps Ref no. 90138320 on 25th Mar 2021</t>
  </si>
  <si>
    <t>email/K@</t>
  </si>
  <si>
    <t>redeemed on 31 Mar 2021 , ref no GFD1G16331285</t>
  </si>
  <si>
    <t>Redemption on 31Mar 2021 Ref: 194717539</t>
  </si>
  <si>
    <t>CAGR</t>
  </si>
  <si>
    <t>XIRR</t>
  </si>
  <si>
    <t>Absolute</t>
  </si>
  <si>
    <t>ICICI Prudential Technology Fund</t>
  </si>
  <si>
    <t>SIP Date</t>
  </si>
  <si>
    <t>1st</t>
  </si>
  <si>
    <t>5th</t>
  </si>
  <si>
    <t>Best date for SIP: 25th, 28th, 14th</t>
  </si>
  <si>
    <t>CAGR (Lumsum + more than 1 year)</t>
  </si>
  <si>
    <t>XIRR (SIP + more than 1 year)</t>
  </si>
  <si>
    <t>Absolute Return (for less than 1 year) | (FV-IV)/IV</t>
  </si>
  <si>
    <t>Imp Information:</t>
  </si>
  <si>
    <t>Value &amp; Momentum</t>
  </si>
  <si>
    <t>Seema loved name</t>
  </si>
  <si>
    <t>sheetal0123/K#</t>
  </si>
  <si>
    <t>Sectoral</t>
  </si>
  <si>
    <t>Redeemption</t>
  </si>
  <si>
    <t>Small Case</t>
  </si>
  <si>
    <t>Seema PAN/ M@123</t>
  </si>
  <si>
    <t>28th</t>
  </si>
  <si>
    <t>Small case: Value &amp; Momentum</t>
  </si>
  <si>
    <t>2nd June 2021</t>
  </si>
  <si>
    <t>25th Apr 2021</t>
  </si>
  <si>
    <t>OLD URN : CRDIRECT-006241 | NEW URN : CRDIRECT-111747 | New Ref:  ID 128488872</t>
  </si>
  <si>
    <t>Biller: KTDIRECT-255309</t>
  </si>
  <si>
    <t>Biller: PM000000-A18482</t>
  </si>
  <si>
    <t>Biller: MAEB5603-A01661</t>
  </si>
  <si>
    <t>OLD URN: CRDIRECT-004633 | NEW URN: CRDIRECT-110038</t>
  </si>
  <si>
    <t>Quant Small Cap Fund (via ETMoney)</t>
  </si>
  <si>
    <t>25th May, 25thMay, 25June, 25June</t>
  </si>
  <si>
    <t>Deducting 25K twice</t>
  </si>
  <si>
    <t>27thMay, 25Jun</t>
  </si>
  <si>
    <t>28th May, 29Jun</t>
  </si>
  <si>
    <t>FY 2020-21</t>
  </si>
  <si>
    <t>SBI FO 80K Loss</t>
  </si>
  <si>
    <t>entradas.janto.es</t>
  </si>
  <si>
    <t>Sa123</t>
  </si>
  <si>
    <t>EMT A</t>
  </si>
  <si>
    <t>EMT B</t>
  </si>
  <si>
    <t>email seema</t>
  </si>
  <si>
    <t>email my</t>
  </si>
  <si>
    <t>malaga bici bicycle</t>
  </si>
  <si>
    <t>Axis Bluechip Fund</t>
  </si>
  <si>
    <t>Canara Robeco Bluechip Equity Fund - started again</t>
  </si>
  <si>
    <t>Oneplus Nord</t>
  </si>
  <si>
    <t>gmail login / pwd: 26a@</t>
  </si>
  <si>
    <t>vueling</t>
  </si>
  <si>
    <t>gmail / B@</t>
  </si>
  <si>
    <t>FD</t>
  </si>
  <si>
    <t>23 Sept 2021</t>
  </si>
  <si>
    <t>23 Oct 2022</t>
  </si>
  <si>
    <t>HDFC @ 4.9%</t>
  </si>
  <si>
    <t>Maturity Amt</t>
  </si>
  <si>
    <t>Maturity Date</t>
  </si>
  <si>
    <t>Amt</t>
  </si>
  <si>
    <t>Nominee updated</t>
  </si>
  <si>
    <t>Google Payout</t>
  </si>
  <si>
    <t>9th Oct 2020</t>
  </si>
  <si>
    <t>23rd Sept 2021</t>
  </si>
  <si>
    <t>USD</t>
  </si>
  <si>
    <t>INR</t>
  </si>
  <si>
    <t>kuku bank</t>
  </si>
  <si>
    <t>Mobile mine</t>
  </si>
  <si>
    <t>Mobile seema</t>
  </si>
  <si>
    <t>Lowi sim: 8282</t>
  </si>
  <si>
    <t>Lowi sim: 7389</t>
  </si>
  <si>
    <t>TIE</t>
  </si>
  <si>
    <t>E22426941</t>
  </si>
  <si>
    <t>E22426944</t>
  </si>
  <si>
    <t>E22426943</t>
  </si>
  <si>
    <t>E22426942</t>
  </si>
  <si>
    <t>AN1723752553</t>
  </si>
  <si>
    <t>Bank Account</t>
  </si>
  <si>
    <t>ES7521030148800030022219</t>
  </si>
  <si>
    <t>Kaavya</t>
  </si>
  <si>
    <t>CEIP Hogarsol</t>
  </si>
  <si>
    <t>digital@ceiphogarsol.com</t>
  </si>
  <si>
    <t>951 29 88 88</t>
  </si>
  <si>
    <t>Prithvi</t>
  </si>
  <si>
    <t>Virgen del Carmen Colegio Diocesano</t>
  </si>
  <si>
    <t>josefa.zafra@fundacionvictoria.edu.es</t>
  </si>
  <si>
    <t>952 31 12 43</t>
  </si>
  <si>
    <t>AN1723752048</t>
  </si>
  <si>
    <t>AN1723753260</t>
  </si>
  <si>
    <t>AN1723754169</t>
  </si>
  <si>
    <t>+34</t>
  </si>
  <si>
    <t>https://www.ubs.com/onesource/EPAM</t>
  </si>
  <si>
    <t>askstockpurchaseplan@epam.com</t>
  </si>
  <si>
    <t>+34 611 465 145</t>
  </si>
  <si>
    <t>Xiomi MI Mobile</t>
  </si>
  <si>
    <t>seema gmail</t>
  </si>
  <si>
    <t>26a@..</t>
  </si>
  <si>
    <t>Account: 5298902536</t>
  </si>
  <si>
    <t>Account 1579480041</t>
  </si>
  <si>
    <t>B1631433692909</t>
  </si>
  <si>
    <t>Malaga</t>
  </si>
  <si>
    <t>Earning</t>
  </si>
  <si>
    <t>Expense</t>
  </si>
  <si>
    <t>Saving</t>
  </si>
  <si>
    <t>1st Jan 2022</t>
  </si>
  <si>
    <t>5th Jan 2022</t>
  </si>
  <si>
    <t>To</t>
  </si>
  <si>
    <t>Bhabhiji Axis</t>
  </si>
  <si>
    <t>From My HDFC</t>
  </si>
  <si>
    <t>ICICI Fixed FD</t>
  </si>
  <si>
    <t>14th Nov 2023</t>
  </si>
  <si>
    <t>ICICI Linked FD</t>
  </si>
  <si>
    <t>(Money getting used in SIP)</t>
  </si>
  <si>
    <t>Depend</t>
  </si>
  <si>
    <t>#To Bhaiya for Property</t>
  </si>
  <si>
    <t>10th Jan 2022</t>
  </si>
  <si>
    <t>11th Jan 2022</t>
  </si>
  <si>
    <t>13th jan 2022</t>
  </si>
  <si>
    <t>From Seema ICICI</t>
  </si>
  <si>
    <t>Seema_PAN/Ka@26</t>
  </si>
  <si>
    <t>Txn: 173943460 , 17Jan2022, SIP Cancelled</t>
  </si>
  <si>
    <t>Tx Ref: 173943461 , 17th Jan2022, SIP cancelled</t>
  </si>
  <si>
    <t>MyEmail/Ka@26</t>
  </si>
  <si>
    <t>Linked to My Kotak portfolio</t>
  </si>
  <si>
    <t>SIP cancellled from CAMS site 12557440 on 20th Jan 2022</t>
  </si>
  <si>
    <t>ICICI Prudential Commodities (Remove Biller)</t>
  </si>
  <si>
    <t>Years</t>
  </si>
  <si>
    <t>11 Months</t>
  </si>
  <si>
    <t>3 Yrs</t>
  </si>
  <si>
    <t>2 Yrs</t>
  </si>
  <si>
    <t>EPAM Malaga</t>
  </si>
  <si>
    <t>3 Yrs 4 Months</t>
  </si>
  <si>
    <t>2 Months</t>
  </si>
  <si>
    <t>9 Months</t>
  </si>
  <si>
    <t>1.6 Yrs</t>
  </si>
  <si>
    <t>22nd Jan 2022</t>
  </si>
  <si>
    <t>MrJadhav **6018</t>
  </si>
  <si>
    <t>NileshJadhav **22252</t>
  </si>
  <si>
    <t>SwetaJadhav **72</t>
  </si>
  <si>
    <t>Apple Id</t>
  </si>
  <si>
    <t>Forgot</t>
  </si>
  <si>
    <t>Need old SIM</t>
  </si>
  <si>
    <t>sheetal0123@aol.com</t>
  </si>
  <si>
    <t>25j@</t>
  </si>
  <si>
    <t>emp code: 531534, Q: mataro, 2010, malaga | Cell: +34 603 785 707 | 
Postal code: 29003 | Email: personal + sheetal_singh@epam.com</t>
  </si>
  <si>
    <t>EPAM, Malaga Dec 2020</t>
  </si>
  <si>
    <t>10 Mar</t>
  </si>
  <si>
    <t>67,620.77</t>
  </si>
  <si>
    <t>10th Mar Rs67621 deposited in HDFC</t>
  </si>
  <si>
    <t>cord.co</t>
  </si>
  <si>
    <t>30th Apr 2022</t>
  </si>
  <si>
    <t>Rudra ICICI</t>
  </si>
  <si>
    <t>Rudra SBI</t>
  </si>
  <si>
    <t>Vishal HDFC</t>
  </si>
  <si>
    <t>Divya AXIS</t>
  </si>
  <si>
    <t>3rd May 2022</t>
  </si>
  <si>
    <t>share value</t>
  </si>
  <si>
    <t>discounted 15%</t>
  </si>
  <si>
    <t>shares</t>
  </si>
  <si>
    <t>10.66</t>
  </si>
  <si>
    <t>Invest Amt</t>
  </si>
  <si>
    <t>2400 Dollar</t>
  </si>
  <si>
    <t>4th May 2022</t>
  </si>
  <si>
    <t>5th May 2022</t>
  </si>
  <si>
    <t>16th May 2022</t>
  </si>
  <si>
    <t>ATM Cash</t>
  </si>
  <si>
    <t>147cmasharma</t>
  </si>
  <si>
    <t>1st June 2022</t>
  </si>
  <si>
    <t>cmasharma147. / M@123</t>
  </si>
  <si>
    <t>dist: Pune</t>
  </si>
  <si>
    <t>https://aaplesarkar.mahaonline.gov.in/en/Login/Login</t>
  </si>
  <si>
    <t>FY2022-23</t>
  </si>
  <si>
    <t>NA</t>
  </si>
  <si>
    <t>22nd June 2022</t>
  </si>
  <si>
    <t>Seema ICICI</t>
  </si>
  <si>
    <t>Ack No:HDSE12124453 | Contribution Receipt Number: 12671016319954184 | Trx RefNo: 3578852313412. | Rs50295.00</t>
  </si>
  <si>
    <t>kuku gmail id / 26…@.....</t>
  </si>
  <si>
    <t>paypal.me/147seema</t>
  </si>
  <si>
    <t>FB Seema</t>
  </si>
  <si>
    <t>"+917011448640" / "K@25"</t>
  </si>
  <si>
    <t>'NPS@hdfcsec.com, Mala.Jha@hdfcsec.com'</t>
  </si>
  <si>
    <t>Sandeep</t>
  </si>
  <si>
    <t>4th July 2022</t>
  </si>
  <si>
    <t>8th July 2022</t>
  </si>
  <si>
    <t>Euro 500 @ 82.3</t>
  </si>
  <si>
    <t>Euro 6000 + 87 @ 78.4</t>
  </si>
  <si>
    <t>INR = 511483/-</t>
  </si>
  <si>
    <t>estefania_jimenez@epam.com, marta_loma@epam.com</t>
  </si>
  <si>
    <t>PAN</t>
  </si>
  <si>
    <t>Tax Seema</t>
  </si>
  <si>
    <t>gmail. |  Sheetal0123</t>
  </si>
  <si>
    <t>personal token 30 days valid: 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</t>
  </si>
  <si>
    <t>sheetal0123/Bharat@123</t>
  </si>
  <si>
    <t>Bharat@123</t>
  </si>
  <si>
    <t>NIE/P1</t>
  </si>
  <si>
    <t/>
  </si>
  <si>
    <t>Bitcoin</t>
  </si>
  <si>
    <t>BTC</t>
  </si>
  <si>
    <t>Solana</t>
  </si>
  <si>
    <t>SOL</t>
  </si>
  <si>
    <t>AVAX</t>
  </si>
  <si>
    <t>Avalanche</t>
  </si>
  <si>
    <t>Cardona</t>
  </si>
  <si>
    <t>ADA</t>
  </si>
  <si>
    <t>Ethereum</t>
  </si>
  <si>
    <t>ETH</t>
  </si>
  <si>
    <t>Code</t>
  </si>
  <si>
    <t>Coins</t>
  </si>
  <si>
    <t>Om</t>
  </si>
  <si>
    <t>01 June 2012 to 18 June 2015</t>
  </si>
  <si>
    <t>Symphony Teleca Corp India Pvt Ltd</t>
  </si>
  <si>
    <t>19 June 2015 to 13 July 2017</t>
  </si>
  <si>
    <t>19 July 2017 to 30 Nov 2020</t>
  </si>
  <si>
    <t>01 Aug 2008 to 15 Mar 2010</t>
  </si>
  <si>
    <t>Rank 9/2022</t>
  </si>
  <si>
    <t>Txn1| 29/9/22 | 438c @ $0.45 | Ref: NEDNMPLGSS</t>
  </si>
  <si>
    <t>gmail / 25J**@25***K*****</t>
  </si>
  <si>
    <t>EPAM ELSS UBS</t>
  </si>
  <si>
    <t>438.0</t>
  </si>
  <si>
    <t>Txn1| 3Oct22 | 11.45c @ $17.21 | Ref: 9GFBPQWK6T</t>
  </si>
  <si>
    <t>11.45</t>
  </si>
  <si>
    <t>109.37</t>
  </si>
  <si>
    <t>31st Oct</t>
  </si>
  <si>
    <t>30th Apr 2022 = 10.66 shares @225.25</t>
  </si>
  <si>
    <t>Epam: Apr 2022 | 49 K + Bonus</t>
  </si>
  <si>
    <t>June 2022</t>
  </si>
  <si>
    <t>INR = 2705000</t>
  </si>
  <si>
    <t xml:space="preserve">Coins </t>
  </si>
  <si>
    <t>1st Jan 2023</t>
  </si>
  <si>
    <t>My Banks</t>
  </si>
  <si>
    <t>Kuku Banks</t>
  </si>
  <si>
    <t>31st Oct 2022</t>
  </si>
  <si>
    <t>Investment $</t>
  </si>
  <si>
    <t>Stock</t>
  </si>
  <si>
    <t>18 July 2011 to 30 May 2012</t>
  </si>
  <si>
    <t>epam_options@ubs.com</t>
  </si>
  <si>
    <t>10</t>
  </si>
  <si>
    <t>20.614</t>
  </si>
  <si>
    <t>2400</t>
  </si>
  <si>
    <t>2441</t>
  </si>
  <si>
    <t>225.24</t>
  </si>
  <si>
    <t>245.23</t>
  </si>
  <si>
    <t>$ 4841 / Euro 4720</t>
  </si>
  <si>
    <t>Purchase Rate</t>
  </si>
  <si>
    <t>Current Rate</t>
  </si>
  <si>
    <t>3 Nov 2022 = @327</t>
  </si>
  <si>
    <t>user/pwd = sheetal0123/Ka @.... (wife)</t>
  </si>
  <si>
    <t>Account No: NI86691</t>
  </si>
  <si>
    <t>Hint: mataro, 2010, malaga</t>
  </si>
  <si>
    <t>My Gmail/Cell: +34 603 785 707</t>
  </si>
  <si>
    <t>Malaga address 29003</t>
  </si>
  <si>
    <t>Support Mon-Fri</t>
  </si>
  <si>
    <t xml:space="preserve"> 3 AM to 11 PM EST</t>
  </si>
  <si>
    <t>855-316-3726 or 201-272-7564</t>
  </si>
  <si>
    <t>cmasharma147@outlook.com</t>
  </si>
  <si>
    <t>Office 2021 purchase</t>
  </si>
  <si>
    <t>"M@1..</t>
  </si>
  <si>
    <t>Digilocker</t>
  </si>
  <si>
    <t>Adhar/Sheetal0123</t>
  </si>
  <si>
    <t>jio no/email id</t>
  </si>
  <si>
    <t xml:space="preserve">Adhar  </t>
  </si>
  <si>
    <t>nominee updated</t>
  </si>
  <si>
    <t>redeemed on 5th Jan 2023</t>
  </si>
  <si>
    <t>redeemed on 6th Jan 2023 | Ref: RD5995562</t>
  </si>
  <si>
    <t>Y2020+Y2021</t>
  </si>
  <si>
    <t>Y2022</t>
  </si>
  <si>
    <t>eDistrict Delhi Marriage</t>
  </si>
  <si>
    <t>https://edistrict.delhigovt.nic.in/</t>
  </si>
  <si>
    <t>OXE2Q4AT</t>
  </si>
  <si>
    <t>23J@</t>
  </si>
  <si>
    <t>Wise</t>
  </si>
  <si>
    <t>Mar 2023 Seema ICICI = E 5000 @ 89.64 - Fees E35 (E 4965 = INR 445081)</t>
  </si>
  <si>
    <t xml:space="preserve">Dec 2022 Seema ICICI = E 4000 @87 - Fees E35 ( E3965 = INR 3.45L) </t>
  </si>
  <si>
    <t>Mobile</t>
  </si>
  <si>
    <t>JIO</t>
  </si>
  <si>
    <t>Voda</t>
  </si>
  <si>
    <t>Axis Midcap</t>
  </si>
  <si>
    <t>Axis Flexi Funds</t>
  </si>
  <si>
    <t>Kuku</t>
  </si>
  <si>
    <t>Invested</t>
  </si>
  <si>
    <t>Current</t>
  </si>
  <si>
    <t>Mine</t>
  </si>
  <si>
    <t>Kotak Standard Multicap Fund / Kotak Felxi cap</t>
  </si>
  <si>
    <t>Principal Tax Saving Direct/ Sundaram</t>
  </si>
  <si>
    <t>Profit</t>
  </si>
  <si>
    <t>Apr 2023 Sheetal HDFC = E 5000 @ 90.06 - Fees E35 (E 4965 = INR 447191)</t>
  </si>
  <si>
    <t>HDFC Top 100 Fund</t>
  </si>
  <si>
    <t>Quant Small Cap</t>
  </si>
  <si>
    <t>Dau</t>
  </si>
  <si>
    <t>Epam India: 1Apr20 till 30Nov2020 | 1Dec2020 : Epam Malaga</t>
  </si>
  <si>
    <t>1 Dec 2020 to 3 Nov 2022</t>
  </si>
  <si>
    <t>Cognizant Spain</t>
  </si>
  <si>
    <t>2245419</t>
  </si>
  <si>
    <t>Manager QA</t>
  </si>
  <si>
    <t>HRSSSpain@cognizant.com, HR-Spain@cognizant.com</t>
  </si>
  <si>
    <t>Cognizant Technology Solutions Spain SL | Address: Calle de María de Molina, 54, 1 planta, 28006 Madrid</t>
  </si>
  <si>
    <t xml:space="preserve"> 23J@</t>
  </si>
  <si>
    <t>Azure Login</t>
  </si>
  <si>
    <t>https://portal.azure.com/#home</t>
  </si>
  <si>
    <t>https://account.microsoft.com/</t>
  </si>
  <si>
    <t>May 2023</t>
  </si>
  <si>
    <t xml:space="preserve">Gmail Subject: : CDSL Consolidated Account Statement (CAS) across Mutual Funds </t>
  </si>
  <si>
    <t># High Level MF Details</t>
  </si>
  <si>
    <t>%</t>
  </si>
  <si>
    <t>Account</t>
  </si>
  <si>
    <t>Kids</t>
  </si>
  <si>
    <t>IIFL / ONE Focused Fund</t>
  </si>
  <si>
    <t>FolioNumber/ Ka@260488</t>
  </si>
  <si>
    <t>Last SIP Apr 2023…Why?</t>
  </si>
  <si>
    <t>offline MF not included in report</t>
  </si>
  <si>
    <t>Quant Small Cap Fund</t>
  </si>
  <si>
    <t>Jul 2023 Seema ICICI = E 4999 @ 90.66 - Fees E34 (E 4965 = INR 450165)</t>
  </si>
  <si>
    <t>Mob: 9899855865 | Alt gmail: seema</t>
  </si>
  <si>
    <t>Canara Robeco Mutual Fund</t>
  </si>
  <si>
    <t>Contact details</t>
  </si>
  <si>
    <t>eCAN MFUIndia Seema</t>
  </si>
  <si>
    <t>eCAN = 23216ZZ053</t>
  </si>
  <si>
    <t>CRF no: E23216000000592</t>
  </si>
  <si>
    <t>Bha…@1</t>
  </si>
  <si>
    <t>username= sheetal0123singh</t>
  </si>
  <si>
    <t>My Insta</t>
  </si>
  <si>
    <t>Handle = @_sheetal0123</t>
  </si>
  <si>
    <t>25J@</t>
  </si>
  <si>
    <t>or via Gmail SSO</t>
  </si>
  <si>
    <t>MFUIndia | eCAN</t>
  </si>
  <si>
    <t>Mob: 603785707</t>
  </si>
  <si>
    <t>OTP comes to Spain Mob</t>
  </si>
  <si>
    <t>Inv.Rate (Euro)</t>
  </si>
  <si>
    <t>C.Rate(euro)</t>
  </si>
  <si>
    <t>Txn2| 25 Aug 23 | 0.091 BTC @24430 EUR | Ref: E8J2QMW4FV</t>
  </si>
  <si>
    <t>Txn2| 25 Aug 23 | 1.433 ETH @1547 EUR | Ref: CESXZDMU7Z</t>
  </si>
  <si>
    <t>Txn1| 3Oct22 | 0.185ETH @1330 | Ref: 24E652ARXX</t>
  </si>
  <si>
    <t>Invest EUR</t>
  </si>
  <si>
    <t>Txn1| 3Oct22 | 0.0125BTC @19733 EUR | Ref: 5AEWPTHN9H</t>
  </si>
  <si>
    <t>Txn2| 25 Aug 23 | 10.21 ETH @19.30 EUR | Ref: UNZBNG2SKW</t>
  </si>
  <si>
    <t>mail2prithvik@gmail.com</t>
  </si>
  <si>
    <t>Ch...@123</t>
  </si>
  <si>
    <t>DOB: 2 Jan 2009</t>
  </si>
  <si>
    <t>Sept 2023: KYC not updated, SIP rejected</t>
  </si>
  <si>
    <t>https://mfs.kfintech.com/investor/Transact/ChangeFolioEmail</t>
  </si>
  <si>
    <t>Taken via ETMoney site with Seema gmail login</t>
  </si>
  <si>
    <t xml:space="preserve">Digi </t>
  </si>
  <si>
    <t>https://www.cvlkra.com/ &gt; KYC inquiry &gt; PAN</t>
  </si>
  <si>
    <t>https://www.karvykra.com/UPanSearchGlobalWithPanExempt.aspx  &gt; PAN</t>
  </si>
  <si>
    <t>https://validate.cvlindia.com/CVLKRAVerification_V1/</t>
  </si>
  <si>
    <t># How to check KYC Status | MF KRA Details</t>
  </si>
  <si>
    <t># KYC Validation  CVL</t>
  </si>
  <si>
    <t>Madrid</t>
  </si>
  <si>
    <t>House</t>
  </si>
  <si>
    <t>Wifi</t>
  </si>
  <si>
    <t>Elec</t>
  </si>
  <si>
    <t>Gas</t>
  </si>
  <si>
    <t>Total Fixed</t>
  </si>
  <si>
    <t>Grocery</t>
  </si>
  <si>
    <t>Gym/Activity</t>
  </si>
  <si>
    <t>Party</t>
  </si>
  <si>
    <t>Appx Expense</t>
  </si>
  <si>
    <t>Quant-Dynamic-Asset-Allocation-Fund Direct (ETMoney)</t>
  </si>
  <si>
    <t>Quant Small Cap Fund Direct (ETMoney)</t>
  </si>
  <si>
    <t>ETMoney Order No: 101-0110885-0001769</t>
  </si>
  <si>
    <t>ETMoney Order: 101-0061071-0001607</t>
  </si>
  <si>
    <t>ETMoney/ Seema Gmail</t>
  </si>
  <si>
    <t>Nov 2023</t>
  </si>
  <si>
    <t>KFinTech</t>
  </si>
  <si>
    <t>KRA</t>
  </si>
  <si>
    <t>7Feb, 10May, 10Jun || missed 4 mar/apr/sept/oct 2023</t>
  </si>
  <si>
    <t>Nov 2023 Sheetal HDFC = E 4000 @ 91.08 - Fees E26 (E 3974 = INR 3.62L)</t>
  </si>
  <si>
    <t>NPS PRAN</t>
  </si>
  <si>
    <t>BB</t>
  </si>
  <si>
    <t>SAT</t>
  </si>
  <si>
    <t>NIE/02******</t>
  </si>
  <si>
    <t xml:space="preserve">Ascending </t>
  </si>
  <si>
    <t>gmail / M@...</t>
  </si>
  <si>
    <t>1st Jan 2024</t>
  </si>
  <si>
    <t>https://www.mfuonline.com/onlineMfuPage?reqPageType=eCAN&amp;t=E</t>
  </si>
  <si>
    <t>sheetal / M123</t>
  </si>
  <si>
    <t>NIE / Mobile 707</t>
  </si>
  <si>
    <t>"Kavi@....</t>
  </si>
  <si>
    <t>d</t>
  </si>
  <si>
    <t>OTP to Jio Mobile …8640</t>
  </si>
  <si>
    <t>closed</t>
  </si>
  <si>
    <t>EPAM Stocks</t>
  </si>
  <si>
    <t>Seema Gmail</t>
  </si>
  <si>
    <t>ICICI Pru</t>
  </si>
  <si>
    <t>sheetal0123/K@25**</t>
  </si>
  <si>
    <t>Kotak MF</t>
  </si>
  <si>
    <t>43K</t>
  </si>
  <si>
    <t>9911872805 &gt; Email OTP &gt; MPIN</t>
  </si>
  <si>
    <t>MPIN:250113</t>
  </si>
  <si>
    <t>7011448640 &gt; Email &gt; MPIN</t>
  </si>
  <si>
    <t>Nomination</t>
  </si>
  <si>
    <t>Mirae</t>
  </si>
  <si>
    <t>PGIM</t>
  </si>
  <si>
    <t>Axis</t>
  </si>
  <si>
    <t>MFs Kuku</t>
  </si>
  <si>
    <t>MFs Papi</t>
  </si>
  <si>
    <t>5334524</t>
  </si>
  <si>
    <t>9102970414</t>
  </si>
  <si>
    <t>19914138621</t>
  </si>
  <si>
    <t>2108022731</t>
  </si>
  <si>
    <t>61069494</t>
  </si>
  <si>
    <t>gmail/M@123/Email OTP</t>
  </si>
  <si>
    <t>Nippon/Reliance MF</t>
  </si>
  <si>
    <t>Invesco MF</t>
  </si>
  <si>
    <t>BOI Bank Of India MF</t>
  </si>
  <si>
    <t>Gmail/Pr@DDMM</t>
  </si>
  <si>
    <t>CAMs</t>
  </si>
  <si>
    <t>ICICI MF</t>
  </si>
  <si>
    <t># Properties</t>
  </si>
  <si>
    <t>25 Gaj Land Najafgarg</t>
  </si>
  <si>
    <t>PDM 2BHK Flat</t>
  </si>
  <si>
    <t>28L</t>
  </si>
  <si>
    <t>10L</t>
  </si>
  <si>
    <t>38L</t>
  </si>
  <si>
    <t>Y2023</t>
  </si>
  <si>
    <t>investor.line@mutualfunds.hsbc.co.in</t>
  </si>
  <si>
    <t xml:space="preserve">	service@tataamc.com, info@tatamf.in</t>
  </si>
  <si>
    <t>Email Ref=009-103-272</t>
  </si>
  <si>
    <t>Tata MF (Prithvi)</t>
  </si>
  <si>
    <t>Yr</t>
  </si>
  <si>
    <t>20 Lac</t>
  </si>
  <si>
    <t>1.2 Cr</t>
  </si>
  <si>
    <t>12 Lac</t>
  </si>
  <si>
    <t>INR(Appx)</t>
  </si>
  <si>
    <t>#Rental</t>
  </si>
  <si>
    <t>Rent €</t>
  </si>
  <si>
    <t>Total €</t>
  </si>
  <si>
    <t>kuku</t>
  </si>
  <si>
    <t>papi</t>
  </si>
  <si>
    <t>Deposit</t>
  </si>
  <si>
    <t>603785707/M@123</t>
  </si>
  <si>
    <t>Client ID: YY6329 | zpin 1238 | tpin 63291238</t>
  </si>
  <si>
    <t>DMAT ID: 1208160005825830 , CDSL, Support Code: 1238 , CKYC No: 40095291005743</t>
  </si>
  <si>
    <t>Smallcase</t>
  </si>
  <si>
    <t>https://smallcase.zerodha.com/investments</t>
  </si>
  <si>
    <t>Zerodha Kite</t>
  </si>
  <si>
    <t>AppCode on Mobile/ OTP on EMAIL</t>
  </si>
  <si>
    <t>https://smallcase.zerodha.com/smallcase/SCNM_0025</t>
  </si>
  <si>
    <t>Electric Mobility</t>
  </si>
  <si>
    <t xml:space="preserve">EVs </t>
  </si>
  <si>
    <t>68K</t>
  </si>
  <si>
    <t>12.5% 6Y</t>
  </si>
  <si>
    <t>Gulaq Gear 6</t>
  </si>
  <si>
    <t>60% 4Y</t>
  </si>
  <si>
    <t>https://smallcase.zerodha.com/smallcase/ESTMO_0001</t>
  </si>
  <si>
    <t>Aggressive</t>
  </si>
  <si>
    <t>24K</t>
  </si>
  <si>
    <t>CAGR shows actual growth every year on average</t>
  </si>
  <si>
    <t xml:space="preserve">Abs Return just consider initial and final amt but don’t consider years </t>
  </si>
  <si>
    <t>(a-b)/b*100</t>
  </si>
  <si>
    <t>73% 3Y</t>
  </si>
  <si>
    <t>Defence</t>
  </si>
  <si>
    <t>Omni Bharat Defence</t>
  </si>
  <si>
    <t>#Subscribe Model</t>
  </si>
  <si>
    <t>Ka@25..</t>
  </si>
  <si>
    <t>CTS email Id</t>
  </si>
  <si>
    <t>sheetalsingh8  &gt; Authenticate via Authenticator &gt; Github section</t>
  </si>
  <si>
    <t>Super Multipliers</t>
  </si>
  <si>
    <t>115% 1Y</t>
  </si>
  <si>
    <t>8K</t>
  </si>
  <si>
    <t>Good stock which are cheap now</t>
  </si>
  <si>
    <t>Omni Bullet Train-Great Indian Railways</t>
  </si>
  <si>
    <t>70% 3Y</t>
  </si>
  <si>
    <t>30K</t>
  </si>
  <si>
    <t>Omni Power - Electrifying India</t>
  </si>
  <si>
    <t>25K</t>
  </si>
  <si>
    <t>infra</t>
  </si>
  <si>
    <t>54% 3Y</t>
  </si>
  <si>
    <t>Penny Stocks Gulluck with Midcap</t>
  </si>
  <si>
    <t>Low rate mid cap stock</t>
  </si>
  <si>
    <t>3K</t>
  </si>
  <si>
    <t>40% 2Y</t>
  </si>
  <si>
    <t>VALUE DEALS</t>
  </si>
  <si>
    <t>Collection of Few Undervalued Companies that are Fundamentally Very Strong.</t>
  </si>
  <si>
    <t>11K</t>
  </si>
  <si>
    <t>50% 3Y</t>
  </si>
  <si>
    <t>https://www.smallcase.com/discover/all?count=11&amp;public=true&amp;sortBy=threeYearCagr&amp;sortOrder=-1</t>
  </si>
  <si>
    <t>https://www.smallcase.com/discover/all?count=11&amp;private=true&amp;sortBy=threeYearCagr&amp;sortOrder=-1</t>
  </si>
  <si>
    <t>https://smallcase.zerodha.com/discover/all?count=11&amp;public=true</t>
  </si>
  <si>
    <t>Apr 2021</t>
  </si>
  <si>
    <t>XIRR=31% on Apr 2024</t>
  </si>
  <si>
    <t>https://smallcase.zerodha.com/details/60856fd0d4700d6039d8ce51</t>
  </si>
  <si>
    <t>Link</t>
  </si>
  <si>
    <t>Inv Date</t>
  </si>
  <si>
    <t>Electric Vehicles</t>
  </si>
  <si>
    <t>Investment Rs</t>
  </si>
  <si>
    <t>Sensex= 73800</t>
  </si>
  <si>
    <t>02 Apr 2024</t>
  </si>
  <si>
    <t>Domain</t>
  </si>
  <si>
    <t>Zerodha Small Case Stocks</t>
  </si>
  <si>
    <t>Total Amt Invested</t>
  </si>
  <si>
    <t>#Investments</t>
  </si>
  <si>
    <t>#Banks</t>
  </si>
  <si>
    <t>Kuku ICICI</t>
  </si>
  <si>
    <t>Check Diary</t>
  </si>
  <si>
    <t>Details</t>
  </si>
  <si>
    <t>SBI Joint</t>
  </si>
  <si>
    <t>Mine BBVA</t>
  </si>
  <si>
    <t>Mine HDFC NRE/NRO</t>
  </si>
  <si>
    <t>Kuku Santender</t>
  </si>
  <si>
    <t>Papi PPF</t>
  </si>
  <si>
    <t>Papi NPS</t>
  </si>
  <si>
    <t>Pr@ddmm</t>
  </si>
  <si>
    <t>Papi EPF</t>
  </si>
  <si>
    <t>Papi Zerodha</t>
  </si>
  <si>
    <t>login via Kite Zerodha</t>
  </si>
  <si>
    <t>Papi MFs</t>
  </si>
  <si>
    <t>Seema MFs</t>
  </si>
  <si>
    <t>Stocks + Smallcase (H9 cell). Check Excel &gt; "Zerodha" sheet</t>
  </si>
  <si>
    <t>20.6 stocks of EPAM. Appx value in Euro 4700 via UBS. (B36 cell)</t>
  </si>
  <si>
    <t>Coinbase Crypto</t>
  </si>
  <si>
    <t xml:space="preserve">PDM </t>
  </si>
  <si>
    <t>Appx 28Lac</t>
  </si>
  <si>
    <t>Plot</t>
  </si>
  <si>
    <t>25 Gaj Plot Njf</t>
  </si>
  <si>
    <t>Check Excel "MFs" sheet + (Money sheet &gt; H10 cell)</t>
  </si>
  <si>
    <t>Check Diary for PRAN number / Appx amt (Money sheet &gt; H7 cell)</t>
  </si>
  <si>
    <t>Crypto Coins</t>
  </si>
  <si>
    <t>Monitization shd be ON. Attached to HDFC Bank. https://studio.youtube.com/channel/UCntCj4e6tG0LKp9PcLC4uMg/monetization/overview</t>
  </si>
  <si>
    <t>Jim Corbett</t>
  </si>
  <si>
    <t>Various crypto coins purchased via Coinbase website. Check "Log" sheet for login. + "Coins" Sheet</t>
  </si>
  <si>
    <t>Nov 2020 to Dec 2023</t>
  </si>
  <si>
    <t>3.1 yr</t>
  </si>
  <si>
    <t>RZ-43, A – Block, Gali No 6, New Roshan Vihar, Phase – 2, Najafgarh, Delhi, India. PIN: 110043</t>
  </si>
  <si>
    <t xml:space="preserve">Malaga </t>
  </si>
  <si>
    <t xml:space="preserve">Madrid </t>
  </si>
  <si>
    <t>Calle Vigen De La Consolacion 10, Planta 1, Puerta 1, Madrid 28027</t>
  </si>
  <si>
    <t>Avenida de Europa, n3, 4K, CP 29003 Malaga Spain</t>
  </si>
  <si>
    <t>07 Nov 2022</t>
  </si>
  <si>
    <t>Malaga/Madrid</t>
  </si>
  <si>
    <t>Medical Malaga</t>
  </si>
  <si>
    <t>#SSY Sukanya</t>
  </si>
  <si>
    <t>Post Office Njf</t>
  </si>
  <si>
    <t>Rule: Pension will not get transfferred to other account and will not been visible in any statement. Pension will be received at the age of 58 and can be seen on special request to EPF dept.</t>
  </si>
  <si>
    <t>#EPF Employee Provident Fund</t>
  </si>
  <si>
    <t>#PPF Public Provident Fund</t>
  </si>
  <si>
    <t>Amt from last year</t>
  </si>
  <si>
    <t>PPF Calculation (Just For Example)</t>
  </si>
  <si>
    <t>General calculations (Just For Example)</t>
  </si>
  <si>
    <t>PPF in SBI Bank, attached to SBI Account (Money sheet &gt; H5 cell) + "PF" sheet</t>
  </si>
  <si>
    <t>Employee PPF, All previous companies epf attached to single UAN no.(Money sheet &gt; H6 cell) +  "PF" sheet</t>
  </si>
  <si>
    <t>#NPS National Pension Scheme</t>
  </si>
  <si>
    <t>Check "PF" sheet</t>
  </si>
  <si>
    <t>Sukanya</t>
  </si>
  <si>
    <t>K***@1</t>
  </si>
  <si>
    <t>https://www.moneycontrol.com/mutual-funds/nav/quant-large-cap-fund-direct-plan-growth/MES080</t>
  </si>
  <si>
    <t>https://www.moneycontrol.com/mutual-funds/nav/nippon-india-large-cap-fund-direct-plan-growth/MRC940</t>
  </si>
  <si>
    <t>https://www.moneycontrol.com/mutual-funds/nav/quant-small-cap-fund-direct-plan-growth/MES056</t>
  </si>
  <si>
    <t>https://www.moneycontrol.com/mutual-funds/nav/nippon-india-small-cap-fund/MRC587</t>
  </si>
  <si>
    <t>small</t>
  </si>
  <si>
    <t>large</t>
  </si>
  <si>
    <t>https://www.moneycontrol.com/mutual-funds/nav/quant-elss-tax-saver-fund-direct-plan-growth/MES037</t>
  </si>
  <si>
    <t>elss</t>
  </si>
  <si>
    <t>https://www.moneycontrol.com/mutual-funds/nav/sbi-long-term-equity-fund-direct-plan-growth/MSB499</t>
  </si>
  <si>
    <t>papa</t>
  </si>
  <si>
    <t>Quant</t>
  </si>
  <si>
    <t>SBI</t>
  </si>
  <si>
    <t>Apr 2024</t>
  </si>
  <si>
    <t>https://www.sbimf.com/</t>
  </si>
  <si>
    <t>K…..@....</t>
  </si>
  <si>
    <t>Papa</t>
  </si>
  <si>
    <t>Garvit</t>
  </si>
  <si>
    <t>Seema</t>
  </si>
  <si>
    <t>PAN/ K@25**</t>
  </si>
  <si>
    <t>2Lac</t>
  </si>
  <si>
    <t>3Lac</t>
  </si>
  <si>
    <t>https://invest.quantmutualfund.com/</t>
  </si>
  <si>
    <t>SBI Long Term Equity Fund ELSS (SBI Magnum Taxgain Scheme)</t>
  </si>
  <si>
    <t>https://www.sbimf.com/sbimf-scheme-details/sbi-long-term-equity-fund-(previously-known-as-sbi-magnum-taxgain-scheme)-3</t>
  </si>
  <si>
    <t>Quant ELSS Tax Saver Fund</t>
  </si>
  <si>
    <t>Error coming</t>
  </si>
  <si>
    <t>AUWPS0495H</t>
  </si>
  <si>
    <t>8th Dec 1954</t>
  </si>
  <si>
    <t>Not able to buy</t>
  </si>
  <si>
    <t>ETMoney</t>
  </si>
  <si>
    <t>https://montpellier-fefmont-madrid.educamos.com/DatosCentro/MisDatos/EditarDatosPersonalesPrimerAcceso</t>
  </si>
  <si>
    <t>9C7Rmkf5 / Ka@****</t>
  </si>
  <si>
    <t>Educamos MONTPELLIER School</t>
  </si>
  <si>
    <t>7 M</t>
  </si>
  <si>
    <t>Total Dec 2025</t>
  </si>
  <si>
    <t>13K/6month</t>
  </si>
  <si>
    <t>6K/6month</t>
  </si>
  <si>
    <t>https://smallcase.zerodha.com/smallcase/OMNNM_0012</t>
  </si>
  <si>
    <t>https://smallcase.zerodha.com/smallcase/PTDMO_0005</t>
  </si>
  <si>
    <t>Min Invt</t>
  </si>
  <si>
    <t>Fees</t>
  </si>
  <si>
    <t>Links</t>
  </si>
  <si>
    <t>2K/3month</t>
  </si>
  <si>
    <t>+34 603785707</t>
  </si>
  <si>
    <t xml:space="preserve"> +34 611465145</t>
  </si>
  <si>
    <t>+34 614374803</t>
  </si>
  <si>
    <t>"+91-7011448640</t>
  </si>
  <si>
    <t>"+91-9911872805</t>
  </si>
  <si>
    <t>Old Voda</t>
  </si>
  <si>
    <t>"+91 9899855865</t>
  </si>
  <si>
    <t>Dadu</t>
  </si>
  <si>
    <t>Sheetal</t>
  </si>
  <si>
    <t>Kavi Chiki</t>
  </si>
  <si>
    <t>Phone Numbers</t>
  </si>
  <si>
    <t>HDFC 4221</t>
  </si>
  <si>
    <t>1lac more</t>
  </si>
  <si>
    <t>required</t>
  </si>
  <si>
    <t>Green Energy</t>
  </si>
  <si>
    <t>78% 3Y</t>
  </si>
  <si>
    <t>90K</t>
  </si>
  <si>
    <t>Where</t>
  </si>
  <si>
    <t>Topic</t>
  </si>
  <si>
    <t>#Free Small Case</t>
  </si>
  <si>
    <t>Small Case  App</t>
  </si>
  <si>
    <t>https://omniscience.smallcase.com/smallcase/OMNNM_0002</t>
  </si>
  <si>
    <t>https://mfs.kfintech.com/Investor/General/ValidateKYC/</t>
  </si>
  <si>
    <t>Home Cost</t>
  </si>
  <si>
    <t>With Tax</t>
  </si>
  <si>
    <t>https://groww.in/calculators/emi-calculator</t>
  </si>
  <si>
    <t>EMI calculator</t>
  </si>
  <si>
    <t>EMI@2.4%15Y</t>
  </si>
  <si>
    <t>#Mortgage 1</t>
  </si>
  <si>
    <t>#Mortgage 2</t>
  </si>
  <si>
    <t>Interest Amt</t>
  </si>
  <si>
    <t>Next year Price Same</t>
  </si>
  <si>
    <t>Next Year Price Increase</t>
  </si>
  <si>
    <t>Loss of 5K</t>
  </si>
  <si>
    <t>Loss of 12K</t>
  </si>
  <si>
    <t>This Year</t>
  </si>
  <si>
    <t>This Year with Indian Saving</t>
  </si>
  <si>
    <t>8K Profit</t>
  </si>
  <si>
    <t>7 Lac</t>
  </si>
  <si>
    <t>Bank</t>
  </si>
  <si>
    <t>Home</t>
  </si>
  <si>
    <t>P1</t>
  </si>
  <si>
    <t>P2</t>
  </si>
  <si>
    <t>Self 250K + Same School</t>
  </si>
  <si>
    <t xml:space="preserve">Self 200K Home + Other School </t>
  </si>
  <si>
    <t>Other Areas</t>
  </si>
  <si>
    <t>Barrios</t>
  </si>
  <si>
    <t>Rental + Buy 200K</t>
  </si>
  <si>
    <t>Rental Income</t>
  </si>
  <si>
    <t>Start Search in Sept</t>
  </si>
  <si>
    <t>Areas</t>
  </si>
  <si>
    <t>Priority</t>
  </si>
  <si>
    <t>720 Euro</t>
  </si>
  <si>
    <t>920 Euro</t>
  </si>
  <si>
    <t>EMI 30 Yr(30KDeposit)</t>
  </si>
  <si>
    <t>"K@25..</t>
  </si>
  <si>
    <t>yes - July 2024</t>
  </si>
  <si>
    <t>"https://portal3.passportindia.gov.in/Online/index.html</t>
  </si>
  <si>
    <t>"https://portal2.passportindia.gov.in/AppOnlineProject/user/userLogin</t>
  </si>
  <si>
    <t>Passport Seva sheetal</t>
  </si>
  <si>
    <t>Passport Seva Seema</t>
  </si>
  <si>
    <t>Passport Seva Mom</t>
  </si>
  <si>
    <t>"147cmasharma@gmail.com</t>
  </si>
  <si>
    <t>Passport Seva at Indian Embassies</t>
  </si>
  <si>
    <t>"sheetal0123@gmail.com</t>
  </si>
  <si>
    <t>Overseas</t>
  </si>
  <si>
    <t>"https://visa.vfsglobal.com/esp/en/ind/login</t>
  </si>
  <si>
    <t>"M@123</t>
  </si>
  <si>
    <t>"My Gmail</t>
  </si>
  <si>
    <t>VFS Spain</t>
  </si>
  <si>
    <t>"Seema Gmail</t>
  </si>
  <si>
    <t>"Kaa@ddmmyy</t>
  </si>
  <si>
    <t>Concept Consultores</t>
  </si>
  <si>
    <t>Manages properties in Madrid, Fees 1 month Rent/tenant one time cost. To further manages day to day things they charge 5% of rent /month</t>
  </si>
  <si>
    <t xml:space="preserve">  +34-607705118
  +34-919386380</t>
  </si>
  <si>
    <t>Home visit 16, we discussed this aprtment with them</t>
  </si>
  <si>
    <t>Aditya Birla Sun Life Mutual Fund</t>
  </si>
  <si>
    <t>1017671668</t>
  </si>
  <si>
    <t>19030264</t>
  </si>
  <si>
    <t>Franklin Templeton Mutual Fund</t>
  </si>
  <si>
    <t>HSBC Mutual Fund / LnT (Kaavya)</t>
  </si>
  <si>
    <t>2800092</t>
  </si>
  <si>
    <t>3558205</t>
  </si>
  <si>
    <t>Surname is mis spelled</t>
  </si>
  <si>
    <t>Sundaram (Principal Tax Saving Direct)</t>
  </si>
  <si>
    <t>Fund House</t>
  </si>
  <si>
    <t xml:space="preserve">Login </t>
  </si>
  <si>
    <t>Folio No</t>
  </si>
  <si>
    <t>MFs Kids</t>
  </si>
  <si>
    <t>OM</t>
  </si>
  <si>
    <t>TODOs</t>
  </si>
  <si>
    <t>https://app.mfcentral.com/portal/home</t>
  </si>
  <si>
    <t>"PAN/Bha@25mmyy</t>
  </si>
  <si>
    <t>Login</t>
  </si>
  <si>
    <t>MFCentral Verified</t>
  </si>
  <si>
    <t>"sheetal0123/Bha…@123</t>
  </si>
  <si>
    <t>PAN| 01j@</t>
  </si>
  <si>
    <t>Tax Mom</t>
  </si>
  <si>
    <t>OLD Tax system is better</t>
  </si>
  <si>
    <t>Tax Papa</t>
  </si>
  <si>
    <t>"PAN/Bh****@1****</t>
  </si>
  <si>
    <t>New Tax system is better</t>
  </si>
  <si>
    <t>Refund: 1200 Fy2023-24</t>
  </si>
  <si>
    <t>"26A@</t>
  </si>
  <si>
    <t>"26a</t>
  </si>
  <si>
    <t>Tax Sheetal</t>
  </si>
  <si>
    <t>Redem Req: 565059754 / 2 Aug 2024</t>
  </si>
  <si>
    <t>Redeem 565075067 , 2 Aug 2024</t>
  </si>
  <si>
    <t>Axis Bluechip</t>
  </si>
  <si>
    <t>"PAN/Bha@123</t>
  </si>
  <si>
    <t>MFCentral - Seema</t>
  </si>
  <si>
    <t>Redeem req: 565220528 2 Aug 2024</t>
  </si>
  <si>
    <t>WayField</t>
  </si>
  <si>
    <t>27-28th July 2024</t>
  </si>
  <si>
    <t>Angle Investment</t>
  </si>
  <si>
    <t>Shares</t>
  </si>
  <si>
    <t>TBD</t>
  </si>
  <si>
    <t>WayFied</t>
  </si>
  <si>
    <t>LnT Tax Advantage Fund Growth (HSBC)</t>
  </si>
  <si>
    <t>#HDFC</t>
  </si>
  <si>
    <t>Total Cash</t>
  </si>
  <si>
    <t>Aug 2024 Money transferred to Kids Account</t>
  </si>
  <si>
    <t>Pending : 52K</t>
  </si>
  <si>
    <t>#Sinha</t>
  </si>
  <si>
    <t>My</t>
  </si>
  <si>
    <t>TODO</t>
  </si>
  <si>
    <t>Redeem on 26Aug 2024, Ref: 597973787</t>
  </si>
  <si>
    <t>Redeem on 26Aug 2024, Ref: 597977173</t>
  </si>
  <si>
    <t>Redeem on 26Aug 2024, Ref: 597979388</t>
  </si>
  <si>
    <t xml:space="preserve"> 79935497462</t>
  </si>
  <si>
    <t>Redeem on 26Aug 2024, Ref: 597985350</t>
  </si>
  <si>
    <t>Last SIP is on Apr 2023. I don’t know if its still deducting or not.There shd be no more units left in account.</t>
  </si>
  <si>
    <t>Redeem on 26Aug 2024, Ref: 597990427</t>
  </si>
  <si>
    <t>Canera Robeco (2 MF)</t>
  </si>
  <si>
    <t>Quant MF (2 MF)</t>
  </si>
  <si>
    <t>MFCentral - Sheetal</t>
  </si>
  <si>
    <t>#Mortgage Final</t>
  </si>
  <si>
    <t>Govt Tax 7%</t>
  </si>
  <si>
    <t>Agent Fees 5.4%</t>
  </si>
  <si>
    <t>Total Cost</t>
  </si>
  <si>
    <t>Owner Payment Done</t>
  </si>
  <si>
    <t>Agent Fees Paid</t>
  </si>
  <si>
    <t xml:space="preserve">10% of the home </t>
  </si>
  <si>
    <t>Mortgage 90%</t>
  </si>
  <si>
    <t>#Case 1</t>
  </si>
  <si>
    <t>interest/month</t>
  </si>
  <si>
    <t>1st Sept 2024</t>
  </si>
  <si>
    <t>1st Oct 2024</t>
  </si>
  <si>
    <t>Appx Required</t>
  </si>
  <si>
    <t>Home Modification</t>
  </si>
  <si>
    <t>Money Req while signing</t>
  </si>
  <si>
    <t>salary</t>
  </si>
  <si>
    <t>BBVA 15K Loan</t>
  </si>
  <si>
    <t>Santender 15K Loan</t>
  </si>
  <si>
    <t>Take from friends, pay next month with BBVA loan</t>
  </si>
  <si>
    <t>Take Euro and Pay in Rs to friends</t>
  </si>
  <si>
    <t>India MF</t>
  </si>
  <si>
    <t>Insurance</t>
  </si>
  <si>
    <t>per month</t>
  </si>
  <si>
    <t>#Gold</t>
  </si>
  <si>
    <t>Govt Fee Annual</t>
  </si>
  <si>
    <t>Real EMI</t>
  </si>
  <si>
    <t>#Case 2</t>
  </si>
  <si>
    <t>Santender @2.2% Fixed 25 Y</t>
  </si>
  <si>
    <t>Santender @2.5% Fixed 30 Y</t>
  </si>
  <si>
    <t>Principle Amt</t>
  </si>
  <si>
    <t>Community charges</t>
  </si>
  <si>
    <t>Real EMI (Rs)</t>
  </si>
  <si>
    <t>Extra Interest than case 1</t>
  </si>
  <si>
    <t>Principle %</t>
  </si>
  <si>
    <t>#Mortgage</t>
  </si>
  <si>
    <t>/month</t>
  </si>
  <si>
    <t>Tasacion</t>
  </si>
  <si>
    <t>Evaluation of house for Mortgage</t>
  </si>
  <si>
    <t>#Property Agencies</t>
  </si>
  <si>
    <t>Contacts</t>
  </si>
  <si>
    <t>Website</t>
  </si>
  <si>
    <t>SrNo.</t>
  </si>
  <si>
    <t>Amount</t>
  </si>
  <si>
    <t>mdaqa@tecnocasa.es</t>
  </si>
  <si>
    <t>jaime.mansanet.kiron@gmail.com</t>
  </si>
  <si>
    <t>#Transactions &amp; Other Details</t>
  </si>
  <si>
    <t>Booking Amount</t>
  </si>
  <si>
    <t>Tecnocasa presented our case to Owner and get approval</t>
  </si>
  <si>
    <t>CONTRATO DE ARRAS / EARNEST MONEY CONTRACT</t>
  </si>
  <si>
    <t>Tecnocasa Fees</t>
  </si>
  <si>
    <t>Total Paid</t>
  </si>
  <si>
    <t>Kiron</t>
  </si>
  <si>
    <t>La Escritura Copia</t>
  </si>
  <si>
    <t>Certificado de Libre de Deudas de la Comunidad de Propietarios</t>
  </si>
  <si>
    <t>Untimos dos recibos de la Comunidad</t>
  </si>
  <si>
    <t>Ultimo Recibo del IBI</t>
  </si>
  <si>
    <t xml:space="preserve">Redem Req: 565049355 / 2 Aug 2024, Email Ref: 03955883 </t>
  </si>
  <si>
    <t>Paid 52K to kids: Done</t>
  </si>
  <si>
    <t>7889578 &amp; 7888484</t>
  </si>
  <si>
    <t>Birla</t>
  </si>
  <si>
    <t>Mahindra</t>
  </si>
  <si>
    <t>IDFC</t>
  </si>
  <si>
    <t>Why two folio</t>
  </si>
  <si>
    <t>Kussu</t>
  </si>
  <si>
    <t>163449</t>
  </si>
  <si>
    <t>5818594</t>
  </si>
  <si>
    <t>79935497462</t>
  </si>
  <si>
    <t>Spouse Contact</t>
  </si>
  <si>
    <t>wagonr, kv3, mataro</t>
  </si>
  <si>
    <t>Kotak</t>
  </si>
  <si>
    <t>7288902</t>
  </si>
  <si>
    <t>Not in MF Central</t>
  </si>
  <si>
    <t>Papi is Primary Holder of Kotak</t>
  </si>
  <si>
    <t>Profit %</t>
  </si>
  <si>
    <t>Sept 2024</t>
  </si>
  <si>
    <t>Notes New</t>
  </si>
  <si>
    <t>Current EUR</t>
  </si>
  <si>
    <t>Staked %</t>
  </si>
  <si>
    <t xml:space="preserve">8 Sept 2024: Sold All @ €20.6 VZNAEK332W  </t>
  </si>
  <si>
    <t>Free % can be sold</t>
  </si>
  <si>
    <t>Received in A/c</t>
  </si>
  <si>
    <t>8 Sept: Should come in Wallet or bank</t>
  </si>
  <si>
    <t>Current Investment</t>
  </si>
  <si>
    <t>Txn1|29 Sept 2022 | 5.69c @ $34.64 | Ref: 7Y7RSJ2M8X</t>
  </si>
  <si>
    <t>Open A/c in Santender</t>
  </si>
  <si>
    <t>Tasacion 1 took all time</t>
  </si>
  <si>
    <t>Self Contact</t>
  </si>
  <si>
    <t>Nomination updated</t>
  </si>
  <si>
    <t>Profit%</t>
  </si>
  <si>
    <t>Note: Req on 5th Sept 2024: Mobile has been set as Spouse for all folios</t>
  </si>
  <si>
    <t>xxx805</t>
  </si>
  <si>
    <t>20 Sept: Ref: 637247785 Mobile Updated</t>
  </si>
  <si>
    <t>Already have another aditya birla</t>
  </si>
  <si>
    <t>Paypal Kuku</t>
  </si>
  <si>
    <t>Paypal Mine</t>
  </si>
  <si>
    <t>@sheetal0123</t>
  </si>
  <si>
    <t xml:space="preserve">Spain Mobile 707 + BBVA A/c </t>
  </si>
  <si>
    <t>Netflix</t>
  </si>
  <si>
    <t>M@***</t>
  </si>
  <si>
    <t>Username</t>
  </si>
  <si>
    <t>Password</t>
  </si>
  <si>
    <t>Govt</t>
  </si>
  <si>
    <t>Emails</t>
  </si>
  <si>
    <t>Finance</t>
  </si>
  <si>
    <t>Educational</t>
  </si>
  <si>
    <t>MCID:989801030  | Azure</t>
  </si>
  <si>
    <t xml:space="preserve">connected with </t>
  </si>
  <si>
    <t>+34-603785707</t>
  </si>
  <si>
    <t>Sara</t>
  </si>
  <si>
    <t>Notary 1</t>
  </si>
  <si>
    <t>CEKPS1177J</t>
  </si>
  <si>
    <t>CBEPS5188J</t>
  </si>
  <si>
    <t>Sept 2024: Sheetal/Seema: Mobile/Email Correct</t>
  </si>
  <si>
    <t>#KYC</t>
  </si>
  <si>
    <t>eCAN status eCAN 23216ZZ053 | CRF no: E23216000000592  | https://www.mfuonline.com/onlineMfuPage?reqPageType=eCAN&amp;t=E</t>
  </si>
  <si>
    <t>ecan status on hold quesry Ref.No. : 3224ZZ0000W | Date: 12 Aug 2023</t>
  </si>
  <si>
    <t>Seema eCAN: 23216ZZ053</t>
  </si>
  <si>
    <t># To create eCAN</t>
  </si>
  <si>
    <t>https://eurofidenotariosfuenlabrada.com/contacto/</t>
  </si>
  <si>
    <t>FEIN</t>
  </si>
  <si>
    <t>SAT Combined</t>
  </si>
  <si>
    <t>NIE / KuDDMMYY88</t>
  </si>
  <si>
    <t>Electronics Sign : K***26**</t>
  </si>
  <si>
    <t>Home Value @255K</t>
  </si>
  <si>
    <t>#Santendar</t>
  </si>
  <si>
    <t>kusu2604</t>
  </si>
  <si>
    <t xml:space="preserve">Application Number: 00494698202400798  </t>
  </si>
  <si>
    <t>FEIN application No: 661454</t>
  </si>
  <si>
    <t>Kaa@26******</t>
  </si>
  <si>
    <t>Batu Name+ kuku</t>
  </si>
  <si>
    <t>Recibio</t>
  </si>
  <si>
    <t>nerea@notariosdefuenlabrada.com</t>
  </si>
  <si>
    <t>Titulo De Propiedad (Property Title)</t>
  </si>
  <si>
    <t>Precio De Venta y Forma De Pago Del Precio</t>
  </si>
  <si>
    <t>Gastos</t>
  </si>
  <si>
    <t>A</t>
  </si>
  <si>
    <t>9th Oct 2024</t>
  </si>
  <si>
    <t>11th Aug 2024</t>
  </si>
  <si>
    <t>13th Oct 2024</t>
  </si>
  <si>
    <t>Refer Email for Details: Funds for Wayfield</t>
  </si>
  <si>
    <t>Given 6.5L INR to Parvinder as Angel Fund (iTrust friend)</t>
  </si>
  <si>
    <t>Redeem: 10 Oct 2024</t>
  </si>
  <si>
    <t>https://www.icicipruamc.com/sign-in</t>
  </si>
  <si>
    <t>http://www.altios.com/</t>
  </si>
  <si>
    <t>l.bolanos@despacho.notariado.org</t>
  </si>
  <si>
    <t>Lbolaños@notarialafasca88.com</t>
  </si>
  <si>
    <t>+34-915774787</t>
  </si>
  <si>
    <t>Notaria D. Andrés Domínguez Nafría y D. Francisco Miras Ortiz</t>
  </si>
  <si>
    <t>#Notary 2 - Salamanca Madrid City</t>
  </si>
  <si>
    <t>andresdominguez@notariado.org</t>
  </si>
  <si>
    <t>jmunoz@notarialagasca88.com</t>
  </si>
  <si>
    <t>fpgonzalez@despacho.notariado.org</t>
  </si>
  <si>
    <t>Address: Calle de Lagasca, 88, 8 Planta, Salamanca, 28001 Madrid</t>
  </si>
  <si>
    <t>Dial 1 &gt; Ext: 105</t>
  </si>
  <si>
    <t>lourdesmaria.carballeda@gruposantander.es</t>
  </si>
  <si>
    <t>#Tecnocasa</t>
  </si>
  <si>
    <t>#Notary 1 - Outside Madrid (Jorge Laura Notary)</t>
  </si>
  <si>
    <t>+34-914922910</t>
  </si>
  <si>
    <t>Fatima Perez (Prepare Mortgage Docs)</t>
  </si>
  <si>
    <t>#Home Details:</t>
  </si>
  <si>
    <t>Area</t>
  </si>
  <si>
    <t>4971609VK4747B0027AI</t>
  </si>
  <si>
    <t>REFERENCE CADASTRAL NUMBER</t>
  </si>
  <si>
    <t>MRS. MARÍA CONCEPCIÓN SANZ RODRÍGUEZ</t>
  </si>
  <si>
    <t>ES55 2100 0992 3113 0022 5611</t>
  </si>
  <si>
    <t>OWNER</t>
  </si>
  <si>
    <t>empestana@gruposantander.es</t>
  </si>
  <si>
    <t>Transactions</t>
  </si>
  <si>
    <t xml:space="preserve">Etheream </t>
  </si>
  <si>
    <t>22 Oct 2024: Sold E2500 Money @ E2436 Rate + E37 Fees</t>
  </si>
  <si>
    <t>Redeem Rate = Euro 2436</t>
  </si>
  <si>
    <t>In Bank</t>
  </si>
  <si>
    <t>All my invested amout 2500 Euro has been redeemed now ony profit left in account</t>
  </si>
  <si>
    <t>Sell Coins to EUR Wallet</t>
  </si>
  <si>
    <t>Withdraw cash &gt; EUR Wallet to Bank</t>
  </si>
  <si>
    <t>#How to redeem money</t>
  </si>
  <si>
    <t>#Documents</t>
  </si>
  <si>
    <t>Govt Tax 5.4%</t>
  </si>
  <si>
    <t>Notary + Registry + Gestion</t>
  </si>
  <si>
    <t>Technocasa = 8167 &amp; Kiron = 4000</t>
  </si>
  <si>
    <t>2.25 CR INR</t>
  </si>
  <si>
    <t>2 CR INR</t>
  </si>
  <si>
    <t>Owner</t>
  </si>
  <si>
    <t>Tecnocasa</t>
  </si>
  <si>
    <t>Final Signature</t>
  </si>
  <si>
    <t>Carpet = 48 m2 / Super Area = 55 m2 / 1961</t>
  </si>
  <si>
    <t>592 Ft2  | 66 Gaj | 55 m2</t>
  </si>
  <si>
    <t>Owner 10% Done</t>
  </si>
  <si>
    <t>https://www.magicbricks.com/square-feet-to-gaj-pppfa</t>
  </si>
  <si>
    <t>https://www.calculatorsoup.com/calculators/conversions/square-meters-to-square-feet.php</t>
  </si>
  <si>
    <t>#SrNo</t>
  </si>
  <si>
    <t>Amt (Euro)</t>
  </si>
  <si>
    <t>For Previous Mortgage if any</t>
  </si>
  <si>
    <t>Mgr: Ruben, Andrea</t>
  </si>
  <si>
    <t>Spanish Manager</t>
  </si>
  <si>
    <t>English Manager</t>
  </si>
  <si>
    <t>Discount = 1.1% Insurance | 0.2% Salary 1 | 0.2% Salary 2 | Total = 1.5%</t>
  </si>
  <si>
    <t>Santender @2.2% Fixed 25 Y | Real Fixed Interest = 3.7%</t>
  </si>
  <si>
    <t>Actual = 3.7 - 1.5 = 2.2%</t>
  </si>
  <si>
    <t>Delay =Euro 49/month &amp;  (2.2 + 3)= 5.2% rate</t>
  </si>
  <si>
    <t>Max delay of 1Y possible</t>
  </si>
  <si>
    <t>ITE (Spain Govt Building inspection every 10 Year)</t>
  </si>
  <si>
    <t>Last ITE</t>
  </si>
  <si>
    <t>Next = 2027</t>
  </si>
  <si>
    <t>Certificado Corriente De pago Communidad</t>
  </si>
  <si>
    <t>Building Admin NOC</t>
  </si>
  <si>
    <t>Building Admin</t>
  </si>
  <si>
    <t>ecmfincas@hotmail.com</t>
  </si>
  <si>
    <t>+34-622712319</t>
  </si>
  <si>
    <t>Mr. Eduardo / David(President)</t>
  </si>
  <si>
    <t>Tasacion (Home Market Value evaluation - by bank)</t>
  </si>
  <si>
    <t>Annual Spain Govt Tax appx 300</t>
  </si>
  <si>
    <t>Need to issue every 10 Year</t>
  </si>
  <si>
    <t>Certificado Energetico (2024)</t>
  </si>
  <si>
    <t>Nota Simple (List Of Owner)</t>
  </si>
  <si>
    <t>seema loved name@ddmmyy</t>
  </si>
  <si>
    <t>10 L</t>
  </si>
  <si>
    <t>0 L</t>
  </si>
  <si>
    <t>'26a@</t>
  </si>
  <si>
    <t>Scratch</t>
  </si>
  <si>
    <t>Amazon Papi</t>
  </si>
  <si>
    <t>Amazon Seema</t>
  </si>
  <si>
    <t>Officials/MS Microsofts/Apple/Xiomi</t>
  </si>
  <si>
    <t>Papi Gmail</t>
  </si>
  <si>
    <t>Papi Yahoo</t>
  </si>
  <si>
    <t>https://portal1 &amp; 2 are for India</t>
  </si>
  <si>
    <t>https://portal3 are for overseas</t>
  </si>
  <si>
    <t>Social Media / Entertainments/eCommerce/Travel</t>
  </si>
  <si>
    <t>Spain Specific</t>
  </si>
  <si>
    <t>Marriage Pune</t>
  </si>
  <si>
    <t>https://ssoidloginrajasthan.in/</t>
  </si>
  <si>
    <t>DOB Rajasthan</t>
  </si>
  <si>
    <t>Pune 160231289019  &gt; 4746</t>
  </si>
  <si>
    <t>Maharashtra Electricity</t>
  </si>
  <si>
    <t>IRCTC</t>
  </si>
  <si>
    <t>Edenred</t>
  </si>
  <si>
    <t>'https://dev.azure.com/sheetal0123/</t>
  </si>
  <si>
    <t>Bhabhiji</t>
  </si>
  <si>
    <t>SAT Kuku</t>
  </si>
  <si>
    <t>SAT mine</t>
  </si>
  <si>
    <t>Seema I</t>
  </si>
  <si>
    <t xml:space="preserve">H 2326 6890 493  </t>
  </si>
  <si>
    <t xml:space="preserve">SI Sheetal0123 </t>
  </si>
  <si>
    <t>'NIE/K@1</t>
  </si>
  <si>
    <t>IBAN Madrid Bianchi</t>
  </si>
  <si>
    <t>ICICI Prudential Life Insurance</t>
  </si>
  <si>
    <r>
      <t>4</t>
    </r>
    <r>
      <rPr>
        <vertAlign val="superscript"/>
        <sz val="11"/>
        <color theme="1"/>
        <rFont val="Calibri"/>
        <family val="2"/>
      </rPr>
      <t>th</t>
    </r>
    <r>
      <rPr>
        <sz val="11"/>
        <color rgb="FF000000"/>
        <rFont val="Calibri"/>
        <family val="2"/>
      </rPr>
      <t xml:space="preserve"> Floor</t>
    </r>
  </si>
  <si>
    <r>
      <t>6</t>
    </r>
    <r>
      <rPr>
        <vertAlign val="superscript"/>
        <sz val="11"/>
        <color theme="1"/>
        <rFont val="Calibri"/>
        <family val="2"/>
      </rPr>
      <t>th</t>
    </r>
    <r>
      <rPr>
        <sz val="11"/>
        <color rgb="FF000000"/>
        <rFont val="Calibri"/>
        <family val="2"/>
      </rPr>
      <t xml:space="preserve"> Floor</t>
    </r>
  </si>
  <si>
    <r>
      <t>8</t>
    </r>
    <r>
      <rPr>
        <vertAlign val="superscript"/>
        <sz val="11"/>
        <color theme="1"/>
        <rFont val="Calibri"/>
        <family val="2"/>
      </rPr>
      <t>th</t>
    </r>
    <r>
      <rPr>
        <sz val="11"/>
        <color rgb="FF000000"/>
        <rFont val="Calibri"/>
        <family val="2"/>
      </rPr>
      <t xml:space="preserve"> Floor</t>
    </r>
  </si>
  <si>
    <r>
      <t>10</t>
    </r>
    <r>
      <rPr>
        <vertAlign val="superscript"/>
        <sz val="11"/>
        <color theme="1"/>
        <rFont val="Calibri"/>
        <family val="2"/>
      </rPr>
      <t>th</t>
    </r>
    <r>
      <rPr>
        <sz val="11"/>
        <color rgb="FF000000"/>
        <rFont val="Calibri"/>
        <family val="2"/>
      </rPr>
      <t xml:space="preserve"> Floor</t>
    </r>
  </si>
  <si>
    <t>LIC took two month for survey</t>
  </si>
  <si>
    <t>Other Payments</t>
  </si>
  <si>
    <t>On Excavation</t>
  </si>
  <si>
    <t>Payment Cheque Numbers</t>
  </si>
  <si>
    <t>Downpayment: 4 Lac paid to LIC</t>
  </si>
  <si>
    <t>#Flat Details</t>
  </si>
  <si>
    <t>#Amount Details</t>
  </si>
  <si>
    <t xml:space="preserve">Rate </t>
  </si>
  <si>
    <t>#LIC</t>
  </si>
  <si>
    <t>User/pass: sheetal0123/ 23jan@...</t>
  </si>
  <si>
    <t>Email Ids</t>
  </si>
  <si>
    <t>#Email IDs</t>
  </si>
  <si>
    <t>RP of PDM</t>
  </si>
  <si>
    <t>ip.prabhushanti@gmail.com</t>
  </si>
  <si>
    <t>devumraoibc@gmail.com</t>
  </si>
  <si>
    <t>Devendra Umrao</t>
  </si>
  <si>
    <t>NCLT Approved PING Developer to start construction</t>
  </si>
  <si>
    <t>pdmlegalgroup@gmail.com</t>
  </si>
  <si>
    <t>PDM Legal Group</t>
  </si>
  <si>
    <t>Our association</t>
  </si>
  <si>
    <t>Vivek Goyal </t>
  </si>
  <si>
    <t>ARVINDK.KHOKHAR@gmail.com</t>
  </si>
  <si>
    <t>KAUSHIKVED2018@gmail.com</t>
  </si>
  <si>
    <t>Ved Prakash Kaushik</t>
  </si>
  <si>
    <t>Arvind Khokhar</t>
  </si>
  <si>
    <t>Vivek.HNG@gmail.com</t>
  </si>
  <si>
    <t>director@pingdevelopers.in</t>
  </si>
  <si>
    <t>PING Developer</t>
  </si>
  <si>
    <t>#Timelines</t>
  </si>
  <si>
    <t>#Santendar EMI</t>
  </si>
  <si>
    <t>First 6 months</t>
  </si>
  <si>
    <t>Mortgage Amount</t>
  </si>
  <si>
    <t>EMI Start Month</t>
  </si>
  <si>
    <t>Total EMI @2.2% 25Y</t>
  </si>
  <si>
    <t>Vodaphone India</t>
  </si>
  <si>
    <t>Vodaphone Spain</t>
  </si>
  <si>
    <t>+91-7011448640</t>
  </si>
  <si>
    <t>Calle de Torrelaguna 18,7D, Madrid, 28027</t>
  </si>
  <si>
    <t>https://www.codigospostales.com/28027</t>
  </si>
  <si>
    <t>https://www.codigospostales.com/28043</t>
  </si>
  <si>
    <t>Microsoft Account Laptop</t>
  </si>
  <si>
    <t>IKEA</t>
  </si>
  <si>
    <t>my email</t>
  </si>
  <si>
    <t>M@1**</t>
  </si>
  <si>
    <t>Spain mobile</t>
  </si>
  <si>
    <t xml:space="preserve">Kaavya/Prithvi Class Teacher </t>
  </si>
  <si>
    <t>Pie.txt &gt;  #School</t>
  </si>
  <si>
    <t>ENA241203165904164NNYDRWD4C5Z6AP</t>
  </si>
  <si>
    <t>ENACH ID</t>
  </si>
  <si>
    <t>Mandate Amount</t>
  </si>
  <si>
    <t>20Lac</t>
  </si>
  <si>
    <t>Mandate ID</t>
  </si>
  <si>
    <t>3rd Dec 2024</t>
  </si>
  <si>
    <t>Bank Return some money</t>
  </si>
  <si>
    <t>#Reforma / White goods Items</t>
  </si>
  <si>
    <t>Plumber</t>
  </si>
  <si>
    <t xml:space="preserve">White Goods </t>
  </si>
  <si>
    <t>Home Shopping</t>
  </si>
  <si>
    <t>Seguro Ins Mine</t>
  </si>
  <si>
    <t>Seguro Kuku</t>
  </si>
  <si>
    <t>Community Fee</t>
  </si>
  <si>
    <t>Note: update salary account</t>
  </si>
  <si>
    <t>50 paid to ex owner from BBVA bank on 3rd Dec 2024</t>
  </si>
  <si>
    <t>https://my.claimsolver.es/claims</t>
  </si>
  <si>
    <t>Santander Home Insurance</t>
  </si>
  <si>
    <t>NIE / S@ddmm</t>
  </si>
  <si>
    <t>'https://my.claimsolver.es/claims</t>
  </si>
  <si>
    <t>Agent</t>
  </si>
  <si>
    <t>INR 45 Lakh</t>
  </si>
  <si>
    <t>#High Level Transactions</t>
  </si>
  <si>
    <t>INR 20 Lac</t>
  </si>
  <si>
    <t>INR 11 Lac</t>
  </si>
  <si>
    <t>INR 13 Lac</t>
  </si>
  <si>
    <t>INR 45 Lac</t>
  </si>
  <si>
    <t>Home Cost + Other Expenses</t>
  </si>
  <si>
    <t>INR 2.30 Cr</t>
  </si>
  <si>
    <t>INR 2.00 Cr</t>
  </si>
  <si>
    <t>20% of overall amt paid</t>
  </si>
  <si>
    <t>INR 1.80 Cr</t>
  </si>
  <si>
    <t>Franklin India Technology Fund</t>
  </si>
  <si>
    <t>https://www.investwell.in/updation/parameter/par_scheme_factsheet.jsp?exlcode=414&amp;fscode=548</t>
  </si>
  <si>
    <t>https://www.investwell.in/updation/parameter/par_scheme_factsheet.jsp?exlcode=1261&amp;fscode=1708</t>
  </si>
  <si>
    <t xml:space="preserve">
Nippon India Banking &amp; Financial Services Fund</t>
  </si>
  <si>
    <t>Tata India Pharma &amp; HealthCare Fund Reg Plan</t>
  </si>
  <si>
    <t>https://www.investwell.in/updation/parameter/par_scheme_factsheet.jsp?exlcode=48816&amp;fscode=31350</t>
  </si>
  <si>
    <t>Tech MF = 13.5 Lac + Comm MF = 3 Lac</t>
  </si>
  <si>
    <t>Funds 01Jan2025</t>
  </si>
  <si>
    <t>Total MFs (INR)</t>
  </si>
  <si>
    <t>Total MFs (Euro)</t>
  </si>
  <si>
    <t>My HDFC Total</t>
  </si>
  <si>
    <t>XIRR = 20%</t>
  </si>
  <si>
    <t>SSS DISTRIBUTORS PRIVATE LIMITED</t>
  </si>
  <si>
    <t xml:space="preserve">Clinet ID: SHEET85 </t>
  </si>
  <si>
    <t>https://bsestarmf.in/</t>
  </si>
  <si>
    <t>1st Jan 2025</t>
  </si>
  <si>
    <t>MFs (Final Amt)</t>
  </si>
  <si>
    <t>Oct 2024</t>
  </si>
  <si>
    <t>Paid Amt</t>
  </si>
  <si>
    <t>Email: Sandeep | Euro 6500.00</t>
  </si>
  <si>
    <t>Paid Date</t>
  </si>
  <si>
    <t>Balance Amt euro 3550 appx</t>
  </si>
  <si>
    <t>Current Value Jan 2025</t>
  </si>
  <si>
    <t>E14800</t>
  </si>
  <si>
    <t>"See..@ddmmyy</t>
  </si>
  <si>
    <t>New Password</t>
  </si>
  <si>
    <t>Current value = 4649</t>
  </si>
  <si>
    <t>Gain = $ negative</t>
  </si>
  <si>
    <t>Invested 01Jan 2025</t>
  </si>
  <si>
    <t># SPAIN ( in Euros)</t>
  </si>
  <si>
    <t>+52 Lac</t>
  </si>
  <si>
    <t>+20 Lac</t>
  </si>
  <si>
    <t>+12 Lac</t>
  </si>
  <si>
    <t>+3 Lac</t>
  </si>
  <si>
    <t>+40 Lac</t>
  </si>
  <si>
    <t>+32 Lac</t>
  </si>
  <si>
    <t>K@ddmmyy</t>
  </si>
  <si>
    <t>daughter</t>
  </si>
  <si>
    <t>eSign nomination pending</t>
  </si>
  <si>
    <t>Appx balance left 3550 euro (G66 Cell)</t>
  </si>
  <si>
    <t>Appx 27 Lac (J61 Cell)</t>
  </si>
  <si>
    <t>God Is Great</t>
  </si>
  <si>
    <t>#My Wish</t>
  </si>
  <si>
    <t>https://nainitalcorbetttourism.com/garjia-temple.html</t>
  </si>
  <si>
    <t>Garjia Temple Re-Visit (ribbon for all 4 kidos). Ramnagar</t>
  </si>
  <si>
    <t>Madrid Home</t>
  </si>
  <si>
    <t>45L INR Deposit</t>
  </si>
  <si>
    <t>Joint Santander</t>
  </si>
  <si>
    <t>#Money Over the Year</t>
  </si>
  <si>
    <t>#INDIA</t>
  </si>
  <si>
    <t>1.1 Cr</t>
  </si>
  <si>
    <t>74 Lac</t>
  </si>
  <si>
    <t>35 Lac</t>
  </si>
  <si>
    <t>55 Lac</t>
  </si>
  <si>
    <t>67 Lac</t>
  </si>
  <si>
    <t>70 Lac</t>
  </si>
  <si>
    <t>Total INR</t>
  </si>
  <si>
    <t>My Bank (BBVA Other)</t>
  </si>
  <si>
    <t>Home Down Payment</t>
  </si>
  <si>
    <t>Total EURO</t>
  </si>
  <si>
    <t>Total INR Conv</t>
  </si>
  <si>
    <t>FINAL TOTAL INR</t>
  </si>
  <si>
    <t>Y2024</t>
  </si>
  <si>
    <t>Spain</t>
  </si>
  <si>
    <t>SBI E6500 + Fees E87 @82.31 (E6587 = 511483)</t>
  </si>
  <si>
    <t>EUR</t>
  </si>
  <si>
    <t>#Expenses in Spain</t>
  </si>
  <si>
    <t>#Bank FDs</t>
  </si>
  <si>
    <t>#EPAM Stock Option</t>
  </si>
  <si>
    <t>#WayField</t>
  </si>
  <si>
    <t>#YouTube</t>
  </si>
  <si>
    <t>#Money Lend</t>
  </si>
  <si>
    <t>23j@  | Ka@ddmmyy</t>
  </si>
  <si>
    <t>+91 99118 72805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</si>
</sst>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4009]0%"/>
    <numFmt numFmtId="165" formatCode="[$-4009]#,##0"/>
    <numFmt numFmtId="166" formatCode="d&quot; &quot;mmm&quot; &quot;yy"/>
    <numFmt numFmtId="167" formatCode="[$-4009]dd/mm/yyyy"/>
    <numFmt numFmtId="168" formatCode="[$-4009]General"/>
    <numFmt numFmtId="169" formatCode="[$Rs.-4009]#,##0.00;[Red]&quot;-&quot;[$Rs.-4009]#,##0.00"/>
    <numFmt numFmtId="170" formatCode="[$-4009]0.00%"/>
    <numFmt numFmtId="171" formatCode="[$-4009]d&quot; &quot;mmm&quot; &quot;yy"/>
    <numFmt numFmtId="172" formatCode="[$-409]mmm\-yy;@"/>
    <numFmt numFmtId="173" formatCode="0.0%"/>
    <numFmt numFmtId="174" formatCode="0.0"/>
    <numFmt numFmtId="175" formatCode="#,##0;[Red]#,##0"/>
  </numFmts>
  <fonts count="13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1"/>
    </font>
    <font>
      <u/>
      <sz val="11"/>
      <color rgb="FF0000FF"/>
      <name val="Calibri1"/>
    </font>
    <font>
      <b/>
      <i/>
      <sz val="16"/>
      <color theme="1"/>
      <name val="Arial"/>
      <family val="2"/>
    </font>
    <font>
      <b/>
      <i/>
      <u/>
      <sz val="11"/>
      <color theme="1"/>
      <name val="Arial"/>
      <family val="2"/>
    </font>
    <font>
      <b/>
      <sz val="8"/>
      <color rgb="FF000000"/>
      <name val="Calibri1"/>
    </font>
    <font>
      <sz val="8"/>
      <color rgb="FF000000"/>
      <name val="Calibri1"/>
    </font>
    <font>
      <b/>
      <sz val="9"/>
      <color rgb="FF000000"/>
      <name val="Calibri1"/>
    </font>
    <font>
      <b/>
      <sz val="11"/>
      <color rgb="FF000000"/>
      <name val="Calibri1"/>
    </font>
    <font>
      <sz val="9"/>
      <color rgb="FF000000"/>
      <name val="Calibri1"/>
    </font>
    <font>
      <sz val="8"/>
      <color rgb="FF0E406F"/>
      <name val="Verdana"/>
      <family val="2"/>
    </font>
    <font>
      <b/>
      <sz val="8"/>
      <color rgb="FF0E406F"/>
      <name val="Verdana"/>
      <family val="2"/>
    </font>
    <font>
      <b/>
      <sz val="8"/>
      <color theme="1"/>
      <name val="Verdana"/>
      <family val="2"/>
    </font>
    <font>
      <sz val="8"/>
      <color theme="1"/>
      <name val="Verdana"/>
      <family val="2"/>
    </font>
    <font>
      <b/>
      <sz val="8"/>
      <color theme="5" tint="-0.249977111117893"/>
      <name val="Verdana"/>
      <family val="2"/>
    </font>
    <font>
      <i/>
      <sz val="8"/>
      <color rgb="FF0E406F"/>
      <name val="Verdana"/>
      <family val="2"/>
    </font>
    <font>
      <b/>
      <sz val="8"/>
      <color theme="9" tint="-0.499984740745262"/>
      <name val="Verdana"/>
      <family val="2"/>
    </font>
    <font>
      <b/>
      <sz val="8"/>
      <color rgb="FFFF0000"/>
      <name val="Verdana"/>
      <family val="2"/>
    </font>
    <font>
      <vertAlign val="superscript"/>
      <sz val="7.5"/>
      <color rgb="FF1F497D"/>
      <name val="Times New Roman"/>
      <family val="1"/>
    </font>
    <font>
      <sz val="11"/>
      <color rgb="FF1F497D"/>
      <name val="Times New Roman"/>
      <family val="1"/>
    </font>
    <font>
      <sz val="8"/>
      <color rgb="FF000000"/>
      <name val="Verdana"/>
      <family val="2"/>
    </font>
    <font>
      <b/>
      <sz val="8"/>
      <color rgb="FF000000"/>
      <name val="Verdana"/>
      <family val="2"/>
    </font>
    <font>
      <sz val="8"/>
      <color rgb="FFFF0000"/>
      <name val="Verdana"/>
      <family val="2"/>
    </font>
    <font>
      <u/>
      <sz val="11"/>
      <color theme="10"/>
      <name val="Arial"/>
      <family val="2"/>
    </font>
    <font>
      <b/>
      <sz val="11"/>
      <color theme="1"/>
      <name val="Calibri"/>
      <family val="2"/>
      <scheme val="minor"/>
    </font>
    <font>
      <b/>
      <sz val="8"/>
      <color rgb="FF00B050"/>
      <name val="Verdana"/>
      <family val="2"/>
    </font>
    <font>
      <b/>
      <sz val="11"/>
      <color theme="0"/>
      <name val="Calibri"/>
      <family val="2"/>
      <scheme val="minor"/>
    </font>
    <font>
      <sz val="11"/>
      <color theme="1"/>
      <name val="Calibri Light"/>
      <family val="2"/>
      <scheme val="major"/>
    </font>
    <font>
      <b/>
      <sz val="11"/>
      <color theme="1"/>
      <name val="Calibri Light"/>
      <family val="2"/>
      <scheme val="major"/>
    </font>
    <font>
      <b/>
      <sz val="11"/>
      <color rgb="FF000000"/>
      <name val="Calibri"/>
      <family val="2"/>
    </font>
    <font>
      <sz val="11"/>
      <color rgb="FF000000"/>
      <name val="Calibri"/>
      <family val="2"/>
    </font>
    <font>
      <sz val="11"/>
      <color theme="1"/>
      <name val="Abadi"/>
      <family val="2"/>
    </font>
    <font>
      <b/>
      <sz val="11"/>
      <color theme="1"/>
      <name val="Abadi"/>
      <family val="2"/>
    </font>
    <font>
      <b/>
      <sz val="20"/>
      <color theme="1"/>
      <name val="Abadi"/>
      <family val="2"/>
    </font>
    <font>
      <b/>
      <sz val="20"/>
      <color theme="1"/>
      <name val="Arial"/>
      <family val="2"/>
    </font>
    <font>
      <b/>
      <sz val="12"/>
      <color theme="1"/>
      <name val="Arial"/>
      <family val="2"/>
    </font>
    <font>
      <sz val="12"/>
      <color rgb="FF000000"/>
      <name val="Abadi"/>
      <family val="2"/>
    </font>
    <font>
      <b/>
      <sz val="12"/>
      <color rgb="FF000000"/>
      <name val="Abadi"/>
      <family val="2"/>
    </font>
    <font>
      <b/>
      <sz val="11"/>
      <color rgb="FF0E406F"/>
      <name val="Verdana"/>
      <family val="2"/>
    </font>
    <font>
      <b/>
      <sz val="11"/>
      <color theme="1"/>
      <name val="Arial"/>
      <family val="2"/>
    </font>
    <font>
      <b/>
      <sz val="8"/>
      <color rgb="FFFF0000"/>
      <name val="Calibri1"/>
    </font>
    <font>
      <sz val="12"/>
      <color theme="1"/>
      <name val="Calibri"/>
      <family val="2"/>
    </font>
    <font>
      <sz val="12"/>
      <color rgb="FF333333"/>
      <name val="Arial"/>
      <family val="2"/>
    </font>
    <font>
      <b/>
      <sz val="12"/>
      <color theme="1"/>
      <name val="Calibri"/>
      <family val="2"/>
      <scheme val="minor"/>
    </font>
    <font>
      <b/>
      <sz val="11"/>
      <color theme="1"/>
      <name val="Calibri"/>
      <family val="2"/>
    </font>
    <font>
      <sz val="11"/>
      <color theme="1"/>
      <name val="Calibri"/>
      <family val="2"/>
    </font>
    <font>
      <u/>
      <sz val="11"/>
      <color theme="10"/>
      <name val="Calibri"/>
      <family val="2"/>
    </font>
    <font>
      <sz val="12"/>
      <color rgb="FF222222"/>
      <name val="Calibri"/>
      <family val="2"/>
    </font>
    <font>
      <sz val="11"/>
      <color theme="1"/>
      <name val="Aptos Mono"/>
      <family val="3"/>
    </font>
    <font>
      <b/>
      <sz val="11"/>
      <color theme="1"/>
      <name val="Aptos Mono"/>
      <family val="3"/>
    </font>
    <font>
      <i/>
      <u/>
      <sz val="11"/>
      <color theme="1"/>
      <name val="Calibri"/>
      <family val="2"/>
      <scheme val="minor"/>
    </font>
    <font>
      <sz val="12"/>
      <color theme="1"/>
      <name val="Calibri"/>
      <family val="2"/>
      <scheme val="minor"/>
    </font>
    <font>
      <sz val="12"/>
      <color theme="1"/>
      <name val="Arial"/>
      <family val="2"/>
    </font>
    <font>
      <b/>
      <sz val="12"/>
      <color rgb="FF000000"/>
      <name val="Calibri1"/>
    </font>
    <font>
      <sz val="11"/>
      <color rgb="FF000000"/>
      <name val="Calibri"/>
      <family val="2"/>
      <scheme val="minor"/>
    </font>
    <font>
      <b/>
      <sz val="11"/>
      <color rgb="FF000000"/>
      <name val="Calibri"/>
      <family val="2"/>
      <scheme val="minor"/>
    </font>
    <font>
      <b/>
      <sz val="14"/>
      <color theme="1"/>
      <name val="Calibri"/>
      <family val="2"/>
      <scheme val="minor"/>
    </font>
    <font>
      <sz val="11"/>
      <color theme="1"/>
      <name val="Aptos ExtraBold"/>
      <family val="2"/>
    </font>
    <font>
      <sz val="14"/>
      <color theme="1"/>
      <name val="Aptos ExtraBold"/>
      <family val="2"/>
    </font>
    <font>
      <b/>
      <sz val="10"/>
      <color theme="1"/>
      <name val="Arial"/>
      <family val="2"/>
    </font>
    <font>
      <sz val="12"/>
      <color rgb="FF33DBB3"/>
      <name val="Montserrat-Medium"/>
    </font>
    <font>
      <b/>
      <sz val="16"/>
      <color theme="1"/>
      <name val="Aptos Mono"/>
      <family val="3"/>
    </font>
    <font>
      <b/>
      <sz val="12"/>
      <color theme="1"/>
      <name val="Calibri"/>
      <family val="2"/>
    </font>
    <font>
      <sz val="14"/>
      <color theme="1"/>
      <name val="Calibri"/>
      <family val="2"/>
    </font>
    <font>
      <b/>
      <sz val="14"/>
      <color theme="1"/>
      <name val="Calibri"/>
      <family val="2"/>
    </font>
    <font>
      <vertAlign val="superscript"/>
      <sz val="11"/>
      <color theme="1"/>
      <name val="Calibri"/>
      <family val="2"/>
    </font>
    <font>
      <sz val="12"/>
      <color rgb="FF000000"/>
      <name val="Calibri"/>
      <family val="2"/>
    </font>
    <font>
      <b/>
      <sz val="16"/>
      <color theme="1"/>
      <name val="Calibri"/>
      <family val="2"/>
      <scheme val="minor"/>
    </font>
  </fonts>
  <fills count="41">
    <fill>
      <patternFill patternType="none"/>
    </fill>
    <fill>
      <patternFill patternType="gray125"/>
    </fill>
    <fill>
      <patternFill patternType="solid">
        <fgColor rgb="FFE7E6E6"/>
        <bgColor rgb="FFE7E6E6"/>
      </patternFill>
    </fill>
    <fill>
      <patternFill patternType="solid">
        <fgColor rgb="FFFFFF00"/>
        <bgColor rgb="FFFFFF00"/>
      </patternFill>
    </fill>
    <fill>
      <patternFill patternType="solid">
        <fgColor theme="0" tint="-0.14999847407452621"/>
        <bgColor indexed="64"/>
      </patternFill>
    </fill>
    <fill>
      <patternFill patternType="solid">
        <fgColor rgb="FFEEEEEE"/>
        <bgColor rgb="FFEEEEEE"/>
      </patternFill>
    </fill>
    <fill>
      <patternFill patternType="solid">
        <fgColor theme="9" tint="0.59999389629810485"/>
        <bgColor rgb="FFCCCCFF"/>
      </patternFill>
    </fill>
    <fill>
      <patternFill patternType="solid">
        <fgColor rgb="FFFF99FF"/>
        <bgColor rgb="FFFF99FF"/>
      </patternFill>
    </fill>
    <fill>
      <patternFill patternType="solid">
        <fgColor rgb="FFCCCCFF"/>
        <bgColor rgb="FFCCCCFF"/>
      </patternFill>
    </fill>
    <fill>
      <patternFill patternType="solid">
        <fgColor rgb="FFCCCC99"/>
        <bgColor rgb="FFCCCC99"/>
      </patternFill>
    </fill>
    <fill>
      <patternFill patternType="solid">
        <fgColor rgb="FFB3B163"/>
        <bgColor rgb="FFCCCC99"/>
      </patternFill>
    </fill>
    <fill>
      <patternFill patternType="solid">
        <fgColor theme="7"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bgColor rgb="FFEEEEEE"/>
      </patternFill>
    </fill>
    <fill>
      <patternFill patternType="solid">
        <fgColor theme="7"/>
        <bgColor rgb="FFFFCC00"/>
      </patternFill>
    </fill>
    <fill>
      <patternFill patternType="solid">
        <fgColor theme="2"/>
        <bgColor indexed="64"/>
      </patternFill>
    </fill>
    <fill>
      <patternFill patternType="solid">
        <fgColor theme="8"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bgColor indexed="64"/>
      </patternFill>
    </fill>
    <fill>
      <patternFill patternType="solid">
        <fgColor rgb="FF92D050"/>
        <bgColor rgb="FFCCCC99"/>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theme="9" tint="-0.249977111117893"/>
        <bgColor indexed="64"/>
      </patternFill>
    </fill>
    <fill>
      <patternFill patternType="solid">
        <fgColor rgb="FF64F232"/>
        <bgColor indexed="64"/>
      </patternFill>
    </fill>
    <fill>
      <patternFill patternType="solid">
        <fgColor rgb="FFEB43D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rgb="FF92D050"/>
        <bgColor rgb="FFD9D9D9"/>
      </patternFill>
    </fill>
    <fill>
      <patternFill patternType="solid">
        <fgColor theme="4" tint="-0.249977111117893"/>
        <bgColor indexed="64"/>
      </patternFill>
    </fill>
  </fills>
  <borders count="3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rgb="FF000000"/>
      </left>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168" fontId="65" fillId="0" borderId="0"/>
    <xf numFmtId="168" fontId="64" fillId="0" borderId="0"/>
    <xf numFmtId="0" fontId="66" fillId="0" borderId="0">
      <alignment horizontal="center"/>
    </xf>
    <xf numFmtId="0" fontId="66" fillId="0" borderId="0">
      <alignment horizontal="center" textRotation="90"/>
    </xf>
    <xf numFmtId="0" fontId="67" fillId="0" borderId="0"/>
    <xf numFmtId="169" fontId="67" fillId="0" borderId="0"/>
    <xf numFmtId="0" fontId="86" fillId="0" borderId="0" applyNumberFormat="0" applyFill="0" applyBorder="0" applyAlignment="0" applyProtection="0"/>
  </cellStyleXfs>
  <cellXfs count="634">
    <xf numFmtId="0" fontId="0" fillId="0" borderId="0" xfId="0"/>
    <xf numFmtId="168" fontId="69" fillId="0" borderId="0" xfId="2" applyFont="1"/>
    <xf numFmtId="168" fontId="64" fillId="0" borderId="0" xfId="2"/>
    <xf numFmtId="168" fontId="71" fillId="0" borderId="0" xfId="2" applyFont="1"/>
    <xf numFmtId="168" fontId="68" fillId="0" borderId="0" xfId="2" applyFont="1"/>
    <xf numFmtId="168" fontId="68" fillId="2" borderId="0" xfId="2" applyFont="1" applyFill="1"/>
    <xf numFmtId="166" fontId="69" fillId="0" borderId="0" xfId="2" applyNumberFormat="1" applyFont="1"/>
    <xf numFmtId="167" fontId="69" fillId="0" borderId="0" xfId="2" applyNumberFormat="1" applyFont="1"/>
    <xf numFmtId="165" fontId="69" fillId="0" borderId="0" xfId="2" applyNumberFormat="1" applyFont="1"/>
    <xf numFmtId="164" fontId="69" fillId="0" borderId="0" xfId="2" applyNumberFormat="1" applyFont="1"/>
    <xf numFmtId="168" fontId="72" fillId="0" borderId="0" xfId="2" applyFont="1"/>
    <xf numFmtId="0" fontId="63" fillId="0" borderId="0" xfId="0" applyFont="1"/>
    <xf numFmtId="168" fontId="73" fillId="5" borderId="1" xfId="2" applyFont="1" applyFill="1" applyBorder="1" applyAlignment="1">
      <alignment horizontal="left"/>
    </xf>
    <xf numFmtId="168" fontId="73" fillId="5" borderId="2" xfId="2" applyFont="1" applyFill="1" applyBorder="1" applyAlignment="1">
      <alignment horizontal="left"/>
    </xf>
    <xf numFmtId="168" fontId="73" fillId="5" borderId="3" xfId="2" applyFont="1" applyFill="1" applyBorder="1" applyAlignment="1">
      <alignment horizontal="left"/>
    </xf>
    <xf numFmtId="168" fontId="73" fillId="0" borderId="0" xfId="2" applyFont="1" applyAlignment="1">
      <alignment horizontal="left"/>
    </xf>
    <xf numFmtId="168" fontId="73" fillId="5" borderId="4" xfId="2" applyFont="1" applyFill="1" applyBorder="1" applyAlignment="1">
      <alignment horizontal="left"/>
    </xf>
    <xf numFmtId="168" fontId="73" fillId="5" borderId="0" xfId="2" applyFont="1" applyFill="1" applyAlignment="1">
      <alignment horizontal="left"/>
    </xf>
    <xf numFmtId="168" fontId="73" fillId="5" borderId="5" xfId="2" applyFont="1" applyFill="1" applyBorder="1" applyAlignment="1">
      <alignment horizontal="left"/>
    </xf>
    <xf numFmtId="168" fontId="74" fillId="6" borderId="0" xfId="2" applyFont="1" applyFill="1" applyAlignment="1">
      <alignment horizontal="left"/>
    </xf>
    <xf numFmtId="168" fontId="75" fillId="7" borderId="0" xfId="2" applyFont="1" applyFill="1" applyAlignment="1">
      <alignment horizontal="left"/>
    </xf>
    <xf numFmtId="168" fontId="73" fillId="5" borderId="0" xfId="2" applyFont="1" applyFill="1" applyAlignment="1">
      <alignment horizontal="center"/>
    </xf>
    <xf numFmtId="168" fontId="73" fillId="5" borderId="5" xfId="2" applyFont="1" applyFill="1" applyBorder="1" applyAlignment="1">
      <alignment horizontal="center"/>
    </xf>
    <xf numFmtId="168" fontId="73" fillId="6" borderId="0" xfId="2" applyFont="1" applyFill="1" applyAlignment="1">
      <alignment horizontal="left"/>
    </xf>
    <xf numFmtId="168" fontId="76" fillId="7" borderId="0" xfId="2" applyFont="1" applyFill="1" applyAlignment="1">
      <alignment horizontal="left"/>
    </xf>
    <xf numFmtId="168" fontId="73" fillId="5" borderId="0" xfId="2" applyFont="1" applyFill="1" applyAlignment="1">
      <alignment horizontal="right"/>
    </xf>
    <xf numFmtId="0" fontId="0" fillId="5" borderId="0" xfId="0" applyFill="1"/>
    <xf numFmtId="0" fontId="0" fillId="5" borderId="5" xfId="0" applyFill="1" applyBorder="1"/>
    <xf numFmtId="168" fontId="64" fillId="0" borderId="0" xfId="2" applyAlignment="1">
      <alignment horizontal="left"/>
    </xf>
    <xf numFmtId="168" fontId="73" fillId="8" borderId="4" xfId="2" applyFont="1" applyFill="1" applyBorder="1" applyAlignment="1">
      <alignment horizontal="left"/>
    </xf>
    <xf numFmtId="168" fontId="73" fillId="8" borderId="0" xfId="2" applyFont="1" applyFill="1" applyAlignment="1">
      <alignment horizontal="left"/>
    </xf>
    <xf numFmtId="168" fontId="73" fillId="8" borderId="5" xfId="2" applyFont="1" applyFill="1" applyBorder="1" applyAlignment="1">
      <alignment horizontal="left"/>
    </xf>
    <xf numFmtId="168" fontId="74" fillId="5" borderId="5" xfId="2" applyFont="1" applyFill="1" applyBorder="1" applyAlignment="1">
      <alignment horizontal="left"/>
    </xf>
    <xf numFmtId="0" fontId="0" fillId="5" borderId="4" xfId="0" applyFill="1" applyBorder="1"/>
    <xf numFmtId="168" fontId="74" fillId="5" borderId="0" xfId="2" applyFont="1" applyFill="1" applyAlignment="1">
      <alignment horizontal="right"/>
    </xf>
    <xf numFmtId="168" fontId="73" fillId="5" borderId="5" xfId="2" applyFont="1" applyFill="1" applyBorder="1" applyAlignment="1">
      <alignment horizontal="right"/>
    </xf>
    <xf numFmtId="0" fontId="0" fillId="5" borderId="6" xfId="0" applyFill="1" applyBorder="1"/>
    <xf numFmtId="0" fontId="0" fillId="5" borderId="7" xfId="0" applyFill="1" applyBorder="1"/>
    <xf numFmtId="168" fontId="73" fillId="5" borderId="7" xfId="2" applyFont="1" applyFill="1" applyBorder="1" applyAlignment="1">
      <alignment horizontal="right"/>
    </xf>
    <xf numFmtId="168" fontId="73" fillId="5" borderId="8" xfId="2" applyFont="1" applyFill="1" applyBorder="1" applyAlignment="1">
      <alignment horizontal="right"/>
    </xf>
    <xf numFmtId="168" fontId="73" fillId="0" borderId="0" xfId="2" applyFont="1"/>
    <xf numFmtId="168" fontId="74" fillId="9" borderId="0" xfId="2" applyFont="1" applyFill="1"/>
    <xf numFmtId="168" fontId="73" fillId="9" borderId="0" xfId="2" applyFont="1" applyFill="1" applyAlignment="1">
      <alignment horizontal="left"/>
    </xf>
    <xf numFmtId="168" fontId="73" fillId="9" borderId="0" xfId="2" applyFont="1" applyFill="1"/>
    <xf numFmtId="170" fontId="73" fillId="0" borderId="0" xfId="2" applyNumberFormat="1" applyFont="1"/>
    <xf numFmtId="168" fontId="74" fillId="9" borderId="0" xfId="2" applyFont="1" applyFill="1" applyAlignment="1">
      <alignment horizontal="left"/>
    </xf>
    <xf numFmtId="168" fontId="74" fillId="9" borderId="0" xfId="2" applyFont="1" applyFill="1" applyAlignment="1">
      <alignment horizontal="center"/>
    </xf>
    <xf numFmtId="170" fontId="64" fillId="0" borderId="0" xfId="2" applyNumberFormat="1"/>
    <xf numFmtId="168" fontId="73" fillId="9" borderId="0" xfId="2" applyFont="1" applyFill="1" applyAlignment="1">
      <alignment horizontal="right"/>
    </xf>
    <xf numFmtId="168" fontId="77" fillId="9" borderId="0" xfId="2" applyFont="1" applyFill="1" applyAlignment="1">
      <alignment horizontal="center"/>
    </xf>
    <xf numFmtId="168" fontId="73" fillId="8" borderId="6" xfId="2" applyFont="1" applyFill="1" applyBorder="1" applyAlignment="1">
      <alignment horizontal="left"/>
    </xf>
    <xf numFmtId="168" fontId="74" fillId="8" borderId="7" xfId="2" applyFont="1" applyFill="1" applyBorder="1" applyAlignment="1">
      <alignment horizontal="left"/>
    </xf>
    <xf numFmtId="168" fontId="73" fillId="8" borderId="8" xfId="2" applyFont="1" applyFill="1" applyBorder="1" applyAlignment="1">
      <alignment horizontal="left"/>
    </xf>
    <xf numFmtId="168" fontId="78" fillId="9" borderId="0" xfId="2" applyFont="1" applyFill="1"/>
    <xf numFmtId="168" fontId="79" fillId="9" borderId="0" xfId="2" applyFont="1" applyFill="1" applyAlignment="1">
      <alignment horizontal="center"/>
    </xf>
    <xf numFmtId="168" fontId="74" fillId="10" borderId="0" xfId="2" applyFont="1" applyFill="1"/>
    <xf numFmtId="168" fontId="64" fillId="9" borderId="0" xfId="2" applyFill="1"/>
    <xf numFmtId="168" fontId="74" fillId="9" borderId="0" xfId="2" applyFont="1" applyFill="1" applyAlignment="1">
      <alignment horizontal="right"/>
    </xf>
    <xf numFmtId="168" fontId="64" fillId="9" borderId="0" xfId="2" applyFill="1" applyAlignment="1">
      <alignment horizontal="center"/>
    </xf>
    <xf numFmtId="0" fontId="0" fillId="9" borderId="0" xfId="0" applyFill="1"/>
    <xf numFmtId="168" fontId="80" fillId="9" borderId="0" xfId="2" applyFont="1" applyFill="1" applyAlignment="1">
      <alignment horizontal="center"/>
    </xf>
    <xf numFmtId="168" fontId="80" fillId="9" borderId="0" xfId="2" applyFont="1" applyFill="1" applyAlignment="1">
      <alignment horizontal="right"/>
    </xf>
    <xf numFmtId="172" fontId="72" fillId="0" borderId="0" xfId="2" applyNumberFormat="1" applyFont="1"/>
    <xf numFmtId="0" fontId="0" fillId="0" borderId="9" xfId="0" applyBorder="1"/>
    <xf numFmtId="168" fontId="84" fillId="0" borderId="0" xfId="2" applyFont="1"/>
    <xf numFmtId="168" fontId="83" fillId="11" borderId="0" xfId="2" applyFont="1" applyFill="1"/>
    <xf numFmtId="168" fontId="85" fillId="11" borderId="0" xfId="2" applyFont="1" applyFill="1"/>
    <xf numFmtId="168" fontId="84" fillId="11" borderId="0" xfId="2" applyFont="1" applyFill="1"/>
    <xf numFmtId="168" fontId="64" fillId="11" borderId="0" xfId="2" applyFill="1"/>
    <xf numFmtId="168" fontId="84" fillId="0" borderId="0" xfId="2" applyFont="1" applyAlignment="1">
      <alignment horizontal="left"/>
    </xf>
    <xf numFmtId="168" fontId="83" fillId="11" borderId="0" xfId="2" applyFont="1" applyFill="1" applyAlignment="1">
      <alignment horizontal="left"/>
    </xf>
    <xf numFmtId="168" fontId="84" fillId="11" borderId="0" xfId="2" applyFont="1" applyFill="1" applyAlignment="1">
      <alignment horizontal="left"/>
    </xf>
    <xf numFmtId="168" fontId="64" fillId="11" borderId="0" xfId="2" applyFill="1" applyAlignment="1">
      <alignment horizontal="left"/>
    </xf>
    <xf numFmtId="0" fontId="0" fillId="0" borderId="0" xfId="0" applyAlignment="1">
      <alignment horizontal="left"/>
    </xf>
    <xf numFmtId="168" fontId="73" fillId="5" borderId="0" xfId="2" quotePrefix="1" applyFont="1" applyFill="1" applyAlignment="1">
      <alignment horizontal="right"/>
    </xf>
    <xf numFmtId="168" fontId="73" fillId="5" borderId="0" xfId="2" quotePrefix="1" applyFont="1" applyFill="1" applyAlignment="1">
      <alignment horizontal="left"/>
    </xf>
    <xf numFmtId="168" fontId="74" fillId="5" borderId="0" xfId="2" applyFont="1" applyFill="1" applyAlignment="1">
      <alignment horizontal="left"/>
    </xf>
    <xf numFmtId="168" fontId="72" fillId="0" borderId="9" xfId="2" applyFont="1" applyBorder="1"/>
    <xf numFmtId="168" fontId="70" fillId="0" borderId="9" xfId="2" applyFont="1" applyBorder="1"/>
    <xf numFmtId="172" fontId="72" fillId="0" borderId="9" xfId="2" applyNumberFormat="1" applyFont="1" applyBorder="1"/>
    <xf numFmtId="168" fontId="88" fillId="9" borderId="0" xfId="2" applyFont="1" applyFill="1"/>
    <xf numFmtId="168" fontId="83" fillId="11" borderId="9" xfId="2" applyFont="1" applyFill="1" applyBorder="1" applyAlignment="1">
      <alignment horizontal="left"/>
    </xf>
    <xf numFmtId="168" fontId="84" fillId="11" borderId="9" xfId="2" applyFont="1" applyFill="1" applyBorder="1" applyAlignment="1">
      <alignment horizontal="left"/>
    </xf>
    <xf numFmtId="1" fontId="72" fillId="0" borderId="0" xfId="2" applyNumberFormat="1" applyFont="1"/>
    <xf numFmtId="168" fontId="72" fillId="0" borderId="0" xfId="2" applyFont="1" applyAlignment="1">
      <alignment horizontal="center"/>
    </xf>
    <xf numFmtId="168" fontId="72" fillId="0" borderId="9" xfId="2" quotePrefix="1" applyFont="1" applyBorder="1" applyAlignment="1">
      <alignment horizontal="center"/>
    </xf>
    <xf numFmtId="173" fontId="72" fillId="0" borderId="9" xfId="2" applyNumberFormat="1" applyFont="1" applyBorder="1" applyAlignment="1">
      <alignment horizontal="center"/>
    </xf>
    <xf numFmtId="0" fontId="0" fillId="0" borderId="0" xfId="0" applyAlignment="1">
      <alignment horizontal="center"/>
    </xf>
    <xf numFmtId="0" fontId="90" fillId="0" borderId="0" xfId="0" applyFont="1"/>
    <xf numFmtId="0" fontId="62" fillId="0" borderId="0" xfId="0" applyFont="1"/>
    <xf numFmtId="0" fontId="87" fillId="0" borderId="0" xfId="0" applyFont="1"/>
    <xf numFmtId="0" fontId="91" fillId="0" borderId="0" xfId="0" applyFont="1"/>
    <xf numFmtId="168" fontId="74" fillId="17" borderId="0" xfId="2" applyFont="1" applyFill="1" applyAlignment="1">
      <alignment horizontal="right"/>
    </xf>
    <xf numFmtId="168" fontId="74" fillId="18" borderId="5" xfId="2" applyFont="1" applyFill="1" applyBorder="1" applyAlignment="1">
      <alignment horizontal="left"/>
    </xf>
    <xf numFmtId="0" fontId="86" fillId="0" borderId="0" xfId="7"/>
    <xf numFmtId="168" fontId="93" fillId="0" borderId="9" xfId="2" applyFont="1" applyBorder="1" applyAlignment="1">
      <alignment horizontal="left"/>
    </xf>
    <xf numFmtId="168" fontId="93" fillId="0" borderId="9" xfId="2" applyFont="1" applyBorder="1"/>
    <xf numFmtId="171" fontId="93" fillId="0" borderId="9" xfId="2" applyNumberFormat="1" applyFont="1" applyBorder="1"/>
    <xf numFmtId="168" fontId="93" fillId="0" borderId="9" xfId="2" applyFont="1" applyBorder="1" applyAlignment="1">
      <alignment horizontal="right"/>
    </xf>
    <xf numFmtId="171" fontId="93" fillId="0" borderId="9" xfId="2" applyNumberFormat="1" applyFont="1" applyBorder="1" applyAlignment="1">
      <alignment horizontal="right"/>
    </xf>
    <xf numFmtId="3" fontId="93" fillId="0" borderId="9" xfId="2" applyNumberFormat="1" applyFont="1" applyBorder="1"/>
    <xf numFmtId="168" fontId="93" fillId="13" borderId="9" xfId="2" applyFont="1" applyFill="1" applyBorder="1" applyAlignment="1">
      <alignment horizontal="right"/>
    </xf>
    <xf numFmtId="3" fontId="92" fillId="0" borderId="9" xfId="2" applyNumberFormat="1" applyFont="1" applyBorder="1"/>
    <xf numFmtId="168" fontId="74" fillId="9" borderId="9" xfId="2" applyFont="1" applyFill="1" applyBorder="1" applyAlignment="1">
      <alignment horizontal="center" vertical="center"/>
    </xf>
    <xf numFmtId="168" fontId="74" fillId="9" borderId="9" xfId="2" applyFont="1" applyFill="1" applyBorder="1"/>
    <xf numFmtId="0" fontId="94" fillId="0" borderId="0" xfId="0" applyFont="1"/>
    <xf numFmtId="0" fontId="61" fillId="0" borderId="0" xfId="0" quotePrefix="1" applyFont="1"/>
    <xf numFmtId="49" fontId="0" fillId="0" borderId="0" xfId="0" applyNumberFormat="1"/>
    <xf numFmtId="49" fontId="61" fillId="0" borderId="9" xfId="0" quotePrefix="1" applyNumberFormat="1" applyFont="1" applyBorder="1" applyAlignment="1">
      <alignment horizontal="left"/>
    </xf>
    <xf numFmtId="0" fontId="89" fillId="20" borderId="9" xfId="0" quotePrefix="1" applyFont="1" applyFill="1" applyBorder="1"/>
    <xf numFmtId="49" fontId="89" fillId="20" borderId="9" xfId="0" quotePrefix="1" applyNumberFormat="1" applyFont="1" applyFill="1" applyBorder="1"/>
    <xf numFmtId="0" fontId="61" fillId="4" borderId="9" xfId="0" quotePrefix="1" applyFont="1" applyFill="1" applyBorder="1"/>
    <xf numFmtId="49" fontId="61" fillId="4" borderId="9" xfId="0" quotePrefix="1" applyNumberFormat="1" applyFont="1" applyFill="1" applyBorder="1" applyAlignment="1">
      <alignment horizontal="left"/>
    </xf>
    <xf numFmtId="0" fontId="89" fillId="20" borderId="9" xfId="0" quotePrefix="1" applyFont="1" applyFill="1" applyBorder="1" applyAlignment="1">
      <alignment horizontal="center"/>
    </xf>
    <xf numFmtId="0" fontId="61" fillId="4" borderId="9" xfId="0" quotePrefix="1" applyFont="1" applyFill="1" applyBorder="1" applyAlignment="1">
      <alignment horizontal="center"/>
    </xf>
    <xf numFmtId="17" fontId="61" fillId="0" borderId="9" xfId="0" quotePrefix="1" applyNumberFormat="1" applyFont="1" applyBorder="1" applyAlignment="1">
      <alignment horizontal="center"/>
    </xf>
    <xf numFmtId="17" fontId="61" fillId="4" borderId="9" xfId="0" quotePrefix="1" applyNumberFormat="1" applyFont="1" applyFill="1" applyBorder="1" applyAlignment="1">
      <alignment horizontal="center"/>
    </xf>
    <xf numFmtId="0" fontId="61" fillId="0" borderId="9" xfId="0" quotePrefix="1" applyFont="1" applyBorder="1" applyAlignment="1">
      <alignment horizontal="center"/>
    </xf>
    <xf numFmtId="0" fontId="89" fillId="20" borderId="9" xfId="0" quotePrefix="1" applyFont="1" applyFill="1" applyBorder="1" applyAlignment="1">
      <alignment horizontal="right" vertical="center"/>
    </xf>
    <xf numFmtId="0" fontId="61" fillId="4" borderId="9" xfId="0" quotePrefix="1" applyFont="1" applyFill="1" applyBorder="1" applyAlignment="1">
      <alignment horizontal="right" vertical="center"/>
    </xf>
    <xf numFmtId="0" fontId="61" fillId="0" borderId="9" xfId="0" quotePrefix="1" applyFont="1" applyBorder="1" applyAlignment="1">
      <alignment horizontal="right" vertical="center"/>
    </xf>
    <xf numFmtId="0" fontId="0" fillId="0" borderId="0" xfId="0" applyAlignment="1">
      <alignment horizontal="right" vertical="center"/>
    </xf>
    <xf numFmtId="0" fontId="87" fillId="0" borderId="9" xfId="0" quotePrefix="1" applyFont="1" applyBorder="1"/>
    <xf numFmtId="0" fontId="59" fillId="0" borderId="9" xfId="0" quotePrefix="1" applyFont="1" applyBorder="1"/>
    <xf numFmtId="15" fontId="94" fillId="0" borderId="9" xfId="0" applyNumberFormat="1" applyFont="1" applyBorder="1"/>
    <xf numFmtId="0" fontId="94" fillId="0" borderId="9" xfId="0" applyFont="1" applyBorder="1"/>
    <xf numFmtId="0" fontId="95" fillId="19" borderId="9" xfId="0" applyFont="1" applyFill="1" applyBorder="1"/>
    <xf numFmtId="0" fontId="96" fillId="0" borderId="0" xfId="0" applyFont="1"/>
    <xf numFmtId="0" fontId="97" fillId="0" borderId="0" xfId="0" applyFont="1"/>
    <xf numFmtId="0" fontId="98" fillId="22" borderId="9" xfId="0" applyFont="1" applyFill="1" applyBorder="1"/>
    <xf numFmtId="17" fontId="59" fillId="19" borderId="9" xfId="0" quotePrefix="1" applyNumberFormat="1" applyFont="1" applyFill="1" applyBorder="1" applyAlignment="1">
      <alignment horizontal="center"/>
    </xf>
    <xf numFmtId="0" fontId="87" fillId="4" borderId="9" xfId="0" quotePrefix="1" applyFont="1" applyFill="1" applyBorder="1"/>
    <xf numFmtId="17" fontId="94" fillId="0" borderId="9" xfId="0" applyNumberFormat="1" applyFont="1" applyBorder="1"/>
    <xf numFmtId="49" fontId="87" fillId="0" borderId="0" xfId="0" applyNumberFormat="1" applyFont="1"/>
    <xf numFmtId="0" fontId="95" fillId="12" borderId="9" xfId="0" applyFont="1" applyFill="1" applyBorder="1"/>
    <xf numFmtId="0" fontId="94" fillId="0" borderId="9" xfId="0" quotePrefix="1" applyFont="1" applyBorder="1"/>
    <xf numFmtId="0" fontId="0" fillId="0" borderId="0" xfId="0" quotePrefix="1"/>
    <xf numFmtId="0" fontId="95" fillId="13" borderId="9" xfId="0" applyFont="1" applyFill="1" applyBorder="1"/>
    <xf numFmtId="0" fontId="94" fillId="0" borderId="9" xfId="0" applyFont="1" applyBorder="1" applyAlignment="1">
      <alignment horizontal="center"/>
    </xf>
    <xf numFmtId="168" fontId="99" fillId="0" borderId="9" xfId="2" applyFont="1" applyBorder="1"/>
    <xf numFmtId="168" fontId="100" fillId="12" borderId="9" xfId="2" applyFont="1" applyFill="1" applyBorder="1" applyAlignment="1">
      <alignment horizontal="center"/>
    </xf>
    <xf numFmtId="168" fontId="69" fillId="0" borderId="0" xfId="2" applyFont="1" applyAlignment="1">
      <alignment horizontal="center"/>
    </xf>
    <xf numFmtId="0" fontId="0" fillId="0" borderId="9" xfId="0" applyBorder="1" applyAlignment="1">
      <alignment horizontal="center"/>
    </xf>
    <xf numFmtId="0" fontId="57" fillId="0" borderId="9" xfId="0" quotePrefix="1" applyFont="1" applyBorder="1" applyAlignment="1">
      <alignment horizontal="center"/>
    </xf>
    <xf numFmtId="168" fontId="74" fillId="5" borderId="2" xfId="2" applyFont="1" applyFill="1" applyBorder="1" applyAlignment="1">
      <alignment horizontal="left"/>
    </xf>
    <xf numFmtId="168" fontId="74" fillId="8" borderId="0" xfId="2" applyFont="1" applyFill="1" applyAlignment="1">
      <alignment horizontal="left"/>
    </xf>
    <xf numFmtId="168" fontId="101" fillId="8" borderId="0" xfId="2" applyFont="1" applyFill="1" applyAlignment="1">
      <alignment horizontal="left"/>
    </xf>
    <xf numFmtId="168" fontId="74" fillId="8" borderId="11" xfId="2" applyFont="1" applyFill="1" applyBorder="1" applyAlignment="1">
      <alignment horizontal="left"/>
    </xf>
    <xf numFmtId="168" fontId="74" fillId="8" borderId="12" xfId="2" applyFont="1" applyFill="1" applyBorder="1" applyAlignment="1">
      <alignment horizontal="left"/>
    </xf>
    <xf numFmtId="168" fontId="64" fillId="8" borderId="13" xfId="2" applyFill="1" applyBorder="1"/>
    <xf numFmtId="168" fontId="73" fillId="8" borderId="17" xfId="2" applyFont="1" applyFill="1" applyBorder="1" applyAlignment="1">
      <alignment horizontal="left"/>
    </xf>
    <xf numFmtId="168" fontId="73" fillId="8" borderId="18" xfId="2" applyFont="1" applyFill="1" applyBorder="1" applyAlignment="1">
      <alignment horizontal="left"/>
    </xf>
    <xf numFmtId="168" fontId="74" fillId="8" borderId="17" xfId="2" applyFont="1" applyFill="1" applyBorder="1" applyAlignment="1">
      <alignment horizontal="left"/>
    </xf>
    <xf numFmtId="168" fontId="74" fillId="8" borderId="18" xfId="2" applyFont="1" applyFill="1" applyBorder="1" applyAlignment="1">
      <alignment horizontal="left"/>
    </xf>
    <xf numFmtId="168" fontId="73" fillId="8" borderId="14" xfId="2" applyFont="1" applyFill="1" applyBorder="1" applyAlignment="1">
      <alignment horizontal="left"/>
    </xf>
    <xf numFmtId="168" fontId="74" fillId="8" borderId="15" xfId="2" applyFont="1" applyFill="1" applyBorder="1" applyAlignment="1">
      <alignment horizontal="left"/>
    </xf>
    <xf numFmtId="168" fontId="73" fillId="8" borderId="16" xfId="2" applyFont="1" applyFill="1" applyBorder="1" applyAlignment="1">
      <alignment horizontal="left"/>
    </xf>
    <xf numFmtId="168" fontId="74" fillId="8" borderId="19" xfId="2" applyFont="1" applyFill="1" applyBorder="1" applyAlignment="1">
      <alignment horizontal="left"/>
    </xf>
    <xf numFmtId="168" fontId="64" fillId="8" borderId="18" xfId="2" applyFill="1" applyBorder="1"/>
    <xf numFmtId="0" fontId="0" fillId="8" borderId="17" xfId="0" applyFill="1" applyBorder="1"/>
    <xf numFmtId="0" fontId="0" fillId="8" borderId="0" xfId="0" applyFill="1"/>
    <xf numFmtId="0" fontId="0" fillId="8" borderId="18" xfId="0" applyFill="1" applyBorder="1"/>
    <xf numFmtId="168" fontId="101" fillId="8" borderId="15" xfId="2" applyFont="1" applyFill="1" applyBorder="1" applyAlignment="1">
      <alignment horizontal="left"/>
    </xf>
    <xf numFmtId="0" fontId="0" fillId="0" borderId="9" xfId="0" applyBorder="1" applyAlignment="1">
      <alignment horizontal="left"/>
    </xf>
    <xf numFmtId="0" fontId="95" fillId="19" borderId="9" xfId="0" applyFont="1" applyFill="1" applyBorder="1" applyAlignment="1">
      <alignment horizontal="left"/>
    </xf>
    <xf numFmtId="0" fontId="95" fillId="19" borderId="9" xfId="0" applyFont="1" applyFill="1" applyBorder="1" applyAlignment="1">
      <alignment horizontal="right"/>
    </xf>
    <xf numFmtId="0" fontId="94" fillId="0" borderId="9" xfId="0" applyFont="1" applyBorder="1" applyAlignment="1">
      <alignment horizontal="right"/>
    </xf>
    <xf numFmtId="0" fontId="94" fillId="0" borderId="20" xfId="0" quotePrefix="1" applyFont="1" applyBorder="1"/>
    <xf numFmtId="168" fontId="100" fillId="24" borderId="9" xfId="2" applyFont="1" applyFill="1" applyBorder="1"/>
    <xf numFmtId="168" fontId="70" fillId="12" borderId="9" xfId="2" applyFont="1" applyFill="1" applyBorder="1"/>
    <xf numFmtId="168" fontId="72" fillId="26" borderId="9" xfId="2" applyFont="1" applyFill="1" applyBorder="1"/>
    <xf numFmtId="172" fontId="72" fillId="26" borderId="9" xfId="2" quotePrefix="1" applyNumberFormat="1" applyFont="1" applyFill="1" applyBorder="1"/>
    <xf numFmtId="172" fontId="72" fillId="26" borderId="9" xfId="2" applyNumberFormat="1" applyFont="1" applyFill="1" applyBorder="1"/>
    <xf numFmtId="168" fontId="72" fillId="26" borderId="9" xfId="2" quotePrefix="1" applyFont="1" applyFill="1" applyBorder="1"/>
    <xf numFmtId="1" fontId="70" fillId="16" borderId="9" xfId="2" applyNumberFormat="1" applyFont="1" applyFill="1" applyBorder="1" applyAlignment="1">
      <alignment horizontal="right"/>
    </xf>
    <xf numFmtId="168" fontId="103" fillId="0" borderId="0" xfId="2" applyFont="1"/>
    <xf numFmtId="168" fontId="103" fillId="0" borderId="0" xfId="2" quotePrefix="1" applyFont="1"/>
    <xf numFmtId="168" fontId="74" fillId="27" borderId="0" xfId="2" applyFont="1" applyFill="1" applyAlignment="1">
      <alignment horizontal="right"/>
    </xf>
    <xf numFmtId="168" fontId="99" fillId="0" borderId="0" xfId="2" applyFont="1"/>
    <xf numFmtId="0" fontId="95" fillId="28" borderId="9" xfId="0" applyFont="1" applyFill="1" applyBorder="1"/>
    <xf numFmtId="0" fontId="95" fillId="0" borderId="0" xfId="0" applyFont="1"/>
    <xf numFmtId="0" fontId="95" fillId="28" borderId="9" xfId="0" applyFont="1" applyFill="1" applyBorder="1" applyAlignment="1">
      <alignment horizontal="right"/>
    </xf>
    <xf numFmtId="168" fontId="72" fillId="0" borderId="0" xfId="2" quotePrefix="1" applyFont="1"/>
    <xf numFmtId="0" fontId="87" fillId="4" borderId="9" xfId="0" quotePrefix="1" applyFont="1" applyFill="1" applyBorder="1" applyAlignment="1">
      <alignment horizontal="center"/>
    </xf>
    <xf numFmtId="0" fontId="56" fillId="4" borderId="9" xfId="0" quotePrefix="1" applyFont="1" applyFill="1" applyBorder="1"/>
    <xf numFmtId="168" fontId="84" fillId="16" borderId="9" xfId="2" applyFont="1" applyFill="1" applyBorder="1" applyAlignment="1">
      <alignment horizontal="left"/>
    </xf>
    <xf numFmtId="0" fontId="102" fillId="0" borderId="0" xfId="0" applyFont="1"/>
    <xf numFmtId="168" fontId="72" fillId="0" borderId="9" xfId="2" quotePrefix="1" applyFont="1" applyBorder="1"/>
    <xf numFmtId="0" fontId="61" fillId="15" borderId="9" xfId="0" quotePrefix="1" applyFont="1" applyFill="1" applyBorder="1"/>
    <xf numFmtId="10" fontId="89" fillId="20" borderId="9" xfId="0" quotePrefix="1" applyNumberFormat="1" applyFont="1" applyFill="1" applyBorder="1"/>
    <xf numFmtId="10" fontId="61" fillId="4" borderId="9" xfId="0" quotePrefix="1" applyNumberFormat="1" applyFont="1" applyFill="1" applyBorder="1"/>
    <xf numFmtId="10" fontId="0" fillId="0" borderId="0" xfId="0" applyNumberFormat="1"/>
    <xf numFmtId="49" fontId="61" fillId="4" borderId="10" xfId="0" quotePrefix="1" applyNumberFormat="1" applyFont="1" applyFill="1" applyBorder="1"/>
    <xf numFmtId="0" fontId="54" fillId="4" borderId="9" xfId="0" quotePrefix="1" applyFont="1" applyFill="1" applyBorder="1"/>
    <xf numFmtId="0" fontId="59" fillId="4" borderId="9" xfId="0" quotePrefix="1" applyFont="1" applyFill="1" applyBorder="1"/>
    <xf numFmtId="0" fontId="59" fillId="4" borderId="9" xfId="0" quotePrefix="1" applyFont="1" applyFill="1" applyBorder="1" applyAlignment="1">
      <alignment horizontal="center"/>
    </xf>
    <xf numFmtId="0" fontId="60" fillId="4" borderId="9" xfId="0" quotePrefix="1" applyFont="1" applyFill="1" applyBorder="1"/>
    <xf numFmtId="10" fontId="61" fillId="30" borderId="9" xfId="0" quotePrefix="1" applyNumberFormat="1" applyFont="1" applyFill="1" applyBorder="1"/>
    <xf numFmtId="10" fontId="61" fillId="15" borderId="9" xfId="0" quotePrefix="1" applyNumberFormat="1" applyFont="1" applyFill="1" applyBorder="1"/>
    <xf numFmtId="10" fontId="61" fillId="14" borderId="9" xfId="0" quotePrefix="1" applyNumberFormat="1" applyFont="1" applyFill="1" applyBorder="1"/>
    <xf numFmtId="0" fontId="59" fillId="15" borderId="9" xfId="0" quotePrefix="1" applyFont="1" applyFill="1" applyBorder="1"/>
    <xf numFmtId="0" fontId="61" fillId="30" borderId="9" xfId="0" quotePrefix="1" applyFont="1" applyFill="1" applyBorder="1"/>
    <xf numFmtId="0" fontId="61" fillId="14" borderId="9" xfId="0" quotePrefix="1" applyFont="1" applyFill="1" applyBorder="1"/>
    <xf numFmtId="0" fontId="59" fillId="14" borderId="9" xfId="0" quotePrefix="1" applyFont="1" applyFill="1" applyBorder="1"/>
    <xf numFmtId="0" fontId="104" fillId="0" borderId="0" xfId="0" applyFont="1" applyAlignment="1">
      <alignment vertical="center"/>
    </xf>
    <xf numFmtId="0" fontId="61" fillId="0" borderId="9" xfId="0" quotePrefix="1" applyFont="1" applyBorder="1" applyAlignment="1">
      <alignment horizontal="right"/>
    </xf>
    <xf numFmtId="0" fontId="61" fillId="29" borderId="9" xfId="0" quotePrefix="1" applyFont="1" applyFill="1" applyBorder="1" applyAlignment="1">
      <alignment horizontal="center"/>
    </xf>
    <xf numFmtId="0" fontId="54" fillId="29" borderId="9" xfId="0" quotePrefix="1" applyFont="1" applyFill="1" applyBorder="1" applyAlignment="1">
      <alignment horizontal="left"/>
    </xf>
    <xf numFmtId="17" fontId="61" fillId="29" borderId="9" xfId="0" quotePrefix="1" applyNumberFormat="1" applyFont="1" applyFill="1" applyBorder="1" applyAlignment="1">
      <alignment horizontal="center"/>
    </xf>
    <xf numFmtId="0" fontId="54" fillId="29" borderId="9" xfId="0" quotePrefix="1" applyFont="1" applyFill="1" applyBorder="1" applyAlignment="1">
      <alignment horizontal="center"/>
    </xf>
    <xf numFmtId="15" fontId="61" fillId="29" borderId="9" xfId="0" quotePrefix="1" applyNumberFormat="1" applyFont="1" applyFill="1" applyBorder="1" applyAlignment="1">
      <alignment horizontal="center"/>
    </xf>
    <xf numFmtId="0" fontId="61" fillId="29" borderId="9" xfId="0" quotePrefix="1" applyFont="1" applyFill="1" applyBorder="1" applyAlignment="1">
      <alignment horizontal="right"/>
    </xf>
    <xf numFmtId="0" fontId="104" fillId="29" borderId="0" xfId="0" applyFont="1" applyFill="1"/>
    <xf numFmtId="0" fontId="54" fillId="30" borderId="9" xfId="0" quotePrefix="1" applyFont="1" applyFill="1" applyBorder="1" applyAlignment="1">
      <alignment horizontal="left"/>
    </xf>
    <xf numFmtId="0" fontId="54" fillId="15" borderId="9" xfId="0" quotePrefix="1" applyFont="1" applyFill="1" applyBorder="1" applyAlignment="1">
      <alignment horizontal="left"/>
    </xf>
    <xf numFmtId="10" fontId="94" fillId="0" borderId="9" xfId="0" applyNumberFormat="1" applyFont="1" applyBorder="1"/>
    <xf numFmtId="0" fontId="52" fillId="0" borderId="9" xfId="0" quotePrefix="1" applyFont="1" applyBorder="1" applyAlignment="1">
      <alignment horizontal="left"/>
    </xf>
    <xf numFmtId="17" fontId="61" fillId="26" borderId="9" xfId="0" quotePrefix="1" applyNumberFormat="1" applyFont="1" applyFill="1" applyBorder="1" applyAlignment="1">
      <alignment horizontal="center"/>
    </xf>
    <xf numFmtId="49" fontId="49" fillId="0" borderId="9" xfId="0" quotePrefix="1" applyNumberFormat="1" applyFont="1" applyBorder="1" applyAlignment="1">
      <alignment horizontal="left"/>
    </xf>
    <xf numFmtId="0" fontId="48" fillId="29" borderId="9" xfId="0" quotePrefix="1" applyFont="1" applyFill="1" applyBorder="1" applyAlignment="1">
      <alignment horizontal="left"/>
    </xf>
    <xf numFmtId="0" fontId="61" fillId="0" borderId="9" xfId="0" quotePrefix="1" applyFont="1" applyBorder="1" applyAlignment="1">
      <alignment horizontal="left"/>
    </xf>
    <xf numFmtId="0" fontId="89" fillId="20" borderId="9" xfId="0" quotePrefix="1" applyFont="1" applyFill="1" applyBorder="1" applyAlignment="1">
      <alignment horizontal="left"/>
    </xf>
    <xf numFmtId="0" fontId="61" fillId="4" borderId="9" xfId="0" quotePrefix="1" applyFont="1" applyFill="1" applyBorder="1" applyAlignment="1">
      <alignment horizontal="left"/>
    </xf>
    <xf numFmtId="0" fontId="54" fillId="4" borderId="9" xfId="0" quotePrefix="1" applyFont="1" applyFill="1" applyBorder="1" applyAlignment="1">
      <alignment horizontal="left"/>
    </xf>
    <xf numFmtId="0" fontId="55" fillId="4" borderId="9" xfId="0" quotePrefix="1" applyFont="1" applyFill="1" applyBorder="1" applyAlignment="1">
      <alignment horizontal="left"/>
    </xf>
    <xf numFmtId="0" fontId="53" fillId="0" borderId="9" xfId="0" quotePrefix="1" applyFont="1" applyBorder="1" applyAlignment="1">
      <alignment horizontal="left"/>
    </xf>
    <xf numFmtId="0" fontId="61" fillId="29" borderId="9" xfId="0" quotePrefix="1" applyFont="1" applyFill="1" applyBorder="1" applyAlignment="1">
      <alignment horizontal="left"/>
    </xf>
    <xf numFmtId="174" fontId="69" fillId="0" borderId="0" xfId="2" applyNumberFormat="1" applyFont="1"/>
    <xf numFmtId="174" fontId="68" fillId="2" borderId="0" xfId="2" applyNumberFormat="1" applyFont="1" applyFill="1"/>
    <xf numFmtId="0" fontId="46" fillId="4" borderId="9" xfId="0" quotePrefix="1" applyFont="1" applyFill="1" applyBorder="1" applyAlignment="1">
      <alignment horizontal="center"/>
    </xf>
    <xf numFmtId="17" fontId="46" fillId="19" borderId="9" xfId="0" quotePrefix="1" applyNumberFormat="1" applyFont="1" applyFill="1" applyBorder="1" applyAlignment="1">
      <alignment horizontal="center"/>
    </xf>
    <xf numFmtId="0" fontId="89" fillId="20" borderId="9" xfId="0" quotePrefix="1" applyFont="1" applyFill="1" applyBorder="1" applyAlignment="1">
      <alignment horizontal="right"/>
    </xf>
    <xf numFmtId="0" fontId="61" fillId="4" borderId="9" xfId="0" quotePrefix="1" applyFont="1" applyFill="1" applyBorder="1" applyAlignment="1">
      <alignment horizontal="right"/>
    </xf>
    <xf numFmtId="0" fontId="0" fillId="0" borderId="0" xfId="0" applyAlignment="1">
      <alignment horizontal="right"/>
    </xf>
    <xf numFmtId="0" fontId="44" fillId="4" borderId="9" xfId="0" quotePrefix="1" applyFont="1" applyFill="1" applyBorder="1"/>
    <xf numFmtId="0" fontId="44" fillId="0" borderId="9" xfId="0" quotePrefix="1" applyFont="1" applyBorder="1" applyAlignment="1">
      <alignment horizontal="center"/>
    </xf>
    <xf numFmtId="0" fontId="44" fillId="0" borderId="25" xfId="0" quotePrefix="1" applyFont="1" applyBorder="1"/>
    <xf numFmtId="0" fontId="44" fillId="0" borderId="26" xfId="0" quotePrefix="1" applyFont="1" applyBorder="1"/>
    <xf numFmtId="0" fontId="44" fillId="0" borderId="27" xfId="0" quotePrefix="1" applyFont="1" applyBorder="1"/>
    <xf numFmtId="0" fontId="87" fillId="0" borderId="24" xfId="0" quotePrefix="1" applyFont="1" applyBorder="1"/>
    <xf numFmtId="10" fontId="0" fillId="0" borderId="9" xfId="0" applyNumberFormat="1" applyBorder="1"/>
    <xf numFmtId="0" fontId="44" fillId="0" borderId="9" xfId="0" quotePrefix="1" applyFont="1" applyBorder="1" applyAlignment="1">
      <alignment horizontal="left"/>
    </xf>
    <xf numFmtId="0" fontId="44" fillId="0" borderId="9" xfId="0" quotePrefix="1" applyFont="1" applyBorder="1" applyAlignment="1">
      <alignment horizontal="right" vertical="center"/>
    </xf>
    <xf numFmtId="0" fontId="43" fillId="0" borderId="9" xfId="0" quotePrefix="1" applyFont="1" applyBorder="1" applyAlignment="1">
      <alignment horizontal="center"/>
    </xf>
    <xf numFmtId="0" fontId="42" fillId="0" borderId="9" xfId="0" quotePrefix="1" applyFont="1" applyBorder="1"/>
    <xf numFmtId="0" fontId="51" fillId="26" borderId="9" xfId="0" quotePrefix="1" applyFont="1" applyFill="1" applyBorder="1"/>
    <xf numFmtId="0" fontId="41" fillId="0" borderId="28" xfId="0" applyFont="1" applyBorder="1"/>
    <xf numFmtId="0" fontId="0" fillId="13" borderId="0" xfId="0" applyFill="1"/>
    <xf numFmtId="0" fontId="61" fillId="23" borderId="9" xfId="0" quotePrefix="1" applyFont="1" applyFill="1" applyBorder="1" applyAlignment="1">
      <alignment horizontal="center"/>
    </xf>
    <xf numFmtId="172" fontId="72" fillId="0" borderId="9" xfId="2" quotePrefix="1" applyNumberFormat="1" applyFont="1" applyBorder="1"/>
    <xf numFmtId="172" fontId="70" fillId="0" borderId="9" xfId="2" applyNumberFormat="1" applyFont="1" applyBorder="1"/>
    <xf numFmtId="9" fontId="44" fillId="0" borderId="9" xfId="0" quotePrefix="1" applyNumberFormat="1" applyFont="1" applyBorder="1" applyAlignment="1">
      <alignment horizontal="right" vertical="center"/>
    </xf>
    <xf numFmtId="49" fontId="40" fillId="4" borderId="9" xfId="0" quotePrefix="1" applyNumberFormat="1" applyFont="1" applyFill="1" applyBorder="1" applyAlignment="1">
      <alignment horizontal="left"/>
    </xf>
    <xf numFmtId="0" fontId="105" fillId="0" borderId="0" xfId="0" applyFont="1"/>
    <xf numFmtId="0" fontId="0" fillId="0" borderId="9" xfId="0" quotePrefix="1" applyBorder="1" applyAlignment="1">
      <alignment horizontal="left"/>
    </xf>
    <xf numFmtId="168" fontId="72" fillId="13" borderId="9" xfId="2" applyFont="1" applyFill="1" applyBorder="1"/>
    <xf numFmtId="168" fontId="72" fillId="30" borderId="9" xfId="2" applyFont="1" applyFill="1" applyBorder="1"/>
    <xf numFmtId="172" fontId="72" fillId="30" borderId="9" xfId="2" applyNumberFormat="1" applyFont="1" applyFill="1" applyBorder="1"/>
    <xf numFmtId="168" fontId="99" fillId="0" borderId="9" xfId="2" quotePrefix="1" applyFont="1" applyBorder="1"/>
    <xf numFmtId="15" fontId="61" fillId="4" borderId="9" xfId="0" quotePrefix="1" applyNumberFormat="1" applyFont="1" applyFill="1" applyBorder="1" applyAlignment="1">
      <alignment horizontal="center"/>
    </xf>
    <xf numFmtId="0" fontId="40" fillId="0" borderId="0" xfId="0" quotePrefix="1" applyFont="1"/>
    <xf numFmtId="0" fontId="40" fillId="4" borderId="9" xfId="0" quotePrefix="1" applyFont="1" applyFill="1" applyBorder="1" applyAlignment="1">
      <alignment horizontal="center"/>
    </xf>
    <xf numFmtId="168" fontId="72" fillId="32" borderId="9" xfId="2" applyFont="1" applyFill="1" applyBorder="1"/>
    <xf numFmtId="168" fontId="72" fillId="32" borderId="9" xfId="2" quotePrefix="1" applyFont="1" applyFill="1" applyBorder="1"/>
    <xf numFmtId="168" fontId="70" fillId="16" borderId="9" xfId="2" applyFont="1" applyFill="1" applyBorder="1"/>
    <xf numFmtId="168" fontId="72" fillId="16" borderId="9" xfId="2" applyFont="1" applyFill="1" applyBorder="1"/>
    <xf numFmtId="173" fontId="72" fillId="0" borderId="9" xfId="2" applyNumberFormat="1" applyFont="1" applyBorder="1" applyAlignment="1">
      <alignment horizontal="left"/>
    </xf>
    <xf numFmtId="172" fontId="72" fillId="13" borderId="9" xfId="2" applyNumberFormat="1" applyFont="1" applyFill="1" applyBorder="1"/>
    <xf numFmtId="168" fontId="72" fillId="0" borderId="9" xfId="2" quotePrefix="1" applyFont="1" applyBorder="1" applyAlignment="1">
      <alignment horizontal="left" vertical="top" wrapText="1"/>
    </xf>
    <xf numFmtId="168" fontId="72" fillId="0" borderId="9" xfId="2" applyFont="1" applyBorder="1" applyAlignment="1">
      <alignment horizontal="center"/>
    </xf>
    <xf numFmtId="0" fontId="39" fillId="0" borderId="9" xfId="0" quotePrefix="1" applyFont="1" applyBorder="1" applyAlignment="1">
      <alignment horizontal="center"/>
    </xf>
    <xf numFmtId="9" fontId="61" fillId="0" borderId="9" xfId="0" quotePrefix="1" applyNumberFormat="1" applyFont="1" applyBorder="1" applyAlignment="1">
      <alignment horizontal="center"/>
    </xf>
    <xf numFmtId="168" fontId="72" fillId="0" borderId="9" xfId="2" quotePrefix="1" applyFont="1" applyBorder="1" applyAlignment="1">
      <alignment horizontal="left" vertical="top"/>
    </xf>
    <xf numFmtId="168" fontId="72" fillId="0" borderId="9" xfId="2" applyFont="1" applyBorder="1" applyAlignment="1">
      <alignment horizontal="left"/>
    </xf>
    <xf numFmtId="17" fontId="0" fillId="0" borderId="0" xfId="0" applyNumberFormat="1" applyAlignment="1">
      <alignment horizontal="center"/>
    </xf>
    <xf numFmtId="49" fontId="49" fillId="0" borderId="9" xfId="0" quotePrefix="1" applyNumberFormat="1" applyFont="1" applyBorder="1"/>
    <xf numFmtId="0" fontId="41" fillId="0" borderId="0" xfId="0" applyFont="1"/>
    <xf numFmtId="17" fontId="61" fillId="31" borderId="9" xfId="0" quotePrefix="1" applyNumberFormat="1" applyFont="1" applyFill="1" applyBorder="1" applyAlignment="1">
      <alignment horizontal="left"/>
    </xf>
    <xf numFmtId="17" fontId="61" fillId="33" borderId="9" xfId="0" quotePrefix="1" applyNumberFormat="1" applyFont="1" applyFill="1" applyBorder="1" applyAlignment="1">
      <alignment horizontal="center"/>
    </xf>
    <xf numFmtId="0" fontId="59" fillId="33" borderId="9" xfId="0" quotePrefix="1" applyFont="1" applyFill="1" applyBorder="1"/>
    <xf numFmtId="0" fontId="87" fillId="33" borderId="9" xfId="0" quotePrefix="1" applyFont="1" applyFill="1" applyBorder="1"/>
    <xf numFmtId="0" fontId="37" fillId="0" borderId="9" xfId="0" quotePrefix="1" applyFont="1" applyBorder="1"/>
    <xf numFmtId="0" fontId="36" fillId="4" borderId="9" xfId="0" quotePrefix="1" applyFont="1" applyFill="1" applyBorder="1" applyAlignment="1">
      <alignment horizontal="left"/>
    </xf>
    <xf numFmtId="0" fontId="35" fillId="0" borderId="9" xfId="0" quotePrefix="1" applyFont="1" applyBorder="1" applyAlignment="1">
      <alignment horizontal="left"/>
    </xf>
    <xf numFmtId="0" fontId="34" fillId="4" borderId="9" xfId="0" quotePrefix="1" applyFont="1" applyFill="1" applyBorder="1" applyAlignment="1">
      <alignment horizontal="center"/>
    </xf>
    <xf numFmtId="0" fontId="34" fillId="0" borderId="9" xfId="0" quotePrefix="1" applyFont="1" applyBorder="1"/>
    <xf numFmtId="0" fontId="87" fillId="16" borderId="9" xfId="0" quotePrefix="1" applyFont="1" applyFill="1" applyBorder="1"/>
    <xf numFmtId="0" fontId="106" fillId="33" borderId="9" xfId="0" quotePrefix="1" applyFont="1" applyFill="1" applyBorder="1"/>
    <xf numFmtId="0" fontId="33" fillId="0" borderId="9" xfId="0" quotePrefix="1" applyFont="1" applyBorder="1" applyAlignment="1">
      <alignment horizontal="left"/>
    </xf>
    <xf numFmtId="0" fontId="33" fillId="0" borderId="9" xfId="0" quotePrefix="1" applyFont="1" applyBorder="1"/>
    <xf numFmtId="0" fontId="54" fillId="13" borderId="9" xfId="0" quotePrefix="1" applyFont="1" applyFill="1" applyBorder="1" applyAlignment="1">
      <alignment horizontal="left"/>
    </xf>
    <xf numFmtId="0" fontId="32" fillId="13" borderId="9" xfId="0" quotePrefix="1" applyFont="1" applyFill="1" applyBorder="1" applyAlignment="1">
      <alignment horizontal="left"/>
    </xf>
    <xf numFmtId="49" fontId="31" fillId="0" borderId="9" xfId="0" quotePrefix="1" applyNumberFormat="1" applyFont="1" applyBorder="1" applyAlignment="1">
      <alignment horizontal="left"/>
    </xf>
    <xf numFmtId="0" fontId="108" fillId="0" borderId="0" xfId="0" applyFont="1"/>
    <xf numFmtId="0" fontId="108" fillId="0" borderId="9" xfId="0" quotePrefix="1" applyFont="1" applyBorder="1"/>
    <xf numFmtId="0" fontId="107" fillId="0" borderId="9" xfId="0" quotePrefix="1" applyFont="1" applyBorder="1"/>
    <xf numFmtId="0" fontId="107" fillId="15" borderId="9" xfId="0" quotePrefix="1" applyFont="1" applyFill="1" applyBorder="1"/>
    <xf numFmtId="0" fontId="109" fillId="0" borderId="9" xfId="7" quotePrefix="1" applyFont="1" applyBorder="1"/>
    <xf numFmtId="0" fontId="108" fillId="0" borderId="9" xfId="0" applyFont="1" applyBorder="1"/>
    <xf numFmtId="0" fontId="109" fillId="0" borderId="9" xfId="7" applyFont="1" applyBorder="1"/>
    <xf numFmtId="0" fontId="108" fillId="0" borderId="9" xfId="0" quotePrefix="1" applyFont="1" applyBorder="1" applyAlignment="1">
      <alignment horizontal="left"/>
    </xf>
    <xf numFmtId="0" fontId="109" fillId="13" borderId="9" xfId="7" applyFont="1" applyFill="1" applyBorder="1"/>
    <xf numFmtId="16" fontId="108" fillId="0" borderId="9" xfId="0" quotePrefix="1" applyNumberFormat="1" applyFont="1" applyBorder="1"/>
    <xf numFmtId="0" fontId="30" fillId="0" borderId="9" xfId="0" quotePrefix="1" applyFont="1" applyBorder="1"/>
    <xf numFmtId="0" fontId="29" fillId="0" borderId="9" xfId="0" quotePrefix="1" applyFont="1" applyBorder="1"/>
    <xf numFmtId="0" fontId="29" fillId="0" borderId="9" xfId="0" quotePrefix="1" applyFont="1" applyBorder="1" applyAlignment="1">
      <alignment horizontal="left"/>
    </xf>
    <xf numFmtId="168" fontId="72" fillId="13" borderId="9" xfId="2" quotePrefix="1" applyFont="1" applyFill="1" applyBorder="1"/>
    <xf numFmtId="0" fontId="28" fillId="0" borderId="9" xfId="0" quotePrefix="1" applyFont="1" applyBorder="1"/>
    <xf numFmtId="9" fontId="61" fillId="0" borderId="9" xfId="0" quotePrefix="1" applyNumberFormat="1" applyFont="1" applyBorder="1" applyAlignment="1">
      <alignment horizontal="left"/>
    </xf>
    <xf numFmtId="49" fontId="28" fillId="0" borderId="9" xfId="0" quotePrefix="1" applyNumberFormat="1" applyFont="1" applyBorder="1" applyAlignment="1">
      <alignment horizontal="left"/>
    </xf>
    <xf numFmtId="0" fontId="28" fillId="0" borderId="9" xfId="0" quotePrefix="1" applyFont="1" applyBorder="1" applyAlignment="1">
      <alignment horizontal="left"/>
    </xf>
    <xf numFmtId="0" fontId="27" fillId="0" borderId="9" xfId="0" quotePrefix="1" applyFont="1" applyBorder="1"/>
    <xf numFmtId="49" fontId="0" fillId="0" borderId="9" xfId="0" applyNumberFormat="1" applyBorder="1"/>
    <xf numFmtId="0" fontId="111" fillId="0" borderId="9" xfId="0" applyFont="1" applyBorder="1" applyAlignment="1">
      <alignment horizontal="center"/>
    </xf>
    <xf numFmtId="0" fontId="111" fillId="0" borderId="9" xfId="0" applyFont="1" applyBorder="1" applyAlignment="1">
      <alignment horizontal="right"/>
    </xf>
    <xf numFmtId="175" fontId="111" fillId="0" borderId="9" xfId="0" applyNumberFormat="1" applyFont="1" applyBorder="1" applyAlignment="1">
      <alignment horizontal="right"/>
    </xf>
    <xf numFmtId="0" fontId="112" fillId="16" borderId="9" xfId="0" applyFont="1" applyFill="1" applyBorder="1" applyAlignment="1">
      <alignment horizontal="center"/>
    </xf>
    <xf numFmtId="17" fontId="112" fillId="16" borderId="9" xfId="0" applyNumberFormat="1" applyFont="1" applyFill="1" applyBorder="1" applyAlignment="1">
      <alignment horizontal="center"/>
    </xf>
    <xf numFmtId="175" fontId="111" fillId="0" borderId="0" xfId="0" applyNumberFormat="1" applyFont="1" applyAlignment="1">
      <alignment horizontal="right"/>
    </xf>
    <xf numFmtId="15" fontId="94" fillId="0" borderId="0" xfId="0" applyNumberFormat="1" applyFont="1"/>
    <xf numFmtId="0" fontId="108" fillId="15" borderId="9" xfId="0" quotePrefix="1" applyFont="1" applyFill="1" applyBorder="1"/>
    <xf numFmtId="0" fontId="26" fillId="0" borderId="9" xfId="0" quotePrefix="1" applyFont="1" applyBorder="1"/>
    <xf numFmtId="0" fontId="25" fillId="0" borderId="9" xfId="0" quotePrefix="1" applyFont="1" applyBorder="1"/>
    <xf numFmtId="0" fontId="25" fillId="0" borderId="9" xfId="0" applyFont="1" applyBorder="1"/>
    <xf numFmtId="0" fontId="25" fillId="11" borderId="9" xfId="0" applyFont="1" applyFill="1" applyBorder="1"/>
    <xf numFmtId="0" fontId="113" fillId="0" borderId="9" xfId="0" quotePrefix="1" applyFont="1" applyBorder="1"/>
    <xf numFmtId="0" fontId="25" fillId="15" borderId="9" xfId="0" applyFont="1" applyFill="1" applyBorder="1"/>
    <xf numFmtId="0" fontId="87" fillId="0" borderId="9" xfId="0" applyFont="1" applyBorder="1"/>
    <xf numFmtId="0" fontId="87" fillId="35" borderId="9" xfId="0" applyFont="1" applyFill="1" applyBorder="1"/>
    <xf numFmtId="0" fontId="24" fillId="0" borderId="9" xfId="0" applyFont="1" applyBorder="1"/>
    <xf numFmtId="0" fontId="114" fillId="0" borderId="9" xfId="0" applyFont="1" applyBorder="1"/>
    <xf numFmtId="0" fontId="106" fillId="36" borderId="9" xfId="0" applyFont="1" applyFill="1" applyBorder="1"/>
    <xf numFmtId="0" fontId="115" fillId="0" borderId="0" xfId="0" applyFont="1"/>
    <xf numFmtId="17" fontId="114" fillId="0" borderId="9" xfId="0" applyNumberFormat="1" applyFont="1" applyBorder="1"/>
    <xf numFmtId="0" fontId="94" fillId="13" borderId="9" xfId="0" applyFont="1" applyFill="1" applyBorder="1"/>
    <xf numFmtId="0" fontId="106" fillId="16" borderId="9" xfId="0" applyFont="1" applyFill="1" applyBorder="1"/>
    <xf numFmtId="0" fontId="87" fillId="13" borderId="9" xfId="0" applyFont="1" applyFill="1" applyBorder="1"/>
    <xf numFmtId="1" fontId="116" fillId="16" borderId="21" xfId="2" applyNumberFormat="1" applyFont="1" applyFill="1" applyBorder="1"/>
    <xf numFmtId="1" fontId="116" fillId="16" borderId="22" xfId="2" applyNumberFormat="1" applyFont="1" applyFill="1" applyBorder="1"/>
    <xf numFmtId="0" fontId="25" fillId="0" borderId="0" xfId="0" applyFont="1"/>
    <xf numFmtId="168" fontId="117" fillId="0" borderId="9" xfId="2" applyFont="1" applyBorder="1"/>
    <xf numFmtId="1" fontId="117" fillId="0" borderId="9" xfId="2" applyNumberFormat="1" applyFont="1" applyBorder="1"/>
    <xf numFmtId="174" fontId="117" fillId="0" borderId="9" xfId="2" applyNumberFormat="1" applyFont="1" applyBorder="1"/>
    <xf numFmtId="168" fontId="118" fillId="13" borderId="9" xfId="2" applyFont="1" applyFill="1" applyBorder="1"/>
    <xf numFmtId="1" fontId="118" fillId="15" borderId="9" xfId="2" applyNumberFormat="1" applyFont="1" applyFill="1" applyBorder="1"/>
    <xf numFmtId="168" fontId="69" fillId="16" borderId="0" xfId="2" applyFont="1" applyFill="1"/>
    <xf numFmtId="17" fontId="24" fillId="0" borderId="9" xfId="0" applyNumberFormat="1" applyFont="1" applyBorder="1" applyAlignment="1">
      <alignment horizontal="center"/>
    </xf>
    <xf numFmtId="0" fontId="24" fillId="0" borderId="9" xfId="0" applyFont="1" applyBorder="1" applyAlignment="1">
      <alignment horizontal="center"/>
    </xf>
    <xf numFmtId="0" fontId="25" fillId="13" borderId="9" xfId="0" applyFont="1" applyFill="1" applyBorder="1"/>
    <xf numFmtId="0" fontId="0" fillId="16" borderId="0" xfId="0" applyFill="1" applyAlignment="1">
      <alignment horizontal="center"/>
    </xf>
    <xf numFmtId="0" fontId="0" fillId="16" borderId="0" xfId="0" applyFill="1" applyAlignment="1">
      <alignment horizontal="left"/>
    </xf>
    <xf numFmtId="49" fontId="0" fillId="16" borderId="0" xfId="0" applyNumberFormat="1" applyFill="1"/>
    <xf numFmtId="0" fontId="0" fillId="16" borderId="0" xfId="0" applyFill="1" applyAlignment="1">
      <alignment horizontal="center" vertical="center"/>
    </xf>
    <xf numFmtId="0" fontId="0" fillId="13" borderId="0" xfId="0" applyFill="1" applyAlignment="1">
      <alignment horizontal="center"/>
    </xf>
    <xf numFmtId="0" fontId="0" fillId="13" borderId="0" xfId="0" applyFill="1" applyAlignment="1">
      <alignment horizontal="center" vertical="center"/>
    </xf>
    <xf numFmtId="49" fontId="0" fillId="16" borderId="0" xfId="0" applyNumberFormat="1" applyFill="1" applyAlignment="1">
      <alignment horizontal="left"/>
    </xf>
    <xf numFmtId="0" fontId="23" fillId="0" borderId="9" xfId="0" quotePrefix="1" applyFont="1" applyBorder="1" applyAlignment="1">
      <alignment horizontal="left"/>
    </xf>
    <xf numFmtId="49" fontId="86" fillId="16" borderId="0" xfId="7" applyNumberFormat="1" applyFill="1" applyAlignment="1">
      <alignment horizontal="left"/>
    </xf>
    <xf numFmtId="0" fontId="0" fillId="15" borderId="0" xfId="0" applyFill="1" applyAlignment="1">
      <alignment horizontal="center"/>
    </xf>
    <xf numFmtId="0" fontId="0" fillId="15" borderId="0" xfId="0" applyFill="1" applyAlignment="1">
      <alignment horizontal="center" vertical="center"/>
    </xf>
    <xf numFmtId="0" fontId="22" fillId="0" borderId="9" xfId="0" quotePrefix="1" applyFont="1" applyBorder="1" applyAlignment="1">
      <alignment horizontal="left"/>
    </xf>
    <xf numFmtId="0" fontId="22" fillId="0" borderId="9" xfId="0" quotePrefix="1" applyFont="1" applyBorder="1"/>
    <xf numFmtId="49" fontId="21" fillId="0" borderId="9" xfId="0" quotePrefix="1" applyNumberFormat="1" applyFont="1" applyBorder="1" applyAlignment="1">
      <alignment horizontal="left"/>
    </xf>
    <xf numFmtId="0" fontId="21" fillId="0" borderId="9" xfId="0" quotePrefix="1" applyFont="1" applyBorder="1"/>
    <xf numFmtId="175" fontId="111" fillId="0" borderId="9" xfId="0" applyNumberFormat="1" applyFont="1" applyBorder="1" applyAlignment="1">
      <alignment horizontal="left"/>
    </xf>
    <xf numFmtId="0" fontId="20" fillId="0" borderId="9" xfId="0" applyFont="1" applyBorder="1"/>
    <xf numFmtId="0" fontId="20" fillId="0" borderId="9" xfId="0" quotePrefix="1" applyFont="1" applyBorder="1"/>
    <xf numFmtId="0" fontId="28" fillId="14" borderId="9" xfId="0" quotePrefix="1" applyFont="1" applyFill="1" applyBorder="1"/>
    <xf numFmtId="0" fontId="19" fillId="13" borderId="9" xfId="0" quotePrefix="1" applyFont="1" applyFill="1" applyBorder="1"/>
    <xf numFmtId="0" fontId="19" fillId="0" borderId="9" xfId="0" applyFont="1" applyBorder="1"/>
    <xf numFmtId="0" fontId="19" fillId="13" borderId="9" xfId="0" applyFont="1" applyFill="1" applyBorder="1"/>
    <xf numFmtId="0" fontId="26" fillId="13" borderId="9" xfId="0" quotePrefix="1" applyFont="1" applyFill="1" applyBorder="1"/>
    <xf numFmtId="0" fontId="119" fillId="16" borderId="9" xfId="0" quotePrefix="1" applyFont="1" applyFill="1" applyBorder="1"/>
    <xf numFmtId="0" fontId="20" fillId="15" borderId="9" xfId="0" quotePrefix="1" applyFont="1" applyFill="1" applyBorder="1"/>
    <xf numFmtId="0" fontId="20" fillId="14" borderId="9" xfId="0" quotePrefix="1" applyFont="1" applyFill="1" applyBorder="1"/>
    <xf numFmtId="0" fontId="18" fillId="0" borderId="9" xfId="0" quotePrefix="1" applyFont="1" applyBorder="1"/>
    <xf numFmtId="0" fontId="112" fillId="16" borderId="9" xfId="0" applyFont="1" applyFill="1" applyBorder="1" applyAlignment="1">
      <alignment horizontal="left"/>
    </xf>
    <xf numFmtId="175" fontId="111" fillId="0" borderId="0" xfId="0" applyNumberFormat="1" applyFont="1" applyAlignment="1">
      <alignment horizontal="left"/>
    </xf>
    <xf numFmtId="175" fontId="112" fillId="0" borderId="9" xfId="0" applyNumberFormat="1" applyFont="1" applyBorder="1" applyAlignment="1">
      <alignment horizontal="right"/>
    </xf>
    <xf numFmtId="0" fontId="102" fillId="0" borderId="0" xfId="0" applyFont="1" applyAlignment="1">
      <alignment horizontal="center"/>
    </xf>
    <xf numFmtId="0" fontId="102" fillId="0" borderId="9" xfId="0" applyFont="1" applyBorder="1" applyAlignment="1">
      <alignment horizontal="center"/>
    </xf>
    <xf numFmtId="0" fontId="102" fillId="0" borderId="9" xfId="0" applyFont="1" applyBorder="1" applyAlignment="1">
      <alignment horizontal="left"/>
    </xf>
    <xf numFmtId="0" fontId="102" fillId="0" borderId="9" xfId="0" applyFont="1" applyBorder="1" applyAlignment="1">
      <alignment horizontal="right" vertical="center"/>
    </xf>
    <xf numFmtId="175" fontId="112" fillId="0" borderId="9" xfId="0" applyNumberFormat="1" applyFont="1" applyBorder="1" applyAlignment="1">
      <alignment horizontal="left"/>
    </xf>
    <xf numFmtId="0" fontId="102" fillId="0" borderId="9" xfId="0" applyFont="1" applyBorder="1"/>
    <xf numFmtId="0" fontId="17" fillId="0" borderId="9" xfId="0" quotePrefix="1" applyFont="1" applyBorder="1"/>
    <xf numFmtId="0" fontId="17" fillId="0" borderId="9" xfId="0" quotePrefix="1" applyFont="1" applyBorder="1" applyAlignment="1">
      <alignment horizontal="left"/>
    </xf>
    <xf numFmtId="0" fontId="120" fillId="16" borderId="9" xfId="0" quotePrefix="1" applyFont="1" applyFill="1" applyBorder="1"/>
    <xf numFmtId="0" fontId="121" fillId="16" borderId="9" xfId="0" quotePrefix="1" applyFont="1" applyFill="1" applyBorder="1"/>
    <xf numFmtId="0" fontId="120" fillId="34" borderId="9" xfId="0" quotePrefix="1" applyFont="1" applyFill="1" applyBorder="1"/>
    <xf numFmtId="0" fontId="28" fillId="0" borderId="0" xfId="0" quotePrefix="1" applyFont="1"/>
    <xf numFmtId="0" fontId="17" fillId="0" borderId="0" xfId="0" quotePrefix="1" applyFont="1"/>
    <xf numFmtId="3" fontId="28" fillId="0" borderId="9" xfId="0" quotePrefix="1" applyNumberFormat="1" applyFont="1" applyBorder="1" applyAlignment="1">
      <alignment horizontal="right"/>
    </xf>
    <xf numFmtId="3" fontId="120" fillId="34" borderId="9" xfId="0" quotePrefix="1" applyNumberFormat="1" applyFont="1" applyFill="1" applyBorder="1"/>
    <xf numFmtId="0" fontId="29" fillId="15" borderId="9" xfId="0" quotePrefix="1" applyFont="1" applyFill="1" applyBorder="1"/>
    <xf numFmtId="0" fontId="16" fillId="0" borderId="9" xfId="0" quotePrefix="1" applyFont="1" applyBorder="1" applyAlignment="1">
      <alignment horizontal="left"/>
    </xf>
    <xf numFmtId="0" fontId="16" fillId="0" borderId="9" xfId="0" quotePrefix="1" applyFont="1" applyBorder="1"/>
    <xf numFmtId="0" fontId="102" fillId="34" borderId="24" xfId="0" applyFont="1" applyFill="1" applyBorder="1" applyAlignment="1">
      <alignment horizontal="center"/>
    </xf>
    <xf numFmtId="49" fontId="61" fillId="4" borderId="9" xfId="0" quotePrefix="1" applyNumberFormat="1" applyFont="1" applyFill="1" applyBorder="1"/>
    <xf numFmtId="0" fontId="52" fillId="4" borderId="9" xfId="0" quotePrefix="1" applyFont="1" applyFill="1" applyBorder="1"/>
    <xf numFmtId="0" fontId="15" fillId="0" borderId="9" xfId="0" quotePrefix="1" applyFont="1" applyBorder="1"/>
    <xf numFmtId="16" fontId="0" fillId="0" borderId="0" xfId="0" applyNumberFormat="1"/>
    <xf numFmtId="0" fontId="15" fillId="4" borderId="9" xfId="0" quotePrefix="1" applyFont="1" applyFill="1" applyBorder="1" applyAlignment="1">
      <alignment horizontal="center"/>
    </xf>
    <xf numFmtId="1" fontId="61" fillId="4" borderId="9" xfId="0" quotePrefix="1" applyNumberFormat="1" applyFont="1" applyFill="1" applyBorder="1" applyAlignment="1">
      <alignment horizontal="right"/>
    </xf>
    <xf numFmtId="1" fontId="44" fillId="0" borderId="9" xfId="0" quotePrefix="1" applyNumberFormat="1" applyFont="1" applyBorder="1" applyAlignment="1">
      <alignment horizontal="right" vertical="center"/>
    </xf>
    <xf numFmtId="0" fontId="15" fillId="0" borderId="9" xfId="0" applyFont="1" applyBorder="1"/>
    <xf numFmtId="0" fontId="60" fillId="4" borderId="9" xfId="0" quotePrefix="1" applyFont="1" applyFill="1" applyBorder="1" applyAlignment="1">
      <alignment horizontal="center"/>
    </xf>
    <xf numFmtId="0" fontId="58" fillId="4" borderId="9" xfId="0" quotePrefix="1" applyFont="1" applyFill="1" applyBorder="1"/>
    <xf numFmtId="0" fontId="55" fillId="4" borderId="9" xfId="0" quotePrefix="1" applyFont="1" applyFill="1" applyBorder="1"/>
    <xf numFmtId="0" fontId="45" fillId="4" borderId="9" xfId="0" quotePrefix="1" applyFont="1" applyFill="1" applyBorder="1"/>
    <xf numFmtId="0" fontId="15" fillId="4" borderId="9" xfId="0" quotePrefix="1" applyFont="1" applyFill="1" applyBorder="1"/>
    <xf numFmtId="0" fontId="102" fillId="13" borderId="9" xfId="0" applyFont="1" applyFill="1" applyBorder="1"/>
    <xf numFmtId="17" fontId="15" fillId="4" borderId="9" xfId="0" quotePrefix="1" applyNumberFormat="1" applyFont="1" applyFill="1" applyBorder="1" applyAlignment="1">
      <alignment horizontal="center"/>
    </xf>
    <xf numFmtId="0" fontId="51" fillId="4" borderId="9" xfId="0" quotePrefix="1" applyFont="1" applyFill="1" applyBorder="1" applyAlignment="1">
      <alignment horizontal="left"/>
    </xf>
    <xf numFmtId="49" fontId="49" fillId="4" borderId="9" xfId="0" quotePrefix="1" applyNumberFormat="1" applyFont="1" applyFill="1" applyBorder="1" applyAlignment="1">
      <alignment horizontal="left"/>
    </xf>
    <xf numFmtId="49" fontId="38" fillId="4" borderId="9" xfId="0" quotePrefix="1" applyNumberFormat="1" applyFont="1" applyFill="1" applyBorder="1"/>
    <xf numFmtId="0" fontId="57" fillId="4" borderId="9" xfId="0" quotePrefix="1" applyFont="1" applyFill="1" applyBorder="1" applyAlignment="1">
      <alignment horizontal="center"/>
    </xf>
    <xf numFmtId="0" fontId="51" fillId="4" borderId="9" xfId="0" quotePrefix="1" applyFont="1" applyFill="1" applyBorder="1" applyAlignment="1">
      <alignment horizontal="center"/>
    </xf>
    <xf numFmtId="0" fontId="0" fillId="4" borderId="0" xfId="0" applyFill="1" applyAlignment="1">
      <alignment horizontal="right" vertical="center"/>
    </xf>
    <xf numFmtId="10" fontId="94" fillId="4" borderId="9" xfId="0" applyNumberFormat="1" applyFont="1" applyFill="1" applyBorder="1"/>
    <xf numFmtId="0" fontId="94" fillId="4" borderId="9" xfId="0" applyFont="1" applyFill="1" applyBorder="1" applyAlignment="1">
      <alignment horizontal="center"/>
    </xf>
    <xf numFmtId="0" fontId="0" fillId="0" borderId="9" xfId="0" applyBorder="1" applyAlignment="1">
      <alignment horizontal="right" vertical="center"/>
    </xf>
    <xf numFmtId="0" fontId="14" fillId="0" borderId="9" xfId="0" quotePrefix="1" applyFont="1" applyBorder="1"/>
    <xf numFmtId="0" fontId="108" fillId="0" borderId="9" xfId="0" quotePrefix="1" applyFont="1" applyBorder="1" applyAlignment="1">
      <alignment horizontal="right"/>
    </xf>
    <xf numFmtId="0" fontId="120" fillId="13" borderId="9" xfId="0" quotePrefix="1" applyFont="1" applyFill="1" applyBorder="1"/>
    <xf numFmtId="0" fontId="13" fillId="0" borderId="9" xfId="0" quotePrefix="1" applyFont="1" applyBorder="1"/>
    <xf numFmtId="49" fontId="89" fillId="20" borderId="9" xfId="0" quotePrefix="1" applyNumberFormat="1" applyFont="1" applyFill="1" applyBorder="1" applyAlignment="1">
      <alignment horizontal="left"/>
    </xf>
    <xf numFmtId="0" fontId="89" fillId="20" borderId="9" xfId="0" quotePrefix="1" applyFont="1" applyFill="1" applyBorder="1" applyAlignment="1">
      <alignment horizontal="left" vertical="center"/>
    </xf>
    <xf numFmtId="10" fontId="89" fillId="20" borderId="9" xfId="0" quotePrefix="1" applyNumberFormat="1" applyFont="1" applyFill="1" applyBorder="1" applyAlignment="1">
      <alignment horizontal="left"/>
    </xf>
    <xf numFmtId="0" fontId="61" fillId="0" borderId="0" xfId="0" quotePrefix="1" applyFont="1" applyAlignment="1">
      <alignment horizontal="left"/>
    </xf>
    <xf numFmtId="0" fontId="123" fillId="0" borderId="0" xfId="0" applyFont="1"/>
    <xf numFmtId="175" fontId="111" fillId="13" borderId="9" xfId="0" applyNumberFormat="1" applyFont="1" applyFill="1" applyBorder="1" applyAlignment="1">
      <alignment horizontal="left"/>
    </xf>
    <xf numFmtId="175" fontId="112" fillId="15" borderId="9" xfId="0" applyNumberFormat="1" applyFont="1" applyFill="1" applyBorder="1" applyAlignment="1">
      <alignment horizontal="right"/>
    </xf>
    <xf numFmtId="175" fontId="111" fillId="13" borderId="9" xfId="0" applyNumberFormat="1" applyFont="1" applyFill="1" applyBorder="1" applyAlignment="1">
      <alignment horizontal="right"/>
    </xf>
    <xf numFmtId="175" fontId="111" fillId="0" borderId="20" xfId="0" applyNumberFormat="1" applyFont="1" applyBorder="1" applyAlignment="1">
      <alignment horizontal="left"/>
    </xf>
    <xf numFmtId="175" fontId="0" fillId="0" borderId="0" xfId="0" applyNumberFormat="1"/>
    <xf numFmtId="175" fontId="112" fillId="15" borderId="9" xfId="0" applyNumberFormat="1" applyFont="1" applyFill="1" applyBorder="1" applyAlignment="1">
      <alignment horizontal="left"/>
    </xf>
    <xf numFmtId="175" fontId="111" fillId="0" borderId="9" xfId="0" quotePrefix="1" applyNumberFormat="1" applyFont="1" applyBorder="1" applyAlignment="1">
      <alignment horizontal="left"/>
    </xf>
    <xf numFmtId="175" fontId="112" fillId="13" borderId="9" xfId="0" applyNumberFormat="1" applyFont="1" applyFill="1" applyBorder="1" applyAlignment="1">
      <alignment horizontal="right"/>
    </xf>
    <xf numFmtId="175" fontId="112" fillId="13" borderId="9" xfId="0" applyNumberFormat="1" applyFont="1" applyFill="1" applyBorder="1" applyAlignment="1">
      <alignment horizontal="left"/>
    </xf>
    <xf numFmtId="175" fontId="111" fillId="25" borderId="9" xfId="0" applyNumberFormat="1" applyFont="1" applyFill="1" applyBorder="1" applyAlignment="1">
      <alignment horizontal="left"/>
    </xf>
    <xf numFmtId="0" fontId="51" fillId="4" borderId="9" xfId="0" quotePrefix="1" applyFont="1" applyFill="1" applyBorder="1"/>
    <xf numFmtId="49" fontId="47" fillId="4" borderId="9" xfId="0" quotePrefix="1" applyNumberFormat="1" applyFont="1" applyFill="1" applyBorder="1" applyAlignment="1">
      <alignment horizontal="left"/>
    </xf>
    <xf numFmtId="49" fontId="49" fillId="4" borderId="9" xfId="0" quotePrefix="1" applyNumberFormat="1" applyFont="1" applyFill="1" applyBorder="1"/>
    <xf numFmtId="0" fontId="44" fillId="4" borderId="9" xfId="0" quotePrefix="1" applyFont="1" applyFill="1" applyBorder="1" applyAlignment="1">
      <alignment horizontal="center"/>
    </xf>
    <xf numFmtId="0" fontId="13" fillId="4" borderId="9" xfId="0" quotePrefix="1" applyFont="1" applyFill="1" applyBorder="1" applyAlignment="1">
      <alignment horizontal="right" vertical="center"/>
    </xf>
    <xf numFmtId="0" fontId="44" fillId="4" borderId="9" xfId="0" quotePrefix="1" applyFont="1" applyFill="1" applyBorder="1" applyAlignment="1">
      <alignment horizontal="right" vertical="center"/>
    </xf>
    <xf numFmtId="0" fontId="53" fillId="4" borderId="9" xfId="0" quotePrefix="1" applyFont="1" applyFill="1" applyBorder="1" applyAlignment="1">
      <alignment horizontal="left"/>
    </xf>
    <xf numFmtId="0" fontId="0" fillId="4" borderId="9" xfId="0" applyFill="1" applyBorder="1"/>
    <xf numFmtId="0" fontId="123" fillId="4" borderId="0" xfId="0" applyFont="1" applyFill="1"/>
    <xf numFmtId="0" fontId="52" fillId="4" borderId="9" xfId="0" quotePrefix="1" applyFont="1" applyFill="1" applyBorder="1" applyAlignment="1">
      <alignment horizontal="left"/>
    </xf>
    <xf numFmtId="49" fontId="13" fillId="4" borderId="9" xfId="0" quotePrefix="1" applyNumberFormat="1" applyFont="1" applyFill="1" applyBorder="1" applyAlignment="1">
      <alignment horizontal="left"/>
    </xf>
    <xf numFmtId="0" fontId="42" fillId="4" borderId="9" xfId="0" quotePrefix="1" applyFont="1" applyFill="1" applyBorder="1" applyAlignment="1">
      <alignment horizontal="center"/>
    </xf>
    <xf numFmtId="0" fontId="0" fillId="4" borderId="9" xfId="0" applyFill="1" applyBorder="1" applyAlignment="1">
      <alignment horizontal="right" vertical="center"/>
    </xf>
    <xf numFmtId="10" fontId="61" fillId="4" borderId="9" xfId="0" quotePrefix="1" applyNumberFormat="1" applyFont="1" applyFill="1" applyBorder="1" applyAlignment="1">
      <alignment horizontal="center"/>
    </xf>
    <xf numFmtId="10" fontId="61" fillId="30" borderId="9" xfId="0" quotePrefix="1" applyNumberFormat="1" applyFont="1" applyFill="1" applyBorder="1" applyAlignment="1">
      <alignment horizontal="center"/>
    </xf>
    <xf numFmtId="175" fontId="111" fillId="34" borderId="9" xfId="0" applyNumberFormat="1" applyFont="1" applyFill="1" applyBorder="1" applyAlignment="1">
      <alignment horizontal="left"/>
    </xf>
    <xf numFmtId="175" fontId="111" fillId="0" borderId="9" xfId="0" applyNumberFormat="1" applyFont="1" applyBorder="1" applyAlignment="1">
      <alignment horizontal="center"/>
    </xf>
    <xf numFmtId="175" fontId="111" fillId="15" borderId="9" xfId="0" applyNumberFormat="1" applyFont="1" applyFill="1" applyBorder="1" applyAlignment="1">
      <alignment horizontal="right"/>
    </xf>
    <xf numFmtId="0" fontId="112" fillId="16" borderId="10" xfId="0" applyFont="1" applyFill="1" applyBorder="1" applyAlignment="1">
      <alignment horizontal="left"/>
    </xf>
    <xf numFmtId="0" fontId="102" fillId="4" borderId="9" xfId="0" applyFont="1" applyFill="1" applyBorder="1"/>
    <xf numFmtId="0" fontId="0" fillId="0" borderId="9" xfId="0" applyBorder="1" applyAlignment="1">
      <alignment horizontal="left" vertical="top" wrapText="1"/>
    </xf>
    <xf numFmtId="0" fontId="0" fillId="0" borderId="9" xfId="0" quotePrefix="1" applyBorder="1" applyAlignment="1">
      <alignment horizontal="left" vertical="top" wrapText="1"/>
    </xf>
    <xf numFmtId="0" fontId="112" fillId="26" borderId="9" xfId="0" applyFont="1" applyFill="1" applyBorder="1" applyAlignment="1">
      <alignment horizontal="left"/>
    </xf>
    <xf numFmtId="0" fontId="111" fillId="26" borderId="9" xfId="0" applyFont="1" applyFill="1" applyBorder="1" applyAlignment="1">
      <alignment horizontal="left"/>
    </xf>
    <xf numFmtId="0" fontId="112" fillId="37" borderId="9" xfId="0" applyFont="1" applyFill="1" applyBorder="1" applyAlignment="1">
      <alignment horizontal="left"/>
    </xf>
    <xf numFmtId="0" fontId="12" fillId="0" borderId="9" xfId="0" quotePrefix="1" applyFont="1" applyBorder="1"/>
    <xf numFmtId="49" fontId="12" fillId="4" borderId="9" xfId="0" quotePrefix="1" applyNumberFormat="1" applyFont="1" applyFill="1" applyBorder="1" applyAlignment="1">
      <alignment horizontal="left"/>
    </xf>
    <xf numFmtId="0" fontId="28" fillId="13" borderId="9" xfId="0" quotePrefix="1" applyFont="1" applyFill="1" applyBorder="1" applyAlignment="1">
      <alignment horizontal="left"/>
    </xf>
    <xf numFmtId="0" fontId="12" fillId="13" borderId="9" xfId="0" quotePrefix="1" applyFont="1" applyFill="1" applyBorder="1" applyAlignment="1">
      <alignment horizontal="left"/>
    </xf>
    <xf numFmtId="17" fontId="12" fillId="4" borderId="9" xfId="0" quotePrefix="1" applyNumberFormat="1" applyFont="1" applyFill="1" applyBorder="1" applyAlignment="1">
      <alignment horizontal="left"/>
    </xf>
    <xf numFmtId="0" fontId="17" fillId="15" borderId="9" xfId="0" quotePrefix="1" applyFont="1" applyFill="1" applyBorder="1"/>
    <xf numFmtId="0" fontId="28" fillId="15" borderId="9" xfId="0" quotePrefix="1" applyFont="1" applyFill="1" applyBorder="1" applyAlignment="1">
      <alignment horizontal="left"/>
    </xf>
    <xf numFmtId="0" fontId="11" fillId="0" borderId="9" xfId="0" quotePrefix="1" applyFont="1" applyBorder="1" applyAlignment="1">
      <alignment horizontal="left"/>
    </xf>
    <xf numFmtId="0" fontId="11" fillId="15" borderId="9" xfId="0" quotePrefix="1" applyFont="1" applyFill="1" applyBorder="1" applyAlignment="1">
      <alignment horizontal="left"/>
    </xf>
    <xf numFmtId="0" fontId="11" fillId="0" borderId="9" xfId="0" quotePrefix="1" applyFont="1" applyBorder="1"/>
    <xf numFmtId="0" fontId="28" fillId="15" borderId="9" xfId="0" quotePrefix="1" applyFont="1" applyFill="1" applyBorder="1"/>
    <xf numFmtId="0" fontId="102" fillId="16" borderId="9" xfId="0" applyFont="1" applyFill="1" applyBorder="1"/>
    <xf numFmtId="0" fontId="111" fillId="26" borderId="9" xfId="0" applyFont="1" applyFill="1" applyBorder="1" applyAlignment="1">
      <alignment horizontal="right"/>
    </xf>
    <xf numFmtId="9" fontId="111" fillId="34" borderId="9" xfId="0" quotePrefix="1" applyNumberFormat="1" applyFont="1" applyFill="1" applyBorder="1"/>
    <xf numFmtId="9" fontId="111" fillId="21" borderId="9" xfId="0" quotePrefix="1" applyNumberFormat="1" applyFont="1" applyFill="1" applyBorder="1"/>
    <xf numFmtId="0" fontId="112" fillId="16" borderId="9" xfId="0" quotePrefix="1" applyFont="1" applyFill="1" applyBorder="1" applyAlignment="1">
      <alignment horizontal="left"/>
    </xf>
    <xf numFmtId="1" fontId="111" fillId="26" borderId="9" xfId="0" applyNumberFormat="1" applyFont="1" applyFill="1" applyBorder="1" applyAlignment="1">
      <alignment horizontal="right"/>
    </xf>
    <xf numFmtId="9" fontId="111" fillId="26" borderId="9" xfId="0" applyNumberFormat="1" applyFont="1" applyFill="1" applyBorder="1" applyAlignment="1">
      <alignment horizontal="right"/>
    </xf>
    <xf numFmtId="0" fontId="111" fillId="29" borderId="9" xfId="0" applyFont="1" applyFill="1" applyBorder="1" applyAlignment="1">
      <alignment horizontal="left"/>
    </xf>
    <xf numFmtId="0" fontId="111" fillId="29" borderId="9" xfId="0" applyFont="1" applyFill="1" applyBorder="1" applyAlignment="1">
      <alignment horizontal="right"/>
    </xf>
    <xf numFmtId="9" fontId="111" fillId="29" borderId="9" xfId="0" applyNumberFormat="1" applyFont="1" applyFill="1" applyBorder="1" applyAlignment="1">
      <alignment horizontal="right"/>
    </xf>
    <xf numFmtId="1" fontId="111" fillId="29" borderId="9" xfId="0" applyNumberFormat="1" applyFont="1" applyFill="1" applyBorder="1" applyAlignment="1">
      <alignment horizontal="right"/>
    </xf>
    <xf numFmtId="9" fontId="111" fillId="29" borderId="9" xfId="0" quotePrefix="1" applyNumberFormat="1" applyFont="1" applyFill="1" applyBorder="1"/>
    <xf numFmtId="0" fontId="111" fillId="34" borderId="9" xfId="0" applyFont="1" applyFill="1" applyBorder="1" applyAlignment="1">
      <alignment horizontal="right"/>
    </xf>
    <xf numFmtId="0" fontId="112" fillId="34" borderId="9" xfId="0" applyFont="1" applyFill="1" applyBorder="1" applyAlignment="1">
      <alignment horizontal="left"/>
    </xf>
    <xf numFmtId="0" fontId="111" fillId="13" borderId="9" xfId="0" applyFont="1" applyFill="1" applyBorder="1" applyAlignment="1">
      <alignment horizontal="right"/>
    </xf>
    <xf numFmtId="9" fontId="111" fillId="31" borderId="9" xfId="0" quotePrefix="1" applyNumberFormat="1" applyFont="1" applyFill="1" applyBorder="1"/>
    <xf numFmtId="9" fontId="111" fillId="14" borderId="9" xfId="0" quotePrefix="1" applyNumberFormat="1" applyFont="1" applyFill="1" applyBorder="1"/>
    <xf numFmtId="0" fontId="124" fillId="16" borderId="9" xfId="0" applyFont="1" applyFill="1" applyBorder="1" applyAlignment="1">
      <alignment horizontal="left"/>
    </xf>
    <xf numFmtId="9" fontId="10" fillId="0" borderId="9" xfId="0" quotePrefix="1" applyNumberFormat="1" applyFont="1" applyBorder="1"/>
    <xf numFmtId="0" fontId="120" fillId="16" borderId="9" xfId="0" quotePrefix="1" applyFont="1" applyFill="1" applyBorder="1" applyAlignment="1">
      <alignment horizontal="center"/>
    </xf>
    <xf numFmtId="3" fontId="120" fillId="34" borderId="29" xfId="0" quotePrefix="1" applyNumberFormat="1" applyFont="1" applyFill="1" applyBorder="1"/>
    <xf numFmtId="0" fontId="16" fillId="0" borderId="0" xfId="0" quotePrefix="1" applyFont="1"/>
    <xf numFmtId="0" fontId="15" fillId="0" borderId="0" xfId="0" quotePrefix="1" applyFont="1"/>
    <xf numFmtId="0" fontId="120" fillId="25" borderId="9" xfId="0" quotePrefix="1" applyFont="1" applyFill="1" applyBorder="1"/>
    <xf numFmtId="0" fontId="11" fillId="13" borderId="9" xfId="0" quotePrefix="1" applyFont="1" applyFill="1" applyBorder="1" applyAlignment="1">
      <alignment horizontal="left"/>
    </xf>
    <xf numFmtId="0" fontId="9" fillId="0" borderId="9" xfId="0" quotePrefix="1" applyFont="1" applyBorder="1" applyAlignment="1">
      <alignment horizontal="left"/>
    </xf>
    <xf numFmtId="0" fontId="18" fillId="15" borderId="9" xfId="0" quotePrefix="1" applyFont="1" applyFill="1" applyBorder="1"/>
    <xf numFmtId="0" fontId="108" fillId="0" borderId="9" xfId="0" quotePrefix="1" applyFont="1" applyBorder="1" applyAlignment="1">
      <alignment horizontal="center"/>
    </xf>
    <xf numFmtId="0" fontId="8" fillId="0" borderId="9" xfId="0" quotePrefix="1" applyFont="1" applyBorder="1"/>
    <xf numFmtId="10" fontId="61" fillId="33" borderId="9" xfId="0" quotePrefix="1" applyNumberFormat="1" applyFont="1" applyFill="1" applyBorder="1"/>
    <xf numFmtId="0" fontId="51" fillId="33" borderId="9" xfId="0" quotePrefix="1" applyFont="1" applyFill="1" applyBorder="1"/>
    <xf numFmtId="10" fontId="61" fillId="38" borderId="9" xfId="0" quotePrefix="1" applyNumberFormat="1" applyFont="1" applyFill="1" applyBorder="1" applyAlignment="1">
      <alignment horizontal="center"/>
    </xf>
    <xf numFmtId="0" fontId="50" fillId="13" borderId="24" xfId="0" quotePrefix="1" applyFont="1" applyFill="1" applyBorder="1"/>
    <xf numFmtId="175" fontId="111" fillId="0" borderId="0" xfId="0" applyNumberFormat="1" applyFont="1" applyAlignment="1">
      <alignment horizontal="center"/>
    </xf>
    <xf numFmtId="0" fontId="102" fillId="4" borderId="0" xfId="0" applyFont="1" applyFill="1"/>
    <xf numFmtId="0" fontId="0" fillId="0" borderId="0" xfId="0" quotePrefix="1" applyAlignment="1">
      <alignment horizontal="left" vertical="top" wrapText="1"/>
    </xf>
    <xf numFmtId="0" fontId="7" fillId="0" borderId="9" xfId="0" applyFont="1" applyBorder="1"/>
    <xf numFmtId="168" fontId="116" fillId="16" borderId="9" xfId="2" applyFont="1" applyFill="1" applyBorder="1"/>
    <xf numFmtId="168" fontId="70" fillId="34" borderId="9" xfId="2" applyFont="1" applyFill="1" applyBorder="1"/>
    <xf numFmtId="0" fontId="6" fillId="0" borderId="9" xfId="0" applyFont="1" applyBorder="1"/>
    <xf numFmtId="0" fontId="5" fillId="4" borderId="9" xfId="0" quotePrefix="1" applyFont="1" applyFill="1" applyBorder="1"/>
    <xf numFmtId="17" fontId="5" fillId="33" borderId="9" xfId="0" quotePrefix="1" applyNumberFormat="1" applyFont="1" applyFill="1" applyBorder="1" applyAlignment="1">
      <alignment horizontal="center"/>
    </xf>
    <xf numFmtId="0" fontId="111" fillId="26" borderId="22" xfId="0" applyFont="1" applyFill="1" applyBorder="1" applyAlignment="1">
      <alignment horizontal="left"/>
    </xf>
    <xf numFmtId="175" fontId="0" fillId="0" borderId="9" xfId="0" applyNumberFormat="1" applyBorder="1"/>
    <xf numFmtId="18" fontId="111" fillId="26" borderId="9" xfId="0" applyNumberFormat="1" applyFont="1" applyFill="1" applyBorder="1" applyAlignment="1">
      <alignment horizontal="left"/>
    </xf>
    <xf numFmtId="0" fontId="112" fillId="0" borderId="9" xfId="0" applyFont="1" applyBorder="1"/>
    <xf numFmtId="175" fontId="112" fillId="0" borderId="21" xfId="0" applyNumberFormat="1" applyFont="1" applyBorder="1"/>
    <xf numFmtId="175" fontId="111" fillId="0" borderId="21" xfId="0" applyNumberFormat="1" applyFont="1" applyBorder="1" applyAlignment="1">
      <alignment horizontal="left"/>
    </xf>
    <xf numFmtId="0" fontId="0" fillId="0" borderId="21" xfId="0" applyBorder="1"/>
    <xf numFmtId="175" fontId="111" fillId="0" borderId="21" xfId="0" applyNumberFormat="1" applyFont="1" applyBorder="1" applyAlignment="1">
      <alignment horizontal="right"/>
    </xf>
    <xf numFmtId="175" fontId="111" fillId="0" borderId="21" xfId="0" quotePrefix="1" applyNumberFormat="1" applyFont="1" applyBorder="1" applyAlignment="1">
      <alignment horizontal="left"/>
    </xf>
    <xf numFmtId="175" fontId="111" fillId="0" borderId="22" xfId="0" applyNumberFormat="1" applyFont="1" applyBorder="1" applyAlignment="1">
      <alignment horizontal="left"/>
    </xf>
    <xf numFmtId="175" fontId="111" fillId="0" borderId="22" xfId="0" applyNumberFormat="1" applyFont="1" applyBorder="1" applyAlignment="1">
      <alignment horizontal="center"/>
    </xf>
    <xf numFmtId="175" fontId="112" fillId="0" borderId="9" xfId="0" applyNumberFormat="1" applyFont="1" applyBorder="1"/>
    <xf numFmtId="0" fontId="0" fillId="16" borderId="9" xfId="0" applyFill="1" applyBorder="1"/>
    <xf numFmtId="0" fontId="112" fillId="0" borderId="0" xfId="0" applyFont="1"/>
    <xf numFmtId="0" fontId="112" fillId="0" borderId="9" xfId="0" quotePrefix="1" applyFont="1" applyBorder="1"/>
    <xf numFmtId="0" fontId="4" fillId="0" borderId="9" xfId="0" quotePrefix="1" applyFont="1" applyBorder="1"/>
    <xf numFmtId="0" fontId="17" fillId="31" borderId="9" xfId="0" quotePrefix="1" applyFont="1" applyFill="1" applyBorder="1"/>
    <xf numFmtId="0" fontId="104" fillId="16" borderId="9" xfId="0" quotePrefix="1" applyFont="1" applyFill="1" applyBorder="1"/>
    <xf numFmtId="0" fontId="125" fillId="16" borderId="9" xfId="0" quotePrefix="1" applyFont="1" applyFill="1" applyBorder="1"/>
    <xf numFmtId="0" fontId="107" fillId="0" borderId="0" xfId="0" applyFont="1"/>
    <xf numFmtId="0" fontId="108" fillId="0" borderId="0" xfId="0" quotePrefix="1" applyFont="1"/>
    <xf numFmtId="0" fontId="107" fillId="15" borderId="0" xfId="0" quotePrefix="1" applyFont="1" applyFill="1"/>
    <xf numFmtId="0" fontId="126" fillId="0" borderId="21" xfId="0" applyFont="1" applyBorder="1"/>
    <xf numFmtId="0" fontId="127" fillId="16" borderId="30" xfId="0" quotePrefix="1" applyFont="1" applyFill="1" applyBorder="1"/>
    <xf numFmtId="0" fontId="127" fillId="16" borderId="31" xfId="0" quotePrefix="1" applyFont="1" applyFill="1" applyBorder="1"/>
    <xf numFmtId="0" fontId="127" fillId="16" borderId="32" xfId="0" quotePrefix="1" applyFont="1" applyFill="1" applyBorder="1"/>
    <xf numFmtId="0" fontId="109" fillId="0" borderId="0" xfId="7" applyFont="1"/>
    <xf numFmtId="0" fontId="104" fillId="16" borderId="10" xfId="0" quotePrefix="1" applyFont="1" applyFill="1" applyBorder="1"/>
    <xf numFmtId="0" fontId="108" fillId="0" borderId="9" xfId="0" applyFont="1" applyBorder="1" applyAlignment="1">
      <alignment horizontal="left"/>
    </xf>
    <xf numFmtId="0" fontId="108" fillId="4" borderId="9" xfId="0" quotePrefix="1" applyFont="1" applyFill="1" applyBorder="1"/>
    <xf numFmtId="2" fontId="108" fillId="0" borderId="9" xfId="0" applyNumberFormat="1" applyFont="1" applyBorder="1"/>
    <xf numFmtId="0" fontId="110" fillId="0" borderId="9" xfId="0" applyFont="1" applyBorder="1" applyAlignment="1">
      <alignment wrapText="1"/>
    </xf>
    <xf numFmtId="168" fontId="93" fillId="0" borderId="0" xfId="2" applyFont="1"/>
    <xf numFmtId="0" fontId="108" fillId="0" borderId="9" xfId="0" applyFont="1" applyBorder="1" applyAlignment="1">
      <alignment horizontal="right"/>
    </xf>
    <xf numFmtId="0" fontId="107" fillId="16" borderId="9" xfId="0" quotePrefix="1" applyFont="1" applyFill="1" applyBorder="1"/>
    <xf numFmtId="168" fontId="92" fillId="0" borderId="9" xfId="2" applyFont="1" applyBorder="1"/>
    <xf numFmtId="168" fontId="93" fillId="0" borderId="0" xfId="2" applyFont="1" applyAlignment="1">
      <alignment horizontal="left"/>
    </xf>
    <xf numFmtId="168" fontId="92" fillId="39" borderId="9" xfId="2" applyFont="1" applyFill="1" applyBorder="1"/>
    <xf numFmtId="168" fontId="92" fillId="3" borderId="9" xfId="2" applyFont="1" applyFill="1" applyBorder="1"/>
    <xf numFmtId="0" fontId="104" fillId="0" borderId="0" xfId="0" applyFont="1"/>
    <xf numFmtId="168" fontId="129" fillId="0" borderId="0" xfId="2" applyFont="1"/>
    <xf numFmtId="15" fontId="108" fillId="0" borderId="9" xfId="0" applyNumberFormat="1" applyFont="1" applyBorder="1"/>
    <xf numFmtId="15" fontId="111" fillId="26" borderId="9" xfId="0" applyNumberFormat="1" applyFont="1" applyFill="1" applyBorder="1" applyAlignment="1">
      <alignment horizontal="left"/>
    </xf>
    <xf numFmtId="3" fontId="111" fillId="26" borderId="9" xfId="0" applyNumberFormat="1" applyFont="1" applyFill="1" applyBorder="1" applyAlignment="1">
      <alignment horizontal="right"/>
    </xf>
    <xf numFmtId="17" fontId="111" fillId="26" borderId="9" xfId="0" applyNumberFormat="1" applyFont="1" applyFill="1" applyBorder="1" applyAlignment="1">
      <alignment horizontal="right"/>
    </xf>
    <xf numFmtId="17" fontId="0" fillId="0" borderId="9" xfId="0" applyNumberFormat="1" applyBorder="1"/>
    <xf numFmtId="168" fontId="93" fillId="15" borderId="9" xfId="2" applyFont="1" applyFill="1" applyBorder="1" applyAlignment="1">
      <alignment horizontal="left"/>
    </xf>
    <xf numFmtId="168" fontId="93" fillId="13" borderId="9" xfId="2" applyFont="1" applyFill="1" applyBorder="1" applyAlignment="1">
      <alignment horizontal="left"/>
    </xf>
    <xf numFmtId="168" fontId="93" fillId="13" borderId="9" xfId="2" applyFont="1" applyFill="1" applyBorder="1"/>
    <xf numFmtId="0" fontId="0" fillId="21" borderId="9" xfId="0" applyFill="1" applyBorder="1"/>
    <xf numFmtId="0" fontId="0" fillId="16" borderId="10" xfId="0" applyFill="1" applyBorder="1"/>
    <xf numFmtId="0" fontId="102" fillId="13" borderId="0" xfId="0" applyFont="1" applyFill="1"/>
    <xf numFmtId="0" fontId="112" fillId="0" borderId="0" xfId="0" quotePrefix="1" applyFont="1"/>
    <xf numFmtId="0" fontId="0" fillId="0" borderId="10" xfId="0" applyBorder="1"/>
    <xf numFmtId="0" fontId="111" fillId="26" borderId="10" xfId="0" applyFont="1" applyFill="1" applyBorder="1" applyAlignment="1">
      <alignment horizontal="left"/>
    </xf>
    <xf numFmtId="9" fontId="111" fillId="26" borderId="9" xfId="0" applyNumberFormat="1" applyFont="1" applyFill="1" applyBorder="1" applyAlignment="1">
      <alignment horizontal="left"/>
    </xf>
    <xf numFmtId="10" fontId="111" fillId="26" borderId="9" xfId="0" applyNumberFormat="1" applyFont="1" applyFill="1" applyBorder="1" applyAlignment="1">
      <alignment horizontal="left"/>
    </xf>
    <xf numFmtId="175" fontId="112" fillId="26" borderId="9" xfId="0" applyNumberFormat="1" applyFont="1" applyFill="1" applyBorder="1" applyAlignment="1">
      <alignment horizontal="right"/>
    </xf>
    <xf numFmtId="0" fontId="0" fillId="0" borderId="0" xfId="0" applyAlignment="1">
      <alignment wrapText="1"/>
    </xf>
    <xf numFmtId="0" fontId="3" fillId="0" borderId="9" xfId="0" quotePrefix="1" applyFont="1" applyBorder="1"/>
    <xf numFmtId="0" fontId="3" fillId="0" borderId="9" xfId="0" quotePrefix="1" applyFont="1" applyBorder="1" applyAlignment="1">
      <alignment horizontal="left"/>
    </xf>
    <xf numFmtId="15" fontId="4" fillId="0" borderId="9" xfId="0" quotePrefix="1" applyNumberFormat="1" applyFont="1" applyBorder="1"/>
    <xf numFmtId="0" fontId="3" fillId="0" borderId="20" xfId="0" applyFont="1" applyBorder="1"/>
    <xf numFmtId="0" fontId="17" fillId="13" borderId="9" xfId="0" quotePrefix="1" applyFont="1" applyFill="1" applyBorder="1"/>
    <xf numFmtId="0" fontId="87" fillId="15" borderId="9" xfId="0" quotePrefix="1" applyFont="1" applyFill="1" applyBorder="1"/>
    <xf numFmtId="0" fontId="2" fillId="0" borderId="28" xfId="0" applyFont="1" applyBorder="1"/>
    <xf numFmtId="168" fontId="72" fillId="15" borderId="9" xfId="2" quotePrefix="1" applyFont="1" applyFill="1" applyBorder="1"/>
    <xf numFmtId="168" fontId="72" fillId="15" borderId="9" xfId="2" applyFont="1" applyFill="1" applyBorder="1"/>
    <xf numFmtId="172" fontId="72" fillId="15" borderId="9" xfId="2" applyNumberFormat="1" applyFont="1" applyFill="1" applyBorder="1"/>
    <xf numFmtId="1" fontId="72" fillId="15" borderId="9" xfId="2" applyNumberFormat="1" applyFont="1" applyFill="1" applyBorder="1" applyAlignment="1">
      <alignment horizontal="right" vertical="center"/>
    </xf>
    <xf numFmtId="1" fontId="72" fillId="25" borderId="9" xfId="2" applyNumberFormat="1" applyFont="1" applyFill="1" applyBorder="1" applyAlignment="1">
      <alignment horizontal="right" vertical="center"/>
    </xf>
    <xf numFmtId="1" fontId="112" fillId="34" borderId="9" xfId="0" applyNumberFormat="1" applyFont="1" applyFill="1" applyBorder="1" applyAlignment="1">
      <alignment horizontal="left"/>
    </xf>
    <xf numFmtId="1" fontId="70" fillId="16" borderId="9" xfId="2" applyNumberFormat="1" applyFont="1" applyFill="1" applyBorder="1" applyAlignment="1">
      <alignment horizontal="center"/>
    </xf>
    <xf numFmtId="1" fontId="72" fillId="13" borderId="9" xfId="2" applyNumberFormat="1" applyFont="1" applyFill="1" applyBorder="1" applyAlignment="1">
      <alignment horizontal="right" vertical="center"/>
    </xf>
    <xf numFmtId="168" fontId="70" fillId="16" borderId="9" xfId="2" applyFont="1" applyFill="1" applyBorder="1" applyAlignment="1">
      <alignment horizontal="center"/>
    </xf>
    <xf numFmtId="168" fontId="70" fillId="16" borderId="9" xfId="2" applyFont="1" applyFill="1" applyBorder="1" applyAlignment="1">
      <alignment horizontal="left"/>
    </xf>
    <xf numFmtId="1" fontId="70" fillId="15" borderId="9" xfId="2" quotePrefix="1" applyNumberFormat="1" applyFont="1" applyFill="1" applyBorder="1" applyAlignment="1">
      <alignment horizontal="right" vertical="center"/>
    </xf>
    <xf numFmtId="0" fontId="107" fillId="13" borderId="0" xfId="0" applyFont="1" applyFill="1"/>
    <xf numFmtId="0" fontId="1" fillId="0" borderId="9" xfId="0" applyFont="1" applyBorder="1"/>
    <xf numFmtId="168" fontId="70" fillId="15" borderId="9" xfId="2" applyFont="1" applyFill="1" applyBorder="1"/>
    <xf numFmtId="1" fontId="71" fillId="16" borderId="9" xfId="2" applyNumberFormat="1" applyFont="1" applyFill="1" applyBorder="1" applyAlignment="1">
      <alignment horizontal="left"/>
    </xf>
    <xf numFmtId="1" fontId="71" fillId="16" borderId="10" xfId="2" applyNumberFormat="1" applyFont="1" applyFill="1" applyBorder="1" applyAlignment="1">
      <alignment horizontal="left"/>
    </xf>
    <xf numFmtId="1" fontId="70" fillId="16" borderId="10" xfId="2" applyNumberFormat="1" applyFont="1" applyFill="1" applyBorder="1" applyAlignment="1">
      <alignment horizontal="center"/>
    </xf>
    <xf numFmtId="1" fontId="71" fillId="40" borderId="9" xfId="2" applyNumberFormat="1" applyFont="1" applyFill="1" applyBorder="1" applyAlignment="1">
      <alignment horizontal="left"/>
    </xf>
    <xf numFmtId="3" fontId="72" fillId="15" borderId="9" xfId="2" applyNumberFormat="1" applyFont="1" applyFill="1" applyBorder="1" applyAlignment="1">
      <alignment horizontal="right" vertical="center"/>
    </xf>
    <xf numFmtId="3" fontId="72" fillId="15" borderId="9" xfId="2" applyNumberFormat="1" applyFont="1" applyFill="1" applyBorder="1"/>
    <xf numFmtId="1" fontId="70" fillId="15" borderId="9" xfId="2" applyNumberFormat="1" applyFont="1" applyFill="1" applyBorder="1" applyAlignment="1">
      <alignment horizontal="right"/>
    </xf>
    <xf numFmtId="3" fontId="72" fillId="25" borderId="9" xfId="2" applyNumberFormat="1" applyFont="1" applyFill="1" applyBorder="1"/>
    <xf numFmtId="3" fontId="70" fillId="15" borderId="9" xfId="2" applyNumberFormat="1" applyFont="1" applyFill="1" applyBorder="1"/>
    <xf numFmtId="0" fontId="130" fillId="35" borderId="33" xfId="0" applyFont="1" applyFill="1" applyBorder="1" applyAlignment="1">
      <alignment horizontal="center"/>
    </xf>
    <xf numFmtId="0" fontId="130" fillId="35" borderId="34" xfId="0" applyFont="1" applyFill="1" applyBorder="1" applyAlignment="1">
      <alignment horizontal="center"/>
    </xf>
    <xf numFmtId="1" fontId="70" fillId="40" borderId="9" xfId="2" applyNumberFormat="1" applyFont="1" applyFill="1" applyBorder="1" applyAlignment="1">
      <alignment horizontal="center"/>
    </xf>
    <xf numFmtId="1" fontId="70" fillId="40" borderId="21" xfId="2" applyNumberFormat="1" applyFont="1" applyFill="1" applyBorder="1" applyAlignment="1">
      <alignment horizontal="center"/>
    </xf>
    <xf numFmtId="1" fontId="70" fillId="40" borderId="23" xfId="2" applyNumberFormat="1" applyFont="1" applyFill="1" applyBorder="1" applyAlignment="1">
      <alignment horizontal="center"/>
    </xf>
    <xf numFmtId="1" fontId="70" fillId="40" borderId="22" xfId="2" applyNumberFormat="1" applyFont="1" applyFill="1" applyBorder="1" applyAlignment="1">
      <alignment horizontal="center"/>
    </xf>
    <xf numFmtId="1" fontId="116" fillId="16" borderId="21" xfId="2" applyNumberFormat="1" applyFont="1" applyFill="1" applyBorder="1" applyAlignment="1">
      <alignment horizontal="left"/>
    </xf>
    <xf numFmtId="1" fontId="116" fillId="16" borderId="22" xfId="2" applyNumberFormat="1" applyFont="1" applyFill="1" applyBorder="1" applyAlignment="1">
      <alignment horizontal="left"/>
    </xf>
    <xf numFmtId="1" fontId="116" fillId="16" borderId="23" xfId="2" applyNumberFormat="1" applyFont="1" applyFill="1" applyBorder="1" applyAlignment="1">
      <alignment horizontal="left"/>
    </xf>
    <xf numFmtId="0" fontId="87" fillId="15" borderId="21" xfId="0" quotePrefix="1" applyFont="1" applyFill="1" applyBorder="1" applyAlignment="1">
      <alignment horizontal="center"/>
    </xf>
    <xf numFmtId="0" fontId="87" fillId="15" borderId="22" xfId="0" quotePrefix="1" applyFont="1" applyFill="1" applyBorder="1" applyAlignment="1">
      <alignment horizontal="center"/>
    </xf>
    <xf numFmtId="0" fontId="122" fillId="15" borderId="9" xfId="0" applyFont="1" applyFill="1" applyBorder="1" applyAlignment="1">
      <alignment horizontal="center"/>
    </xf>
    <xf numFmtId="0" fontId="0" fillId="0" borderId="21" xfId="0" applyBorder="1" applyAlignment="1">
      <alignment horizontal="left"/>
    </xf>
    <xf numFmtId="0" fontId="0" fillId="0" borderId="23" xfId="0" applyBorder="1" applyAlignment="1">
      <alignment horizontal="left"/>
    </xf>
    <xf numFmtId="0" fontId="0" fillId="0" borderId="22" xfId="0" applyBorder="1" applyAlignment="1">
      <alignment horizontal="left"/>
    </xf>
    <xf numFmtId="168" fontId="93" fillId="0" borderId="9" xfId="2" applyFont="1" applyBorder="1" applyAlignment="1">
      <alignment horizontal="left"/>
    </xf>
    <xf numFmtId="168" fontId="92" fillId="0" borderId="9" xfId="2" applyFont="1" applyBorder="1" applyAlignment="1">
      <alignment horizontal="left"/>
    </xf>
    <xf numFmtId="0" fontId="95" fillId="19" borderId="21" xfId="0" applyFont="1" applyFill="1" applyBorder="1" applyAlignment="1">
      <alignment horizontal="center"/>
    </xf>
    <xf numFmtId="0" fontId="95" fillId="19" borderId="23" xfId="0" applyFont="1" applyFill="1" applyBorder="1" applyAlignment="1">
      <alignment horizontal="center"/>
    </xf>
    <xf numFmtId="0" fontId="95" fillId="19" borderId="22" xfId="0" applyFont="1" applyFill="1" applyBorder="1" applyAlignment="1">
      <alignment horizontal="center"/>
    </xf>
    <xf numFmtId="175" fontId="112" fillId="0" borderId="21" xfId="0" applyNumberFormat="1" applyFont="1" applyBorder="1" applyAlignment="1">
      <alignment horizontal="center"/>
    </xf>
    <xf numFmtId="175" fontId="112" fillId="0" borderId="22" xfId="0" applyNumberFormat="1" applyFont="1" applyBorder="1" applyAlignment="1">
      <alignment horizontal="center"/>
    </xf>
    <xf numFmtId="168" fontId="83" fillId="11" borderId="21" xfId="2" applyFont="1" applyFill="1" applyBorder="1" applyAlignment="1">
      <alignment horizontal="left"/>
    </xf>
    <xf numFmtId="168" fontId="83" fillId="11" borderId="22" xfId="2" applyFont="1" applyFill="1" applyBorder="1" applyAlignment="1">
      <alignment horizontal="left"/>
    </xf>
    <xf numFmtId="168" fontId="84" fillId="16" borderId="21" xfId="2" applyFont="1" applyFill="1" applyBorder="1" applyAlignment="1">
      <alignment horizontal="left"/>
    </xf>
    <xf numFmtId="168" fontId="84" fillId="16" borderId="22" xfId="2" applyFont="1" applyFill="1" applyBorder="1" applyAlignment="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6000000}"/>
    <cellStyle name="Result2" xfId="6" xr:uid="{00000000-0005-0000-0000-000007000000}"/>
  </cellStyles>
  <dxfs count="0"/>
  <tableStyles count="0" defaultTableStyle="TableStyleMedium2" defaultPivotStyle="PivotStyleLight16"/>
  <colors>
    <mruColors>
      <color rgb="FF64F232"/>
      <color rgb="FFF97373"/>
      <color rgb="FFEB43D3"/>
      <color rgb="FFD8B8EA"/>
      <color rgb="FFA65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ainitalcorbetttourism.com/garjia-temple.html" TargetMode="External"/><Relationship Id="rId2" Type="http://schemas.openxmlformats.org/officeDocument/2006/relationships/hyperlink" Target="mailto:epam_options@ubs.com" TargetMode="External"/><Relationship Id="rId1" Type="http://schemas.openxmlformats.org/officeDocument/2006/relationships/hyperlink" Target="mailto:askstockpurchaseplan@epam.com"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director@pingdevelopers.in"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603785707/M@123" TargetMode="External"/><Relationship Id="rId13" Type="http://schemas.openxmlformats.org/officeDocument/2006/relationships/hyperlink" Target="mailto:K@ddmmyy" TargetMode="External"/><Relationship Id="rId3" Type="http://schemas.openxmlformats.org/officeDocument/2006/relationships/hyperlink" Target="mailto:M@" TargetMode="External"/><Relationship Id="rId7" Type="http://schemas.openxmlformats.org/officeDocument/2006/relationships/hyperlink" Target="mailto:sheetal0123@gmail.com" TargetMode="External"/><Relationship Id="rId12" Type="http://schemas.openxmlformats.org/officeDocument/2006/relationships/hyperlink" Target="https://my.claimsolver.es/claims" TargetMode="External"/><Relationship Id="rId2" Type="http://schemas.openxmlformats.org/officeDocument/2006/relationships/hyperlink" Target="mailto:sheetal0123@gmail.com" TargetMode="External"/><Relationship Id="rId1" Type="http://schemas.openxmlformats.org/officeDocument/2006/relationships/hyperlink" Target="mailto:cmasharma147@outlook.com" TargetMode="External"/><Relationship Id="rId6" Type="http://schemas.openxmlformats.org/officeDocument/2006/relationships/hyperlink" Target="mailto:26a@%20/%20250113" TargetMode="External"/><Relationship Id="rId11" Type="http://schemas.openxmlformats.org/officeDocument/2006/relationships/hyperlink" Target="https://www.ubs.com/onesource/EPAM" TargetMode="External"/><Relationship Id="rId5" Type="http://schemas.openxmlformats.org/officeDocument/2006/relationships/hyperlink" Target="mailto:Ka@25.." TargetMode="External"/><Relationship Id="rId10" Type="http://schemas.openxmlformats.org/officeDocument/2006/relationships/hyperlink" Target="mailto:M@***" TargetMode="External"/><Relationship Id="rId4" Type="http://schemas.openxmlformats.org/officeDocument/2006/relationships/hyperlink" Target="mailto:mail2prithvik@gmail.com" TargetMode="External"/><Relationship Id="rId9" Type="http://schemas.openxmlformats.org/officeDocument/2006/relationships/hyperlink" Target="mailto:sheetal0123@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moneycontrol.com/mutual-funds/nav/sbi-long-term-equity-fund-direct-plan-growth/MSB49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app.mfcentral.com/portal/home" TargetMode="External"/><Relationship Id="rId1" Type="http://schemas.openxmlformats.org/officeDocument/2006/relationships/hyperlink" Target="https://app.mfcentral.com/portal/hom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Seema_PAN/K@26" TargetMode="External"/><Relationship Id="rId2" Type="http://schemas.openxmlformats.org/officeDocument/2006/relationships/hyperlink" Target="mailto:Seema_PAN/K@26" TargetMode="External"/><Relationship Id="rId1" Type="http://schemas.openxmlformats.org/officeDocument/2006/relationships/hyperlink" Target="mailto:sheetal0123/M@123" TargetMode="External"/><Relationship Id="rId6" Type="http://schemas.openxmlformats.org/officeDocument/2006/relationships/printerSettings" Target="../printerSettings/printerSettings3.bin"/><Relationship Id="rId5" Type="http://schemas.openxmlformats.org/officeDocument/2006/relationships/hyperlink" Target="mailto:147cmasharma@gmail.com" TargetMode="External"/><Relationship Id="rId4" Type="http://schemas.openxmlformats.org/officeDocument/2006/relationships/hyperlink" Target="mailto:Seema_PAN/K@2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codigospostales.com/28043"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E110"/>
  <sheetViews>
    <sheetView topLeftCell="A77" zoomScaleNormal="100" workbookViewId="0">
      <selection activeCell="F94" sqref="F94"/>
    </sheetView>
  </sheetViews>
  <sheetFormatPr defaultColWidth="8.875" defaultRowHeight="14.25"/>
  <cols>
    <col min="1" max="1" width="0.75" customWidth="1"/>
    <col min="2" max="2" width="14" style="10" customWidth="1"/>
    <col min="3" max="3" width="14.125" style="10" customWidth="1"/>
    <col min="4" max="4" width="11.75" style="10" customWidth="1"/>
    <col min="5" max="5" width="11.375" style="62" customWidth="1"/>
    <col min="6" max="6" width="13.625" style="62" customWidth="1"/>
    <col min="7" max="7" width="15" style="62" customWidth="1"/>
    <col min="8" max="8" width="21.25" style="62" customWidth="1"/>
    <col min="9" max="9" width="10.25" style="10" customWidth="1"/>
    <col min="10" max="11" width="13.625" style="10" customWidth="1"/>
    <col min="12" max="12" width="14" style="10" customWidth="1"/>
    <col min="13" max="13" width="14.125" style="10" customWidth="1"/>
    <col min="14" max="14" width="9.125" style="84" customWidth="1"/>
    <col min="15" max="15" width="16.875" style="84" customWidth="1"/>
    <col min="16" max="16" width="15" style="84" customWidth="1"/>
    <col min="17" max="17" width="19.5" style="84" customWidth="1"/>
    <col min="18" max="18" width="12.5" style="84" customWidth="1"/>
    <col min="19" max="19" width="12" style="10" customWidth="1"/>
    <col min="20" max="20" width="10.625" style="10" customWidth="1"/>
    <col min="21" max="21" width="9.625" style="10" customWidth="1"/>
    <col min="22" max="22" width="13" style="10" customWidth="1"/>
    <col min="23" max="23" width="18.875" style="10" customWidth="1"/>
    <col min="24" max="24" width="9.75" style="10" customWidth="1"/>
    <col min="25" max="1019" width="7" style="10" customWidth="1"/>
  </cols>
  <sheetData>
    <row r="1" spans="2:9" ht="5.25" customHeight="1" thickBot="1"/>
    <row r="2" spans="2:9" ht="21.75" thickBot="1">
      <c r="B2" s="608" t="s">
        <v>1865</v>
      </c>
      <c r="C2" s="609"/>
      <c r="D2" s="62"/>
      <c r="I2" s="62"/>
    </row>
    <row r="3" spans="2:9">
      <c r="B3" s="62"/>
      <c r="C3" s="62"/>
      <c r="D3" s="62"/>
      <c r="I3" s="62"/>
    </row>
    <row r="4" spans="2:9" ht="15">
      <c r="B4" s="328" t="s">
        <v>1866</v>
      </c>
      <c r="C4" s="328"/>
      <c r="D4" s="83"/>
      <c r="G4" s="328" t="s">
        <v>1262</v>
      </c>
      <c r="H4" s="328" t="s">
        <v>1266</v>
      </c>
      <c r="I4" s="84"/>
    </row>
    <row r="5" spans="2:9" ht="15">
      <c r="B5" s="329" t="s">
        <v>1290</v>
      </c>
      <c r="C5" s="597" t="s">
        <v>1868</v>
      </c>
      <c r="D5" s="597" t="s">
        <v>1867</v>
      </c>
      <c r="G5" s="323" t="s">
        <v>1271</v>
      </c>
      <c r="H5" s="329" t="s">
        <v>1310</v>
      </c>
      <c r="I5" s="84"/>
    </row>
    <row r="6" spans="2:9" ht="15">
      <c r="G6" s="323" t="s">
        <v>1274</v>
      </c>
      <c r="H6" s="329" t="s">
        <v>1311</v>
      </c>
      <c r="I6" s="84"/>
    </row>
    <row r="7" spans="2:9" ht="15">
      <c r="B7" s="328" t="s">
        <v>1179</v>
      </c>
      <c r="C7" s="328"/>
      <c r="G7" s="323" t="s">
        <v>1272</v>
      </c>
      <c r="H7" s="323" t="s">
        <v>1287</v>
      </c>
      <c r="I7" s="84"/>
    </row>
    <row r="8" spans="2:9" ht="15">
      <c r="B8" s="77" t="s">
        <v>1180</v>
      </c>
      <c r="C8" s="77" t="s">
        <v>1183</v>
      </c>
      <c r="G8" s="329" t="s">
        <v>1314</v>
      </c>
      <c r="H8" s="329" t="s">
        <v>1313</v>
      </c>
      <c r="I8" s="84"/>
    </row>
    <row r="9" spans="2:9" ht="15">
      <c r="B9" s="77" t="s">
        <v>1181</v>
      </c>
      <c r="C9" s="77" t="s">
        <v>1182</v>
      </c>
      <c r="G9" s="323" t="s">
        <v>1275</v>
      </c>
      <c r="H9" s="323" t="s">
        <v>1279</v>
      </c>
      <c r="I9" s="84"/>
    </row>
    <row r="10" spans="2:9" ht="15">
      <c r="B10" s="77" t="s">
        <v>1869</v>
      </c>
      <c r="C10" s="77" t="s">
        <v>1870</v>
      </c>
      <c r="G10" s="323" t="s">
        <v>1277</v>
      </c>
      <c r="H10" s="323" t="s">
        <v>1286</v>
      </c>
      <c r="I10" s="84"/>
    </row>
    <row r="11" spans="2:9" ht="15">
      <c r="B11" s="77"/>
      <c r="C11" s="598" t="s">
        <v>1184</v>
      </c>
      <c r="G11" s="323" t="s">
        <v>1278</v>
      </c>
      <c r="H11" s="323" t="s">
        <v>1286</v>
      </c>
      <c r="I11" s="84"/>
    </row>
    <row r="12" spans="2:9" ht="15">
      <c r="G12" s="323" t="s">
        <v>1152</v>
      </c>
      <c r="H12" s="323" t="s">
        <v>1280</v>
      </c>
      <c r="I12" s="84"/>
    </row>
    <row r="13" spans="2:9" ht="15">
      <c r="G13" s="323" t="s">
        <v>1288</v>
      </c>
      <c r="H13" s="329" t="s">
        <v>1291</v>
      </c>
      <c r="I13" s="84"/>
    </row>
    <row r="14" spans="2:9" ht="15">
      <c r="B14" s="328" t="s">
        <v>1263</v>
      </c>
      <c r="C14" s="328" t="s">
        <v>1266</v>
      </c>
      <c r="G14" s="323" t="s">
        <v>451</v>
      </c>
      <c r="H14" s="323" t="s">
        <v>1289</v>
      </c>
      <c r="I14" s="84"/>
    </row>
    <row r="15" spans="2:9" ht="15">
      <c r="B15" s="323" t="s">
        <v>1269</v>
      </c>
      <c r="C15" s="323" t="s">
        <v>1265</v>
      </c>
      <c r="G15" s="269"/>
      <c r="H15" s="269"/>
      <c r="I15" s="84"/>
    </row>
    <row r="16" spans="2:9" ht="15">
      <c r="B16" s="323" t="s">
        <v>1267</v>
      </c>
      <c r="C16" s="323" t="s">
        <v>1265</v>
      </c>
      <c r="G16" s="323" t="s">
        <v>1282</v>
      </c>
      <c r="H16" s="323" t="s">
        <v>1283</v>
      </c>
      <c r="I16" s="84"/>
    </row>
    <row r="17" spans="2:1019" ht="15">
      <c r="B17" s="323" t="s">
        <v>1268</v>
      </c>
      <c r="C17" s="323" t="s">
        <v>1265</v>
      </c>
      <c r="G17" s="323" t="s">
        <v>1284</v>
      </c>
      <c r="H17" s="323" t="s">
        <v>1285</v>
      </c>
      <c r="I17" s="84"/>
    </row>
    <row r="18" spans="2:1019" ht="15">
      <c r="B18" s="323" t="s">
        <v>1264</v>
      </c>
      <c r="C18" s="323" t="s">
        <v>1265</v>
      </c>
      <c r="G18" s="323"/>
      <c r="H18" s="323"/>
      <c r="I18" s="84"/>
    </row>
    <row r="19" spans="2:1019" ht="15">
      <c r="B19" s="323" t="s">
        <v>1270</v>
      </c>
      <c r="C19" s="323" t="s">
        <v>1265</v>
      </c>
      <c r="G19" s="323" t="s">
        <v>952</v>
      </c>
      <c r="H19" s="597" t="s">
        <v>1863</v>
      </c>
      <c r="I19" s="84"/>
      <c r="K19" s="62"/>
      <c r="L19" s="62"/>
      <c r="N19" s="10"/>
    </row>
    <row r="20" spans="2:1019" ht="15">
      <c r="B20" s="323" t="s">
        <v>1871</v>
      </c>
      <c r="C20" s="323" t="s">
        <v>1265</v>
      </c>
      <c r="G20" s="323" t="s">
        <v>273</v>
      </c>
      <c r="H20" s="597" t="s">
        <v>1864</v>
      </c>
      <c r="I20" s="84"/>
      <c r="K20" s="62"/>
      <c r="L20" s="62"/>
      <c r="N20" s="10"/>
    </row>
    <row r="21" spans="2:1019" ht="15">
      <c r="G21" s="323"/>
      <c r="H21" s="323"/>
      <c r="I21" s="84"/>
      <c r="K21" s="62"/>
      <c r="L21" s="62"/>
      <c r="N21" s="10"/>
    </row>
    <row r="22" spans="2:1019" ht="15">
      <c r="G22" s="513" t="s">
        <v>1476</v>
      </c>
      <c r="H22" s="516" t="s">
        <v>1635</v>
      </c>
      <c r="I22" s="84"/>
      <c r="J22" s="62"/>
      <c r="K22" s="62"/>
    </row>
    <row r="23" spans="2:1019">
      <c r="B23" s="62"/>
      <c r="C23" s="62"/>
      <c r="D23" s="62"/>
      <c r="I23" s="62"/>
      <c r="J23" s="62"/>
      <c r="K23" s="62"/>
    </row>
    <row r="24" spans="2:1019" ht="15">
      <c r="B24" s="600" t="s">
        <v>1872</v>
      </c>
      <c r="C24" s="601"/>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row>
    <row r="25" spans="2:1019" ht="15">
      <c r="B25" s="602"/>
      <c r="C25" s="611" t="s">
        <v>1873</v>
      </c>
      <c r="D25" s="612"/>
      <c r="E25" s="612"/>
      <c r="F25" s="612"/>
      <c r="G25" s="612"/>
      <c r="H25" s="612"/>
      <c r="I25" s="612"/>
      <c r="J25" s="612"/>
      <c r="K25" s="612"/>
      <c r="L25" s="612"/>
      <c r="M25" s="613"/>
      <c r="N25" s="269"/>
      <c r="O25" s="610" t="s">
        <v>1853</v>
      </c>
      <c r="P25" s="610"/>
      <c r="Q25" s="610" t="s">
        <v>53</v>
      </c>
      <c r="R25" s="610"/>
      <c r="S25" s="610"/>
      <c r="T25" s="610"/>
      <c r="U25" s="610"/>
      <c r="V25" s="610"/>
      <c r="W25" s="610"/>
      <c r="X25" s="610"/>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row>
    <row r="26" spans="2:1019">
      <c r="B26" s="591" t="s">
        <v>19</v>
      </c>
      <c r="C26" s="591" t="s">
        <v>1000</v>
      </c>
      <c r="D26" s="591" t="s">
        <v>24</v>
      </c>
      <c r="E26" s="591" t="s">
        <v>333</v>
      </c>
      <c r="F26" s="591" t="s">
        <v>387</v>
      </c>
      <c r="G26" s="591" t="s">
        <v>1001</v>
      </c>
      <c r="H26" s="593" t="s">
        <v>388</v>
      </c>
      <c r="I26" s="591" t="s">
        <v>1840</v>
      </c>
      <c r="J26" s="591" t="s">
        <v>1471</v>
      </c>
      <c r="K26" s="591" t="s">
        <v>389</v>
      </c>
      <c r="L26" s="591" t="s">
        <v>1880</v>
      </c>
      <c r="M26" s="591" t="s">
        <v>1880</v>
      </c>
      <c r="N26" s="77"/>
      <c r="O26" s="593" t="s">
        <v>1881</v>
      </c>
      <c r="P26" s="593" t="s">
        <v>1140</v>
      </c>
      <c r="Q26" s="593" t="s">
        <v>1152</v>
      </c>
      <c r="R26" s="593" t="s">
        <v>978</v>
      </c>
      <c r="S26" s="594" t="s">
        <v>1882</v>
      </c>
      <c r="T26" s="591" t="s">
        <v>389</v>
      </c>
      <c r="U26" s="591" t="s">
        <v>1883</v>
      </c>
      <c r="V26" s="591" t="s">
        <v>1884</v>
      </c>
      <c r="W26" s="591" t="s">
        <v>1885</v>
      </c>
      <c r="X26" s="591"/>
      <c r="Y26"/>
      <c r="Z26"/>
      <c r="AA26"/>
      <c r="AB26"/>
      <c r="AC26"/>
      <c r="AD26"/>
      <c r="AF26"/>
      <c r="AG26"/>
      <c r="AH26"/>
      <c r="AI26"/>
      <c r="AJ26"/>
      <c r="AK26"/>
      <c r="AL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row>
    <row r="27" spans="2:1019">
      <c r="B27" s="174" t="s">
        <v>471</v>
      </c>
      <c r="C27" s="588">
        <v>811250</v>
      </c>
      <c r="D27" s="588">
        <v>300000</v>
      </c>
      <c r="E27" s="588">
        <v>430000</v>
      </c>
      <c r="F27" s="588">
        <v>0</v>
      </c>
      <c r="G27" s="588">
        <v>600000</v>
      </c>
      <c r="H27" s="588">
        <v>316000</v>
      </c>
      <c r="I27" s="588">
        <v>859684</v>
      </c>
      <c r="J27" s="588">
        <v>0</v>
      </c>
      <c r="K27" s="589">
        <v>210000</v>
      </c>
      <c r="L27" s="603">
        <f t="shared" ref="L27:L33" si="0">SUM(C27:K27)</f>
        <v>3526934</v>
      </c>
      <c r="M27" s="603" t="s">
        <v>1876</v>
      </c>
      <c r="N27" s="77"/>
      <c r="O27" s="588"/>
      <c r="P27" s="588"/>
      <c r="Q27" s="588"/>
      <c r="R27" s="588"/>
      <c r="S27" s="588"/>
      <c r="T27" s="589"/>
      <c r="U27" s="588"/>
      <c r="V27" s="588"/>
      <c r="W27" s="588"/>
      <c r="X27" s="588"/>
      <c r="Y27"/>
      <c r="Z27"/>
      <c r="AA27"/>
      <c r="AB27"/>
      <c r="AC27"/>
      <c r="AD27"/>
      <c r="AF27"/>
      <c r="AG27"/>
      <c r="AH27"/>
      <c r="AI27"/>
      <c r="AJ27"/>
      <c r="AK27"/>
      <c r="AL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row>
    <row r="28" spans="2:1019">
      <c r="B28" s="174" t="s">
        <v>470</v>
      </c>
      <c r="C28" s="588">
        <v>1716000</v>
      </c>
      <c r="D28" s="588">
        <v>350000</v>
      </c>
      <c r="E28" s="588">
        <v>580000</v>
      </c>
      <c r="F28" s="588">
        <v>54000</v>
      </c>
      <c r="G28" s="588">
        <v>64000</v>
      </c>
      <c r="H28" s="588">
        <v>305000</v>
      </c>
      <c r="I28" s="588">
        <v>2240000</v>
      </c>
      <c r="J28" s="588">
        <v>0</v>
      </c>
      <c r="K28" s="589">
        <f>K27</f>
        <v>210000</v>
      </c>
      <c r="L28" s="603">
        <f t="shared" si="0"/>
        <v>5519000</v>
      </c>
      <c r="M28" s="603" t="s">
        <v>1877</v>
      </c>
      <c r="N28" s="77"/>
      <c r="O28" s="588"/>
      <c r="P28" s="588"/>
      <c r="Q28" s="588"/>
      <c r="R28" s="588"/>
      <c r="S28" s="588"/>
      <c r="T28" s="589"/>
      <c r="U28" s="588"/>
      <c r="V28" s="588"/>
      <c r="W28" s="588"/>
      <c r="X28" s="595" t="s">
        <v>1855</v>
      </c>
      <c r="Y28"/>
      <c r="Z28"/>
      <c r="AA28"/>
      <c r="AB28"/>
      <c r="AC28"/>
      <c r="AD28"/>
      <c r="AF28"/>
      <c r="AG28"/>
      <c r="AH28"/>
      <c r="AI28"/>
      <c r="AJ28"/>
      <c r="AK28"/>
      <c r="AL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row>
    <row r="29" spans="2:1019">
      <c r="B29" s="174" t="s">
        <v>652</v>
      </c>
      <c r="C29" s="588">
        <v>593000</v>
      </c>
      <c r="D29" s="588">
        <v>527200</v>
      </c>
      <c r="E29" s="588">
        <v>665000</v>
      </c>
      <c r="F29" s="588">
        <v>130237</v>
      </c>
      <c r="G29" s="588">
        <v>2373000</v>
      </c>
      <c r="H29" s="588">
        <v>200000</v>
      </c>
      <c r="I29" s="588">
        <v>2200000</v>
      </c>
      <c r="J29" s="588">
        <v>0</v>
      </c>
      <c r="K29" s="589">
        <v>50000</v>
      </c>
      <c r="L29" s="603">
        <f t="shared" si="0"/>
        <v>6738437</v>
      </c>
      <c r="M29" s="603" t="s">
        <v>1878</v>
      </c>
      <c r="N29" s="79"/>
      <c r="O29" s="588"/>
      <c r="P29" s="588"/>
      <c r="Q29" s="588"/>
      <c r="R29" s="588"/>
      <c r="S29" s="588"/>
      <c r="T29" s="589"/>
      <c r="U29" s="588"/>
      <c r="V29" s="588"/>
      <c r="W29" s="588"/>
      <c r="X29" s="595" t="s">
        <v>1856</v>
      </c>
      <c r="Y29"/>
      <c r="Z29"/>
      <c r="AA29"/>
      <c r="AB29"/>
      <c r="AC29"/>
      <c r="AD29"/>
      <c r="AF29"/>
      <c r="AG29"/>
      <c r="AH29"/>
      <c r="AI29"/>
      <c r="AJ29"/>
      <c r="AK29"/>
      <c r="AL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row>
    <row r="30" spans="2:1019">
      <c r="B30" s="174" t="s">
        <v>875</v>
      </c>
      <c r="C30" s="588">
        <v>2108000</v>
      </c>
      <c r="D30" s="588">
        <v>550000</v>
      </c>
      <c r="E30" s="588">
        <v>680000</v>
      </c>
      <c r="F30" s="588">
        <v>164000</v>
      </c>
      <c r="G30" s="588">
        <f>1417000+57000</f>
        <v>1474000</v>
      </c>
      <c r="H30" s="588">
        <v>200400</v>
      </c>
      <c r="I30" s="588">
        <v>1835000</v>
      </c>
      <c r="J30" s="588">
        <v>0</v>
      </c>
      <c r="K30" s="589">
        <v>0</v>
      </c>
      <c r="L30" s="603">
        <f t="shared" si="0"/>
        <v>7011400</v>
      </c>
      <c r="M30" s="603" t="s">
        <v>1879</v>
      </c>
      <c r="N30" s="79"/>
      <c r="O30" s="588"/>
      <c r="P30" s="588"/>
      <c r="Q30" s="588"/>
      <c r="R30" s="588"/>
      <c r="S30" s="588"/>
      <c r="T30" s="589"/>
      <c r="U30" s="605"/>
      <c r="V30" s="588"/>
      <c r="W30" s="588"/>
      <c r="X30" s="595" t="s">
        <v>1857</v>
      </c>
      <c r="Y30"/>
      <c r="Z30"/>
      <c r="AA30"/>
      <c r="AB30"/>
      <c r="AC30"/>
      <c r="AD30"/>
      <c r="AF30"/>
      <c r="AG30"/>
      <c r="AH30"/>
      <c r="AI30"/>
      <c r="AJ30"/>
      <c r="AK30"/>
      <c r="AL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row>
    <row r="31" spans="2:1019">
      <c r="B31" s="174" t="s">
        <v>999</v>
      </c>
      <c r="C31" s="588">
        <v>200000</v>
      </c>
      <c r="D31" s="588">
        <v>550000</v>
      </c>
      <c r="E31" s="588">
        <v>680000</v>
      </c>
      <c r="F31" s="588">
        <v>224000</v>
      </c>
      <c r="G31" s="588">
        <v>60000</v>
      </c>
      <c r="H31" s="588">
        <v>200400</v>
      </c>
      <c r="I31" s="588">
        <v>2800000</v>
      </c>
      <c r="J31" s="588">
        <v>0</v>
      </c>
      <c r="K31" s="589">
        <v>2700000</v>
      </c>
      <c r="L31" s="603">
        <f t="shared" si="0"/>
        <v>7414400</v>
      </c>
      <c r="M31" s="603" t="s">
        <v>1875</v>
      </c>
      <c r="N31" s="79"/>
      <c r="O31" s="604">
        <v>11000</v>
      </c>
      <c r="P31" s="604"/>
      <c r="Q31" s="604">
        <v>4720</v>
      </c>
      <c r="R31" s="604">
        <v>7880</v>
      </c>
      <c r="S31" s="604"/>
      <c r="T31" s="606">
        <v>7200</v>
      </c>
      <c r="U31" s="604">
        <f>SUM(O31:T31)</f>
        <v>30800</v>
      </c>
      <c r="V31" s="604">
        <f>U31*90</f>
        <v>2772000</v>
      </c>
      <c r="W31" s="604">
        <f>L31+V31</f>
        <v>10186400</v>
      </c>
      <c r="X31" s="595" t="s">
        <v>1859</v>
      </c>
      <c r="Y31"/>
      <c r="Z31"/>
      <c r="AA31"/>
      <c r="AB31"/>
      <c r="AC31"/>
      <c r="AD31"/>
      <c r="AF31"/>
      <c r="AG31"/>
      <c r="AH31"/>
      <c r="AI31"/>
      <c r="AJ31"/>
      <c r="AK31"/>
      <c r="AL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row>
    <row r="32" spans="2:1019">
      <c r="B32" s="174" t="s">
        <v>1144</v>
      </c>
      <c r="C32" s="588">
        <v>784000</v>
      </c>
      <c r="D32" s="588">
        <f>D31</f>
        <v>550000</v>
      </c>
      <c r="E32" s="588">
        <v>695000</v>
      </c>
      <c r="F32" s="588">
        <v>265000</v>
      </c>
      <c r="G32" s="588">
        <v>203000</v>
      </c>
      <c r="H32" s="588">
        <v>120000</v>
      </c>
      <c r="I32" s="588">
        <v>5800000</v>
      </c>
      <c r="J32" s="588">
        <v>0</v>
      </c>
      <c r="K32" s="589">
        <v>2700000</v>
      </c>
      <c r="L32" s="604">
        <f t="shared" si="0"/>
        <v>11117000</v>
      </c>
      <c r="M32" s="603" t="s">
        <v>1874</v>
      </c>
      <c r="N32" s="79"/>
      <c r="O32" s="604">
        <v>3000</v>
      </c>
      <c r="P32" s="604">
        <v>7300</v>
      </c>
      <c r="Q32" s="604">
        <v>5576</v>
      </c>
      <c r="R32" s="604">
        <v>9824</v>
      </c>
      <c r="S32" s="604"/>
      <c r="T32" s="606">
        <v>7800</v>
      </c>
      <c r="U32" s="604">
        <f>SUM(O32:T32)</f>
        <v>33500</v>
      </c>
      <c r="V32" s="604">
        <f>U32*90</f>
        <v>3015000</v>
      </c>
      <c r="W32" s="604">
        <f>L32+V32</f>
        <v>14132000</v>
      </c>
      <c r="X32" s="595" t="s">
        <v>1858</v>
      </c>
      <c r="Y32"/>
      <c r="Z32"/>
      <c r="AA32"/>
      <c r="AB32"/>
      <c r="AC32"/>
      <c r="AD32"/>
      <c r="AF32"/>
      <c r="AG32"/>
      <c r="AH32"/>
      <c r="AI32"/>
      <c r="AJ32"/>
      <c r="AK32"/>
      <c r="AL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row>
    <row r="33" spans="2:34">
      <c r="B33" s="174" t="s">
        <v>1839</v>
      </c>
      <c r="C33" s="588">
        <v>881688</v>
      </c>
      <c r="D33" s="592">
        <f>D32</f>
        <v>550000</v>
      </c>
      <c r="E33" s="592">
        <v>695000</v>
      </c>
      <c r="F33" s="588">
        <v>302000</v>
      </c>
      <c r="G33" s="588">
        <v>100000</v>
      </c>
      <c r="H33" s="592">
        <v>120000</v>
      </c>
      <c r="I33" s="588">
        <v>6300000</v>
      </c>
      <c r="J33" s="588">
        <v>650000</v>
      </c>
      <c r="K33" s="589">
        <v>2700000</v>
      </c>
      <c r="L33" s="604">
        <f t="shared" si="0"/>
        <v>12298688</v>
      </c>
      <c r="M33" s="603" t="s">
        <v>1192</v>
      </c>
      <c r="N33" s="77"/>
      <c r="O33" s="604">
        <v>2555</v>
      </c>
      <c r="P33" s="604">
        <v>3050</v>
      </c>
      <c r="Q33" s="604">
        <v>4649</v>
      </c>
      <c r="R33" s="604">
        <v>14800</v>
      </c>
      <c r="S33" s="604">
        <v>49563</v>
      </c>
      <c r="T33" s="606">
        <v>3550</v>
      </c>
      <c r="U33" s="604">
        <f>SUM(O33:T33)</f>
        <v>78167</v>
      </c>
      <c r="V33" s="604">
        <f>U33*90</f>
        <v>7035030</v>
      </c>
      <c r="W33" s="604">
        <f>L33+V33</f>
        <v>19333718</v>
      </c>
      <c r="X33" s="595" t="s">
        <v>1854</v>
      </c>
      <c r="Y33"/>
      <c r="Z33"/>
      <c r="AA33"/>
      <c r="AB33"/>
      <c r="AC33"/>
      <c r="AD33"/>
      <c r="AF33"/>
    </row>
    <row r="34" spans="2:34">
      <c r="B34" s="62"/>
      <c r="C34" s="62"/>
      <c r="D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row>
    <row r="35" spans="2:34">
      <c r="B35" s="62"/>
      <c r="C35" s="62"/>
      <c r="D35" s="62"/>
      <c r="I35" s="62"/>
      <c r="J35" s="62"/>
      <c r="K35" s="62"/>
    </row>
    <row r="36" spans="2:34" ht="15">
      <c r="B36" s="599" t="s">
        <v>1891</v>
      </c>
      <c r="E36" s="10"/>
      <c r="F36" s="10"/>
      <c r="H36" s="10"/>
    </row>
    <row r="37" spans="2:34" ht="15">
      <c r="B37" s="264" t="s">
        <v>824</v>
      </c>
      <c r="C37" s="264" t="s">
        <v>830</v>
      </c>
      <c r="D37" s="264" t="s">
        <v>403</v>
      </c>
      <c r="E37" s="264" t="s">
        <v>829</v>
      </c>
      <c r="F37" s="264" t="s">
        <v>828</v>
      </c>
      <c r="G37" s="264" t="s">
        <v>308</v>
      </c>
      <c r="H37" s="10"/>
      <c r="I37" s="599" t="s">
        <v>1873</v>
      </c>
    </row>
    <row r="38" spans="2:34">
      <c r="B38" s="262" t="s">
        <v>827</v>
      </c>
      <c r="C38" s="262">
        <v>1000000</v>
      </c>
      <c r="D38" s="263" t="s">
        <v>825</v>
      </c>
      <c r="E38" s="263" t="s">
        <v>826</v>
      </c>
      <c r="F38" s="262">
        <v>1054136</v>
      </c>
      <c r="G38" s="262" t="s">
        <v>831</v>
      </c>
      <c r="I38" s="264" t="s">
        <v>25</v>
      </c>
      <c r="J38" s="264" t="s">
        <v>1889</v>
      </c>
      <c r="K38" s="264" t="s">
        <v>146</v>
      </c>
      <c r="L38" s="264" t="s">
        <v>308</v>
      </c>
    </row>
    <row r="39" spans="2:34">
      <c r="B39" s="262" t="s">
        <v>882</v>
      </c>
      <c r="C39" s="262">
        <v>1500000</v>
      </c>
      <c r="D39" s="262" t="s">
        <v>883</v>
      </c>
      <c r="E39" s="262"/>
      <c r="F39" s="262" t="s">
        <v>884</v>
      </c>
      <c r="G39" s="262" t="s">
        <v>837</v>
      </c>
      <c r="I39" s="77">
        <v>1</v>
      </c>
      <c r="J39" s="604">
        <v>4000</v>
      </c>
      <c r="K39" s="272" t="s">
        <v>1043</v>
      </c>
      <c r="L39" s="77"/>
    </row>
    <row r="40" spans="2:34">
      <c r="B40" s="255" t="s">
        <v>880</v>
      </c>
      <c r="C40" s="255">
        <v>57275</v>
      </c>
      <c r="D40" s="255"/>
      <c r="E40" s="255" t="s">
        <v>881</v>
      </c>
      <c r="F40" s="255">
        <v>63259</v>
      </c>
      <c r="G40" s="255" t="s">
        <v>837</v>
      </c>
      <c r="H40" s="62" t="s">
        <v>1151</v>
      </c>
      <c r="I40" s="77">
        <v>2</v>
      </c>
      <c r="J40" s="604">
        <v>5000</v>
      </c>
      <c r="K40" s="273" t="s">
        <v>1042</v>
      </c>
      <c r="L40" s="77"/>
    </row>
    <row r="41" spans="2:34">
      <c r="E41" s="10"/>
      <c r="F41" s="10"/>
      <c r="G41" s="10"/>
      <c r="I41" s="77">
        <v>3</v>
      </c>
      <c r="J41" s="604">
        <v>5000</v>
      </c>
      <c r="K41" s="273" t="s">
        <v>1056</v>
      </c>
      <c r="L41" s="77"/>
    </row>
    <row r="42" spans="2:34">
      <c r="I42" s="77">
        <v>4</v>
      </c>
      <c r="J42" s="604">
        <v>4999</v>
      </c>
      <c r="K42" s="273" t="s">
        <v>1082</v>
      </c>
      <c r="L42" s="77"/>
    </row>
    <row r="43" spans="2:34" ht="15">
      <c r="B43" s="599" t="s">
        <v>1890</v>
      </c>
      <c r="C43" s="599"/>
      <c r="F43" s="10"/>
      <c r="G43" s="10"/>
      <c r="H43" s="10"/>
      <c r="I43" s="77">
        <v>5</v>
      </c>
      <c r="J43" s="604">
        <v>4000</v>
      </c>
      <c r="K43" s="273" t="s">
        <v>1137</v>
      </c>
      <c r="L43" s="77"/>
    </row>
    <row r="44" spans="2:34">
      <c r="B44" s="264" t="s">
        <v>1887</v>
      </c>
      <c r="C44" s="264" t="s">
        <v>872</v>
      </c>
      <c r="D44" s="264" t="s">
        <v>873</v>
      </c>
      <c r="E44" s="264" t="s">
        <v>874</v>
      </c>
      <c r="F44" s="10"/>
      <c r="G44" s="10"/>
      <c r="H44" s="10"/>
      <c r="I44" s="77"/>
      <c r="J44" s="607">
        <f>SUM(J39:J43)</f>
        <v>22999</v>
      </c>
      <c r="K44" s="607">
        <f>J44*90</f>
        <v>2069910</v>
      </c>
      <c r="L44" s="607" t="s">
        <v>1191</v>
      </c>
      <c r="M44" s="84"/>
    </row>
    <row r="45" spans="2:34">
      <c r="B45" s="77" t="s">
        <v>1035</v>
      </c>
      <c r="C45" s="77">
        <v>35000</v>
      </c>
      <c r="D45" s="77">
        <v>21200</v>
      </c>
      <c r="E45" s="77">
        <f>C45-D45</f>
        <v>13800</v>
      </c>
      <c r="F45" s="10"/>
      <c r="G45" s="10"/>
      <c r="H45" s="10"/>
      <c r="S45" s="84"/>
    </row>
    <row r="46" spans="2:34">
      <c r="B46" s="77" t="s">
        <v>1036</v>
      </c>
      <c r="C46" s="77">
        <v>43400</v>
      </c>
      <c r="D46" s="77">
        <v>29000</v>
      </c>
      <c r="E46" s="77">
        <f>C46-D46</f>
        <v>14400</v>
      </c>
      <c r="F46" s="10"/>
      <c r="G46" s="10"/>
      <c r="H46" s="10"/>
      <c r="S46" s="84"/>
    </row>
    <row r="47" spans="2:34">
      <c r="B47" s="77" t="s">
        <v>1185</v>
      </c>
      <c r="C47" s="77">
        <v>47650</v>
      </c>
      <c r="D47" s="77">
        <v>22200</v>
      </c>
      <c r="E47" s="77">
        <f>C47-D47</f>
        <v>25450</v>
      </c>
      <c r="F47" s="10"/>
      <c r="G47" s="10"/>
      <c r="H47" s="10"/>
      <c r="M47" s="84"/>
      <c r="S47" s="84"/>
    </row>
    <row r="48" spans="2:34">
      <c r="B48" s="77" t="s">
        <v>1886</v>
      </c>
      <c r="C48" s="77">
        <v>64200</v>
      </c>
      <c r="D48" s="77">
        <v>33200</v>
      </c>
      <c r="E48" s="77">
        <f>C48-D48</f>
        <v>31000</v>
      </c>
      <c r="F48" s="10"/>
      <c r="G48" s="10"/>
      <c r="H48" s="10"/>
    </row>
    <row r="49" spans="1:13">
      <c r="E49" s="10"/>
      <c r="F49" s="10"/>
      <c r="G49" s="10"/>
      <c r="H49" s="10"/>
    </row>
    <row r="50" spans="1:13">
      <c r="E50" s="10"/>
      <c r="G50" s="10"/>
      <c r="H50" s="10"/>
    </row>
    <row r="51" spans="1:13" ht="15">
      <c r="B51" s="599" t="s">
        <v>1892</v>
      </c>
      <c r="C51" s="265"/>
      <c r="D51" s="265"/>
      <c r="E51" s="265"/>
      <c r="F51" s="265"/>
      <c r="G51" s="265"/>
      <c r="H51" s="265"/>
      <c r="I51" s="265"/>
      <c r="J51" s="265"/>
      <c r="K51" s="265"/>
    </row>
    <row r="52" spans="1:13" ht="14.1" customHeight="1">
      <c r="B52" s="77" t="s">
        <v>403</v>
      </c>
      <c r="C52" s="77" t="s">
        <v>1003</v>
      </c>
      <c r="D52" s="77" t="s">
        <v>1004</v>
      </c>
      <c r="E52" s="77" t="s">
        <v>1014</v>
      </c>
      <c r="F52" s="268" t="s">
        <v>1015</v>
      </c>
      <c r="G52" s="268"/>
      <c r="H52" s="268" t="s">
        <v>1017</v>
      </c>
      <c r="I52" s="77" t="s">
        <v>1018</v>
      </c>
      <c r="J52" s="77"/>
      <c r="K52" s="268" t="s">
        <v>1022</v>
      </c>
      <c r="M52" s="84"/>
    </row>
    <row r="53" spans="1:13" ht="12" customHeight="1">
      <c r="B53" s="187" t="s">
        <v>921</v>
      </c>
      <c r="C53" s="187" t="s">
        <v>1009</v>
      </c>
      <c r="D53" s="187" t="s">
        <v>930</v>
      </c>
      <c r="E53" s="77" t="s">
        <v>1011</v>
      </c>
      <c r="F53" s="268" t="s">
        <v>1016</v>
      </c>
      <c r="G53" s="268"/>
      <c r="H53" s="268" t="s">
        <v>862</v>
      </c>
      <c r="I53" s="77" t="s">
        <v>1019</v>
      </c>
      <c r="J53" s="77"/>
      <c r="K53" s="77" t="s">
        <v>1023</v>
      </c>
      <c r="M53" s="84"/>
    </row>
    <row r="54" spans="1:13" ht="24">
      <c r="B54" s="77" t="s">
        <v>1002</v>
      </c>
      <c r="C54" s="187" t="s">
        <v>1010</v>
      </c>
      <c r="D54" s="187" t="s">
        <v>1007</v>
      </c>
      <c r="E54" s="77" t="s">
        <v>1012</v>
      </c>
      <c r="F54" s="268"/>
      <c r="G54" s="268"/>
      <c r="H54" s="268" t="s">
        <v>863</v>
      </c>
      <c r="I54" s="77" t="s">
        <v>1020</v>
      </c>
      <c r="J54" s="77"/>
      <c r="K54" s="77" t="s">
        <v>1024</v>
      </c>
      <c r="M54" s="84"/>
    </row>
    <row r="55" spans="1:13">
      <c r="B55" s="77"/>
      <c r="C55" s="77" t="s">
        <v>1013</v>
      </c>
      <c r="D55" s="306" t="s">
        <v>1008</v>
      </c>
      <c r="E55" s="77"/>
      <c r="F55" s="77" t="s">
        <v>1850</v>
      </c>
      <c r="G55" s="77" t="s">
        <v>1851</v>
      </c>
      <c r="H55" s="268" t="s">
        <v>1006</v>
      </c>
      <c r="I55" s="269" t="s">
        <v>1021</v>
      </c>
      <c r="J55" s="269"/>
      <c r="K55" s="77"/>
      <c r="M55" s="84"/>
    </row>
    <row r="56" spans="1:13">
      <c r="B56" s="10">
        <v>6184</v>
      </c>
      <c r="C56" s="10">
        <f>(B56-4841)/4841*100</f>
        <v>27.742202024375128</v>
      </c>
      <c r="D56" s="182"/>
      <c r="E56" s="10"/>
      <c r="F56" s="10"/>
      <c r="G56" s="10"/>
      <c r="I56" s="84"/>
      <c r="J56" s="84"/>
      <c r="M56" s="84"/>
    </row>
    <row r="57" spans="1:13">
      <c r="D57" s="182"/>
      <c r="E57" s="10"/>
      <c r="F57" s="10"/>
      <c r="G57" s="10"/>
      <c r="I57" s="84"/>
      <c r="J57" s="84"/>
      <c r="M57" s="84"/>
    </row>
    <row r="58" spans="1:13" ht="15.75">
      <c r="A58" s="10"/>
      <c r="B58" s="514" t="s">
        <v>1893</v>
      </c>
      <c r="C58" s="182"/>
      <c r="D58" s="182"/>
      <c r="E58" s="10"/>
      <c r="F58" s="10"/>
      <c r="G58" s="10"/>
      <c r="H58" s="514" t="s">
        <v>1894</v>
      </c>
      <c r="I58" s="84"/>
      <c r="J58" s="84"/>
      <c r="M58" s="84"/>
    </row>
    <row r="59" spans="1:13">
      <c r="A59" s="10"/>
      <c r="B59" s="264" t="s">
        <v>44</v>
      </c>
      <c r="C59" s="264" t="s">
        <v>1473</v>
      </c>
      <c r="D59" s="264" t="s">
        <v>1474</v>
      </c>
      <c r="E59" s="264" t="s">
        <v>308</v>
      </c>
      <c r="F59" s="10"/>
      <c r="G59" s="10"/>
      <c r="H59" s="264" t="s">
        <v>832</v>
      </c>
      <c r="I59" s="264" t="s">
        <v>835</v>
      </c>
      <c r="J59" s="264" t="s">
        <v>836</v>
      </c>
      <c r="M59" s="84"/>
    </row>
    <row r="60" spans="1:13">
      <c r="A60" s="10"/>
      <c r="B60" s="77" t="s">
        <v>1472</v>
      </c>
      <c r="C60" s="77">
        <v>300000</v>
      </c>
      <c r="D60" s="187" t="s">
        <v>1475</v>
      </c>
      <c r="E60" s="77" t="s">
        <v>1634</v>
      </c>
      <c r="F60" s="10"/>
      <c r="G60" s="10"/>
      <c r="H60" s="249" t="s">
        <v>833</v>
      </c>
      <c r="I60" s="77">
        <v>523.20000000000005</v>
      </c>
      <c r="J60" s="77">
        <f>I60*72.06</f>
        <v>37701.792000000001</v>
      </c>
    </row>
    <row r="61" spans="1:13">
      <c r="A61" s="10"/>
      <c r="B61" s="77" t="s">
        <v>1632</v>
      </c>
      <c r="C61" s="77">
        <v>200000</v>
      </c>
      <c r="D61" s="77"/>
      <c r="E61" s="79"/>
      <c r="F61" s="10"/>
      <c r="G61" s="10"/>
      <c r="H61" s="249" t="s">
        <v>834</v>
      </c>
      <c r="I61" s="77">
        <v>99.8</v>
      </c>
      <c r="J61" s="77">
        <f>I61*72.4</f>
        <v>7225.52</v>
      </c>
    </row>
    <row r="62" spans="1:13">
      <c r="A62" s="10"/>
      <c r="B62" s="77" t="s">
        <v>1631</v>
      </c>
      <c r="C62" s="77">
        <v>50000</v>
      </c>
      <c r="D62" s="187"/>
      <c r="E62" s="77"/>
      <c r="F62" s="10"/>
      <c r="G62" s="10"/>
      <c r="H62" s="77"/>
      <c r="I62" s="77"/>
      <c r="J62" s="77">
        <f>SUM(J60,J61)</f>
        <v>44927.312000000005</v>
      </c>
    </row>
    <row r="63" spans="1:13">
      <c r="A63" s="10"/>
      <c r="B63" s="77" t="s">
        <v>1633</v>
      </c>
      <c r="C63" s="77">
        <v>100000</v>
      </c>
      <c r="D63" s="187"/>
      <c r="E63" s="77"/>
      <c r="F63" s="10"/>
      <c r="G63" s="10"/>
      <c r="I63" s="84"/>
      <c r="J63" s="84"/>
    </row>
    <row r="64" spans="1:13">
      <c r="A64" s="10"/>
      <c r="B64" s="77"/>
      <c r="C64" s="515">
        <f>SUM(C60:C63)</f>
        <v>650000</v>
      </c>
      <c r="D64" s="77"/>
      <c r="E64" s="79"/>
      <c r="F64" s="10"/>
      <c r="G64" s="10"/>
      <c r="I64" s="84"/>
      <c r="J64" s="84"/>
    </row>
    <row r="65" spans="2:13">
      <c r="D65" s="182"/>
      <c r="E65" s="10"/>
      <c r="F65" s="10"/>
      <c r="G65" s="10"/>
      <c r="I65" s="84"/>
    </row>
    <row r="66" spans="2:13">
      <c r="D66" s="182"/>
      <c r="E66" s="10"/>
      <c r="F66" s="10"/>
      <c r="G66" s="10"/>
      <c r="I66" s="84"/>
    </row>
    <row r="67" spans="2:13" ht="15.75">
      <c r="B67" s="514" t="s">
        <v>1895</v>
      </c>
      <c r="D67" s="182"/>
      <c r="E67" s="10"/>
      <c r="F67" s="10"/>
      <c r="G67" s="10"/>
      <c r="I67" s="84"/>
    </row>
    <row r="68" spans="2:13">
      <c r="B68" s="264"/>
      <c r="C68" s="264" t="s">
        <v>1844</v>
      </c>
      <c r="D68" s="264" t="s">
        <v>1842</v>
      </c>
      <c r="E68" s="264" t="s">
        <v>290</v>
      </c>
      <c r="F68" s="264" t="s">
        <v>291</v>
      </c>
      <c r="G68" s="264" t="s">
        <v>284</v>
      </c>
      <c r="H68" s="264" t="s">
        <v>285</v>
      </c>
      <c r="I68" s="84"/>
      <c r="J68" s="264" t="s">
        <v>885</v>
      </c>
      <c r="K68" s="264"/>
      <c r="L68" s="264"/>
      <c r="M68" s="264"/>
    </row>
    <row r="69" spans="2:13">
      <c r="B69" s="170" t="s">
        <v>178</v>
      </c>
      <c r="C69" s="170" t="s">
        <v>42</v>
      </c>
      <c r="D69" s="170">
        <v>-67681</v>
      </c>
      <c r="E69" s="170" t="s">
        <v>279</v>
      </c>
      <c r="F69" s="170" t="s">
        <v>283</v>
      </c>
      <c r="G69" s="170" t="s">
        <v>282</v>
      </c>
      <c r="H69" s="256" t="s">
        <v>267</v>
      </c>
      <c r="I69" s="84"/>
      <c r="J69" s="78"/>
      <c r="K69" s="78" t="s">
        <v>830</v>
      </c>
      <c r="L69" s="78" t="s">
        <v>877</v>
      </c>
      <c r="M69" s="250" t="s">
        <v>111</v>
      </c>
    </row>
    <row r="70" spans="2:13">
      <c r="B70" s="170" t="s">
        <v>292</v>
      </c>
      <c r="C70" s="171" t="s">
        <v>294</v>
      </c>
      <c r="D70" s="170"/>
      <c r="E70" s="172"/>
      <c r="F70" s="172"/>
      <c r="G70" s="173" t="s">
        <v>287</v>
      </c>
      <c r="H70" s="256" t="s">
        <v>267</v>
      </c>
      <c r="I70" s="84"/>
      <c r="J70" s="77" t="s">
        <v>876</v>
      </c>
      <c r="K70" s="77">
        <v>190000</v>
      </c>
      <c r="L70" s="77" t="s">
        <v>878</v>
      </c>
      <c r="M70" s="79" t="s">
        <v>879</v>
      </c>
    </row>
    <row r="71" spans="2:13">
      <c r="B71" s="170" t="s">
        <v>180</v>
      </c>
      <c r="C71" s="172" t="s">
        <v>293</v>
      </c>
      <c r="D71" s="170"/>
      <c r="E71" s="172"/>
      <c r="F71" s="172"/>
      <c r="G71" s="170" t="s">
        <v>288</v>
      </c>
      <c r="H71" s="256" t="s">
        <v>267</v>
      </c>
      <c r="I71" s="84"/>
      <c r="J71" s="77" t="s">
        <v>886</v>
      </c>
      <c r="K71" s="77">
        <v>200000</v>
      </c>
      <c r="L71" s="77" t="s">
        <v>878</v>
      </c>
      <c r="M71" s="79" t="s">
        <v>879</v>
      </c>
    </row>
    <row r="72" spans="2:13">
      <c r="B72" s="170" t="s">
        <v>180</v>
      </c>
      <c r="C72" s="171" t="s">
        <v>286</v>
      </c>
      <c r="D72" s="170">
        <v>-160000</v>
      </c>
      <c r="E72" s="171" t="s">
        <v>699</v>
      </c>
      <c r="F72" s="171" t="s">
        <v>700</v>
      </c>
      <c r="G72" s="170"/>
      <c r="H72" s="256" t="s">
        <v>267</v>
      </c>
      <c r="J72" s="77" t="s">
        <v>887</v>
      </c>
      <c r="K72" s="77">
        <v>200000</v>
      </c>
      <c r="L72" s="77" t="s">
        <v>878</v>
      </c>
      <c r="M72" s="79" t="s">
        <v>879</v>
      </c>
    </row>
    <row r="73" spans="2:13">
      <c r="B73" s="170" t="s">
        <v>280</v>
      </c>
      <c r="C73" s="171" t="s">
        <v>289</v>
      </c>
      <c r="D73" s="170">
        <v>-50000</v>
      </c>
      <c r="E73" s="172"/>
      <c r="F73" s="172" t="s">
        <v>757</v>
      </c>
      <c r="G73" s="170" t="s">
        <v>758</v>
      </c>
      <c r="H73" s="256" t="s">
        <v>267</v>
      </c>
      <c r="J73" s="77" t="s">
        <v>888</v>
      </c>
      <c r="K73" s="77">
        <v>200000</v>
      </c>
      <c r="L73" s="77" t="s">
        <v>878</v>
      </c>
      <c r="M73" s="79" t="s">
        <v>879</v>
      </c>
    </row>
    <row r="74" spans="2:13">
      <c r="B74" s="172" t="s">
        <v>179</v>
      </c>
      <c r="C74" s="172" t="s">
        <v>296</v>
      </c>
      <c r="D74" s="170">
        <v>-20000</v>
      </c>
      <c r="E74" s="172">
        <v>43435</v>
      </c>
      <c r="F74" s="172" t="s">
        <v>297</v>
      </c>
      <c r="G74" s="172" t="s">
        <v>298</v>
      </c>
      <c r="H74" s="257" t="s">
        <v>267</v>
      </c>
      <c r="J74" s="77" t="s">
        <v>888</v>
      </c>
      <c r="K74" s="77">
        <v>10000</v>
      </c>
      <c r="L74" s="77" t="s">
        <v>878</v>
      </c>
      <c r="M74" s="79" t="s">
        <v>889</v>
      </c>
    </row>
    <row r="75" spans="2:13">
      <c r="B75" s="79" t="s">
        <v>715</v>
      </c>
      <c r="C75" s="187" t="s">
        <v>699</v>
      </c>
      <c r="D75" s="77">
        <v>-15000</v>
      </c>
      <c r="E75" s="77"/>
      <c r="F75" s="77"/>
      <c r="G75" s="77"/>
      <c r="H75" s="257" t="s">
        <v>943</v>
      </c>
      <c r="J75" s="77" t="s">
        <v>906</v>
      </c>
      <c r="K75" s="77">
        <v>200000</v>
      </c>
      <c r="L75" s="77" t="s">
        <v>907</v>
      </c>
      <c r="M75" s="79" t="s">
        <v>889</v>
      </c>
    </row>
    <row r="76" spans="2:13">
      <c r="B76" s="79" t="s">
        <v>952</v>
      </c>
      <c r="C76" s="187" t="s">
        <v>953</v>
      </c>
      <c r="D76" s="77">
        <v>41153</v>
      </c>
      <c r="E76" s="77"/>
      <c r="F76" s="77"/>
      <c r="G76" s="77" t="s">
        <v>955</v>
      </c>
      <c r="H76" s="255" t="s">
        <v>1888</v>
      </c>
      <c r="J76" s="77" t="s">
        <v>906</v>
      </c>
      <c r="K76" s="77">
        <v>200000</v>
      </c>
      <c r="L76" s="77" t="s">
        <v>908</v>
      </c>
      <c r="M76" s="79" t="s">
        <v>889</v>
      </c>
    </row>
    <row r="77" spans="2:13">
      <c r="B77" s="79" t="s">
        <v>952</v>
      </c>
      <c r="C77" s="187" t="s">
        <v>954</v>
      </c>
      <c r="D77" s="77">
        <v>470000</v>
      </c>
      <c r="E77" s="77"/>
      <c r="F77" s="79"/>
      <c r="G77" s="77" t="s">
        <v>956</v>
      </c>
      <c r="H77" s="255" t="s">
        <v>957</v>
      </c>
      <c r="J77" s="77" t="s">
        <v>906</v>
      </c>
      <c r="K77" s="77">
        <v>200000</v>
      </c>
      <c r="L77" s="77" t="s">
        <v>909</v>
      </c>
      <c r="M77" s="79" t="s">
        <v>889</v>
      </c>
    </row>
    <row r="78" spans="2:13">
      <c r="B78" s="170" t="s">
        <v>180</v>
      </c>
      <c r="C78" s="187" t="s">
        <v>996</v>
      </c>
      <c r="D78" s="77">
        <v>-2705000</v>
      </c>
      <c r="E78" s="77"/>
      <c r="F78" s="79"/>
      <c r="G78" s="77"/>
      <c r="H78" s="267" t="s">
        <v>997</v>
      </c>
      <c r="J78" s="77" t="s">
        <v>921</v>
      </c>
      <c r="K78" s="77">
        <v>5000</v>
      </c>
      <c r="L78" s="255" t="s">
        <v>936</v>
      </c>
      <c r="M78" s="79" t="s">
        <v>889</v>
      </c>
    </row>
    <row r="79" spans="2:13">
      <c r="B79" s="79" t="s">
        <v>952</v>
      </c>
      <c r="C79" s="77"/>
      <c r="D79" s="77"/>
      <c r="E79" s="585" t="s">
        <v>1841</v>
      </c>
      <c r="F79" s="586">
        <v>2951.53</v>
      </c>
      <c r="G79" s="587" t="s">
        <v>1845</v>
      </c>
      <c r="H79" s="587" t="s">
        <v>1843</v>
      </c>
      <c r="J79" s="77" t="s">
        <v>926</v>
      </c>
      <c r="K79" s="77">
        <v>200000</v>
      </c>
      <c r="L79" s="77" t="s">
        <v>924</v>
      </c>
      <c r="M79" s="79" t="s">
        <v>889</v>
      </c>
    </row>
    <row r="80" spans="2:13">
      <c r="J80" s="77" t="s">
        <v>933</v>
      </c>
      <c r="K80" s="77">
        <v>200000</v>
      </c>
      <c r="L80" s="77" t="s">
        <v>922</v>
      </c>
      <c r="M80" s="79" t="s">
        <v>889</v>
      </c>
    </row>
    <row r="81" spans="2:13">
      <c r="J81" s="77" t="s">
        <v>933</v>
      </c>
      <c r="K81" s="77">
        <v>200000</v>
      </c>
      <c r="L81" s="77" t="s">
        <v>923</v>
      </c>
      <c r="M81" s="79" t="s">
        <v>889</v>
      </c>
    </row>
    <row r="82" spans="2:13">
      <c r="J82" s="77" t="s">
        <v>933</v>
      </c>
      <c r="K82" s="77">
        <v>200000</v>
      </c>
      <c r="L82" s="77" t="s">
        <v>925</v>
      </c>
      <c r="M82" s="79" t="s">
        <v>889</v>
      </c>
    </row>
    <row r="83" spans="2:13">
      <c r="J83" s="77" t="s">
        <v>933</v>
      </c>
      <c r="K83" s="77">
        <v>150000</v>
      </c>
      <c r="L83" s="77" t="s">
        <v>878</v>
      </c>
      <c r="M83" s="79" t="s">
        <v>879</v>
      </c>
    </row>
    <row r="84" spans="2:13">
      <c r="J84" s="77" t="s">
        <v>934</v>
      </c>
      <c r="K84" s="77">
        <v>150000</v>
      </c>
      <c r="L84" s="77" t="s">
        <v>878</v>
      </c>
      <c r="M84" s="79" t="s">
        <v>879</v>
      </c>
    </row>
    <row r="85" spans="2:13">
      <c r="J85" s="77" t="s">
        <v>935</v>
      </c>
      <c r="K85" s="77">
        <v>100000</v>
      </c>
      <c r="L85" s="255" t="s">
        <v>936</v>
      </c>
      <c r="M85" s="79" t="s">
        <v>889</v>
      </c>
    </row>
    <row r="86" spans="2:13">
      <c r="I86" s="62"/>
      <c r="J86" s="77" t="s">
        <v>938</v>
      </c>
      <c r="K86" s="77">
        <v>100000</v>
      </c>
      <c r="L86" s="77" t="s">
        <v>878</v>
      </c>
      <c r="M86" s="79" t="s">
        <v>879</v>
      </c>
    </row>
    <row r="87" spans="2:13">
      <c r="B87" s="264" t="s">
        <v>309</v>
      </c>
      <c r="C87" s="264" t="s">
        <v>63</v>
      </c>
      <c r="D87" s="264" t="s">
        <v>63</v>
      </c>
      <c r="E87" s="264" t="s">
        <v>63</v>
      </c>
      <c r="F87" s="264" t="s">
        <v>916</v>
      </c>
      <c r="G87" s="10"/>
      <c r="I87" s="62"/>
      <c r="J87" s="77"/>
      <c r="K87" s="77">
        <f>SUM(K70:K86)</f>
        <v>2705000</v>
      </c>
      <c r="L87" s="77"/>
      <c r="M87" s="79"/>
    </row>
    <row r="88" spans="2:13">
      <c r="B88" s="169" t="s">
        <v>310</v>
      </c>
      <c r="C88" s="85" t="s">
        <v>713</v>
      </c>
      <c r="D88" s="85"/>
      <c r="E88" s="77"/>
      <c r="F88" s="77" t="s">
        <v>714</v>
      </c>
      <c r="I88" s="62"/>
    </row>
    <row r="89" spans="2:13">
      <c r="B89" s="169" t="s">
        <v>390</v>
      </c>
      <c r="C89" s="86">
        <v>3.5000000000000003E-2</v>
      </c>
      <c r="D89" s="86">
        <v>0.08</v>
      </c>
      <c r="E89" s="86">
        <v>5.2999999999999999E-2</v>
      </c>
      <c r="F89" s="266" t="s">
        <v>995</v>
      </c>
      <c r="G89" s="10"/>
      <c r="I89" s="62"/>
    </row>
    <row r="90" spans="2:13">
      <c r="B90" s="169" t="s">
        <v>391</v>
      </c>
      <c r="C90" s="77" t="s">
        <v>392</v>
      </c>
      <c r="D90" s="77" t="s">
        <v>393</v>
      </c>
      <c r="E90" s="77" t="s">
        <v>626</v>
      </c>
      <c r="F90" s="77"/>
      <c r="I90" s="62"/>
    </row>
    <row r="91" spans="2:13">
      <c r="B91" s="62"/>
      <c r="C91" s="182"/>
      <c r="E91" s="10"/>
      <c r="G91" s="10"/>
      <c r="I91" s="62"/>
    </row>
    <row r="92" spans="2:13">
      <c r="I92" s="62"/>
    </row>
    <row r="93" spans="2:13">
      <c r="I93" s="62"/>
    </row>
    <row r="94" spans="2:13">
      <c r="I94" s="62"/>
      <c r="J94" s="62"/>
    </row>
    <row r="95" spans="2:13">
      <c r="I95" s="62"/>
      <c r="J95" s="62"/>
    </row>
    <row r="96" spans="2:13">
      <c r="I96" s="62"/>
      <c r="J96" s="62"/>
    </row>
    <row r="97" spans="5:10">
      <c r="I97" s="62"/>
      <c r="J97" s="62"/>
    </row>
    <row r="98" spans="5:10">
      <c r="I98" s="62"/>
      <c r="J98" s="62"/>
    </row>
    <row r="99" spans="5:10">
      <c r="I99" s="62"/>
      <c r="J99" s="62"/>
    </row>
    <row r="100" spans="5:10">
      <c r="I100" s="62"/>
      <c r="J100" s="62"/>
    </row>
    <row r="107" spans="5:10">
      <c r="E107" s="10"/>
      <c r="F107" s="10"/>
    </row>
    <row r="108" spans="5:10">
      <c r="E108" s="10"/>
      <c r="F108" s="10"/>
    </row>
    <row r="109" spans="5:10">
      <c r="E109" s="10"/>
      <c r="F109" s="10"/>
    </row>
    <row r="110" spans="5:10">
      <c r="E110" s="10"/>
      <c r="F110" s="10"/>
    </row>
  </sheetData>
  <mergeCells count="3">
    <mergeCell ref="B2:C2"/>
    <mergeCell ref="O25:X25"/>
    <mergeCell ref="C25:M25"/>
  </mergeCells>
  <hyperlinks>
    <hyperlink ref="H54" r:id="rId1" xr:uid="{319BB8AB-E015-1E40-9E4C-2DBD3999E4F9}"/>
    <hyperlink ref="H55" r:id="rId2" xr:uid="{FC8D8D82-BFDB-BA4A-84A9-0AD4B0A51319}"/>
    <hyperlink ref="D5" r:id="rId3" xr:uid="{ADA5229D-610D-4694-A194-F2DBE997C255}"/>
  </hyperlinks>
  <pageMargins left="0.70000000000000007" right="0.70000000000000007" top="1.1437007874015745" bottom="1.1437007874015745" header="0.74999999999999989" footer="0.74999999999999989"/>
  <pageSetup fitToWidth="0" fitToHeight="0"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40"/>
  <sheetViews>
    <sheetView workbookViewId="0">
      <selection activeCell="H18" sqref="H18"/>
    </sheetView>
  </sheetViews>
  <sheetFormatPr defaultColWidth="8.875" defaultRowHeight="15"/>
  <cols>
    <col min="1" max="1" width="0.875" style="293" customWidth="1"/>
    <col min="2" max="2" width="12" style="293" customWidth="1"/>
    <col min="3" max="3" width="17.5" style="293" bestFit="1" customWidth="1"/>
    <col min="4" max="4" width="8.875" style="293"/>
    <col min="5" max="5" width="15.75" style="293" bestFit="1" customWidth="1"/>
    <col min="6" max="6" width="13" style="293" customWidth="1"/>
    <col min="7" max="7" width="15.25" style="293" customWidth="1"/>
    <col min="8" max="8" width="29.875" style="293" bestFit="1" customWidth="1"/>
    <col min="9" max="9" width="14.25" style="293" customWidth="1"/>
    <col min="10" max="10" width="25.375" style="293" customWidth="1"/>
    <col min="11" max="11" width="2.25" style="293" customWidth="1"/>
    <col min="12" max="12" width="27.5" style="293" bestFit="1" customWidth="1"/>
    <col min="13" max="13" width="15" style="293" customWidth="1"/>
    <col min="14" max="14" width="1.875" style="293" customWidth="1"/>
    <col min="15" max="15" width="16.875" style="293" customWidth="1"/>
    <col min="16" max="16" width="19.375" style="293" customWidth="1"/>
    <col min="17" max="18" width="8.875" style="293"/>
    <col min="19" max="19" width="18.625" style="293" customWidth="1"/>
    <col min="20" max="20" width="12.625" style="293" customWidth="1"/>
    <col min="21" max="16384" width="8.875" style="293"/>
  </cols>
  <sheetData>
    <row r="1" spans="2:16" ht="15.75">
      <c r="B1" s="537" t="s">
        <v>295</v>
      </c>
      <c r="C1" s="558"/>
      <c r="D1" s="558"/>
      <c r="E1" s="558"/>
      <c r="F1" s="558"/>
      <c r="G1" s="558"/>
      <c r="H1" s="558"/>
      <c r="I1" s="558"/>
      <c r="J1" s="558"/>
      <c r="K1" s="558"/>
      <c r="L1" s="558"/>
      <c r="M1" s="558"/>
      <c r="N1" s="558"/>
      <c r="O1" s="558"/>
      <c r="P1" s="558"/>
    </row>
    <row r="2" spans="2:16" ht="15.75">
      <c r="B2" s="558"/>
      <c r="C2" s="558"/>
      <c r="D2" s="558"/>
      <c r="E2" s="558"/>
      <c r="F2" s="558"/>
      <c r="G2" s="558"/>
      <c r="H2" s="558"/>
      <c r="I2" s="558"/>
      <c r="J2" s="558"/>
      <c r="K2" s="558"/>
      <c r="L2" s="558"/>
      <c r="M2" s="558"/>
      <c r="N2" s="558"/>
      <c r="O2" s="558"/>
      <c r="P2" s="558"/>
    </row>
    <row r="3" spans="2:16" ht="15.75">
      <c r="B3" s="537" t="s">
        <v>25</v>
      </c>
      <c r="C3" s="537" t="s">
        <v>146</v>
      </c>
      <c r="D3" s="537" t="s">
        <v>147</v>
      </c>
      <c r="E3" s="537" t="s">
        <v>149</v>
      </c>
      <c r="F3" s="537" t="s">
        <v>148</v>
      </c>
      <c r="G3" s="537" t="s">
        <v>350</v>
      </c>
      <c r="H3" s="537" t="s">
        <v>1748</v>
      </c>
      <c r="I3" s="537" t="s">
        <v>217</v>
      </c>
      <c r="J3" s="537" t="s">
        <v>308</v>
      </c>
      <c r="K3" s="558"/>
      <c r="L3" s="537" t="s">
        <v>1753</v>
      </c>
      <c r="M3" s="537"/>
      <c r="N3" s="559"/>
      <c r="O3" s="537" t="s">
        <v>273</v>
      </c>
      <c r="P3" s="537"/>
    </row>
    <row r="4" spans="2:16">
      <c r="B4" s="95">
        <v>1</v>
      </c>
      <c r="C4" s="565" t="s">
        <v>151</v>
      </c>
      <c r="D4" s="96"/>
      <c r="E4" s="100">
        <v>290268</v>
      </c>
      <c r="F4" s="96">
        <v>0</v>
      </c>
      <c r="G4" s="97">
        <v>41143</v>
      </c>
      <c r="H4" s="101" t="s">
        <v>343</v>
      </c>
      <c r="I4" s="96" t="s">
        <v>218</v>
      </c>
      <c r="J4" s="298"/>
      <c r="L4" s="95" t="s">
        <v>167</v>
      </c>
      <c r="M4" s="96">
        <v>2300000</v>
      </c>
      <c r="N4" s="551"/>
      <c r="O4" s="96" t="s">
        <v>274</v>
      </c>
      <c r="P4" s="96">
        <v>3456700</v>
      </c>
    </row>
    <row r="5" spans="2:16">
      <c r="B5" s="95">
        <f>B4+1</f>
        <v>2</v>
      </c>
      <c r="C5" s="565" t="s">
        <v>153</v>
      </c>
      <c r="D5" s="96"/>
      <c r="E5" s="100">
        <v>531400</v>
      </c>
      <c r="F5" s="96">
        <v>0</v>
      </c>
      <c r="G5" s="99">
        <v>41202</v>
      </c>
      <c r="H5" s="101" t="s">
        <v>344</v>
      </c>
      <c r="I5" s="96" t="s">
        <v>218</v>
      </c>
      <c r="J5" s="298"/>
      <c r="L5" s="95" t="s">
        <v>168</v>
      </c>
      <c r="M5" s="96">
        <f>M4-F21</f>
        <v>501489</v>
      </c>
      <c r="N5" s="551"/>
      <c r="O5" s="96" t="s">
        <v>278</v>
      </c>
      <c r="P5" s="96">
        <v>2359018</v>
      </c>
    </row>
    <row r="6" spans="2:16">
      <c r="B6" s="95">
        <f t="shared" ref="B6:B20" si="0">B5+1</f>
        <v>3</v>
      </c>
      <c r="C6" s="565" t="s">
        <v>1747</v>
      </c>
      <c r="D6" s="96"/>
      <c r="E6" s="100">
        <v>178332</v>
      </c>
      <c r="F6" s="96">
        <v>0</v>
      </c>
      <c r="G6" s="97">
        <v>41503</v>
      </c>
      <c r="H6" s="98" t="s">
        <v>345</v>
      </c>
      <c r="I6" s="96" t="s">
        <v>218</v>
      </c>
      <c r="J6" s="298"/>
      <c r="L6" s="551"/>
      <c r="M6" s="551"/>
      <c r="N6" s="551"/>
      <c r="O6" s="96"/>
      <c r="P6" s="96"/>
    </row>
    <row r="7" spans="2:16" ht="15.75">
      <c r="B7" s="95">
        <f t="shared" si="0"/>
        <v>4</v>
      </c>
      <c r="C7" s="565" t="s">
        <v>1746</v>
      </c>
      <c r="D7" s="96"/>
      <c r="E7" s="100">
        <v>15090</v>
      </c>
      <c r="F7" s="96">
        <v>0</v>
      </c>
      <c r="G7" s="97">
        <v>41727</v>
      </c>
      <c r="H7" s="98" t="s">
        <v>346</v>
      </c>
      <c r="I7" s="96" t="s">
        <v>218</v>
      </c>
      <c r="J7" s="298"/>
      <c r="L7" s="537" t="s">
        <v>169</v>
      </c>
      <c r="M7" s="553"/>
      <c r="N7" s="551"/>
      <c r="O7" s="96" t="s">
        <v>275</v>
      </c>
      <c r="P7" s="96">
        <v>270732</v>
      </c>
    </row>
    <row r="8" spans="2:16">
      <c r="B8" s="95">
        <f t="shared" si="0"/>
        <v>5</v>
      </c>
      <c r="C8" s="565" t="s">
        <v>1746</v>
      </c>
      <c r="D8" s="96"/>
      <c r="E8" s="100">
        <v>54000</v>
      </c>
      <c r="F8" s="96">
        <v>0</v>
      </c>
      <c r="G8" s="97">
        <v>41727</v>
      </c>
      <c r="H8" s="98" t="s">
        <v>351</v>
      </c>
      <c r="I8" s="96" t="s">
        <v>218</v>
      </c>
      <c r="J8" s="298"/>
      <c r="L8" s="96" t="s">
        <v>170</v>
      </c>
      <c r="M8" s="96">
        <v>1031283</v>
      </c>
      <c r="N8" s="551"/>
      <c r="O8" s="96" t="s">
        <v>276</v>
      </c>
      <c r="P8" s="96">
        <v>207313</v>
      </c>
    </row>
    <row r="9" spans="2:16">
      <c r="B9" s="95">
        <f t="shared" si="0"/>
        <v>6</v>
      </c>
      <c r="C9" s="565" t="s">
        <v>1746</v>
      </c>
      <c r="D9" s="298"/>
      <c r="E9" s="100">
        <f>D11-F11</f>
        <v>8420</v>
      </c>
      <c r="F9" s="96">
        <v>0</v>
      </c>
      <c r="G9" s="97">
        <v>41817</v>
      </c>
      <c r="H9" s="101" t="s">
        <v>268</v>
      </c>
      <c r="I9" s="96"/>
      <c r="J9" s="298"/>
      <c r="L9" s="96" t="s">
        <v>171</v>
      </c>
      <c r="M9" s="96">
        <v>576479</v>
      </c>
      <c r="N9" s="551"/>
      <c r="O9" s="96" t="s">
        <v>277</v>
      </c>
      <c r="P9" s="96">
        <v>95128</v>
      </c>
    </row>
    <row r="10" spans="2:16">
      <c r="B10" s="95">
        <f t="shared" si="0"/>
        <v>7</v>
      </c>
      <c r="C10" s="565" t="s">
        <v>1746</v>
      </c>
      <c r="D10" s="298"/>
      <c r="E10" s="100">
        <f>D12-F12</f>
        <v>7545</v>
      </c>
      <c r="F10" s="96">
        <v>0</v>
      </c>
      <c r="G10" s="97">
        <v>41942</v>
      </c>
      <c r="H10" s="101" t="s">
        <v>268</v>
      </c>
      <c r="I10" s="96"/>
      <c r="J10" s="298"/>
      <c r="L10" s="96" t="s">
        <v>172</v>
      </c>
      <c r="M10" s="96">
        <v>89584</v>
      </c>
      <c r="N10" s="551"/>
    </row>
    <row r="11" spans="2:16">
      <c r="B11" s="95">
        <f t="shared" si="0"/>
        <v>8</v>
      </c>
      <c r="C11" s="565" t="s">
        <v>157</v>
      </c>
      <c r="D11" s="96">
        <v>281042</v>
      </c>
      <c r="E11" s="96">
        <v>0</v>
      </c>
      <c r="F11" s="102">
        <v>272622</v>
      </c>
      <c r="G11" s="97">
        <v>41817</v>
      </c>
      <c r="H11" s="98" t="s">
        <v>347</v>
      </c>
      <c r="I11" s="96"/>
      <c r="J11" s="298"/>
      <c r="N11" s="551"/>
      <c r="O11" s="551"/>
      <c r="P11" s="551"/>
    </row>
    <row r="12" spans="2:16" ht="15.75">
      <c r="B12" s="95">
        <f t="shared" si="0"/>
        <v>9</v>
      </c>
      <c r="C12" s="565" t="s">
        <v>158</v>
      </c>
      <c r="D12" s="96">
        <v>251855</v>
      </c>
      <c r="E12" s="96">
        <v>0</v>
      </c>
      <c r="F12" s="100">
        <v>244310</v>
      </c>
      <c r="G12" s="97">
        <v>41942</v>
      </c>
      <c r="H12" s="98" t="s">
        <v>348</v>
      </c>
      <c r="I12" s="96"/>
      <c r="J12" s="298"/>
      <c r="L12" s="537" t="s">
        <v>150</v>
      </c>
      <c r="M12" s="553"/>
      <c r="N12" s="551"/>
      <c r="O12" s="551"/>
      <c r="P12" s="551"/>
    </row>
    <row r="13" spans="2:16">
      <c r="B13" s="95">
        <f t="shared" si="0"/>
        <v>10</v>
      </c>
      <c r="C13" s="565" t="s">
        <v>159</v>
      </c>
      <c r="D13" s="96">
        <v>251855</v>
      </c>
      <c r="E13" s="96">
        <v>0</v>
      </c>
      <c r="F13" s="100">
        <v>251855</v>
      </c>
      <c r="G13" s="97">
        <v>42107</v>
      </c>
      <c r="H13" s="98" t="s">
        <v>352</v>
      </c>
      <c r="I13" s="96"/>
      <c r="J13" s="298"/>
      <c r="L13" s="96" t="s">
        <v>152</v>
      </c>
      <c r="M13" s="96"/>
      <c r="N13" s="551"/>
      <c r="O13" s="551"/>
      <c r="P13" s="551"/>
    </row>
    <row r="14" spans="2:16">
      <c r="B14" s="95">
        <f t="shared" si="0"/>
        <v>11</v>
      </c>
      <c r="C14" s="565" t="s">
        <v>160</v>
      </c>
      <c r="D14" s="96">
        <v>252667</v>
      </c>
      <c r="E14" s="96">
        <v>0</v>
      </c>
      <c r="F14" s="100">
        <v>244310</v>
      </c>
      <c r="G14" s="97">
        <v>42234</v>
      </c>
      <c r="H14" s="98" t="s">
        <v>353</v>
      </c>
      <c r="I14" s="96"/>
      <c r="J14" s="298"/>
      <c r="L14" s="96" t="s">
        <v>1754</v>
      </c>
      <c r="M14" s="96"/>
      <c r="N14" s="551"/>
      <c r="O14" s="551"/>
    </row>
    <row r="15" spans="2:16" ht="17.25">
      <c r="B15" s="95">
        <f t="shared" si="0"/>
        <v>12</v>
      </c>
      <c r="C15" s="565" t="s">
        <v>1741</v>
      </c>
      <c r="D15" s="96">
        <v>261520</v>
      </c>
      <c r="E15" s="96">
        <v>0</v>
      </c>
      <c r="F15" s="102">
        <v>253439</v>
      </c>
      <c r="G15" s="97">
        <v>42461</v>
      </c>
      <c r="H15" s="98" t="s">
        <v>349</v>
      </c>
      <c r="I15" s="96"/>
      <c r="J15" s="298"/>
      <c r="L15" s="96" t="s">
        <v>154</v>
      </c>
      <c r="M15" s="96"/>
      <c r="N15" s="551"/>
      <c r="O15" s="551"/>
    </row>
    <row r="16" spans="2:16" ht="17.25">
      <c r="B16" s="95">
        <f t="shared" si="0"/>
        <v>13</v>
      </c>
      <c r="C16" s="565" t="s">
        <v>1742</v>
      </c>
      <c r="D16" s="96">
        <v>261243</v>
      </c>
      <c r="E16" s="96">
        <v>0</v>
      </c>
      <c r="F16" s="100">
        <v>261243</v>
      </c>
      <c r="G16" s="97">
        <v>42727</v>
      </c>
      <c r="H16" s="98" t="s">
        <v>354</v>
      </c>
      <c r="I16" s="96"/>
      <c r="J16" s="96" t="s">
        <v>1749</v>
      </c>
      <c r="L16" s="96" t="s">
        <v>155</v>
      </c>
      <c r="M16" s="96"/>
      <c r="O16" s="551"/>
      <c r="P16" s="551"/>
    </row>
    <row r="17" spans="2:16" ht="17.25">
      <c r="B17" s="95">
        <f t="shared" si="0"/>
        <v>14</v>
      </c>
      <c r="C17" s="565" t="s">
        <v>1743</v>
      </c>
      <c r="D17" s="96">
        <v>270732</v>
      </c>
      <c r="E17" s="96">
        <v>0</v>
      </c>
      <c r="F17" s="100">
        <f>D17</f>
        <v>270732</v>
      </c>
      <c r="G17" s="97">
        <v>43088</v>
      </c>
      <c r="H17" s="98" t="s">
        <v>355</v>
      </c>
      <c r="I17" s="96"/>
      <c r="J17" s="96" t="s">
        <v>1745</v>
      </c>
      <c r="L17" s="96" t="s">
        <v>156</v>
      </c>
      <c r="M17" s="298"/>
      <c r="O17" s="555"/>
      <c r="P17" s="551"/>
    </row>
    <row r="18" spans="2:16" ht="17.25">
      <c r="B18" s="95">
        <f t="shared" si="0"/>
        <v>15</v>
      </c>
      <c r="C18" s="566" t="s">
        <v>1744</v>
      </c>
      <c r="D18" s="567">
        <v>270732</v>
      </c>
      <c r="E18" s="96"/>
      <c r="F18" s="96"/>
      <c r="G18" s="298"/>
      <c r="H18" s="98"/>
      <c r="I18" s="96"/>
      <c r="J18" s="298"/>
      <c r="N18" s="551"/>
      <c r="O18" s="555"/>
      <c r="P18" s="551"/>
    </row>
    <row r="19" spans="2:16">
      <c r="B19" s="95">
        <f t="shared" si="0"/>
        <v>16</v>
      </c>
      <c r="C19" s="566" t="s">
        <v>161</v>
      </c>
      <c r="D19" s="567">
        <v>210702</v>
      </c>
      <c r="E19" s="96"/>
      <c r="F19" s="96"/>
      <c r="G19" s="298"/>
      <c r="H19" s="98"/>
      <c r="I19" s="96"/>
      <c r="J19" s="298"/>
      <c r="N19" s="551"/>
      <c r="O19" s="551"/>
    </row>
    <row r="20" spans="2:16">
      <c r="B20" s="95">
        <f t="shared" si="0"/>
        <v>17</v>
      </c>
      <c r="C20" s="566" t="s">
        <v>162</v>
      </c>
      <c r="D20" s="567">
        <v>95000</v>
      </c>
      <c r="E20" s="96"/>
      <c r="F20" s="96"/>
      <c r="G20" s="298"/>
      <c r="H20" s="552"/>
      <c r="I20" s="96"/>
      <c r="J20" s="298"/>
      <c r="L20" s="96" t="s">
        <v>175</v>
      </c>
      <c r="M20" s="96">
        <f>F21</f>
        <v>1798511</v>
      </c>
      <c r="N20" s="551"/>
      <c r="O20" s="551"/>
    </row>
    <row r="21" spans="2:16">
      <c r="B21" s="96"/>
      <c r="C21" s="96"/>
      <c r="D21" s="96"/>
      <c r="E21" s="556">
        <f>SUM(E4:E20)</f>
        <v>1085055</v>
      </c>
      <c r="F21" s="556">
        <f>SUM(F4:F20)</f>
        <v>1798511</v>
      </c>
      <c r="G21" s="96"/>
      <c r="H21" s="96"/>
      <c r="I21" s="96"/>
      <c r="J21" s="298"/>
      <c r="L21" s="96" t="s">
        <v>176</v>
      </c>
      <c r="M21" s="96">
        <v>400000</v>
      </c>
      <c r="N21" s="551"/>
      <c r="O21" s="551"/>
    </row>
    <row r="22" spans="2:16">
      <c r="B22" s="551"/>
      <c r="C22" s="551"/>
      <c r="D22" s="551"/>
      <c r="E22" s="551"/>
      <c r="F22" s="551"/>
      <c r="G22" s="551"/>
      <c r="H22" s="551"/>
      <c r="I22" s="551"/>
      <c r="J22" s="551"/>
      <c r="L22" s="298" t="s">
        <v>44</v>
      </c>
      <c r="M22" s="97">
        <v>42856</v>
      </c>
      <c r="N22" s="551"/>
      <c r="O22" s="551"/>
      <c r="P22" s="551"/>
    </row>
    <row r="23" spans="2:16" ht="15.75">
      <c r="B23" s="537" t="s">
        <v>1751</v>
      </c>
      <c r="C23" s="537"/>
      <c r="D23" s="537"/>
      <c r="E23" s="551"/>
      <c r="G23" s="537" t="s">
        <v>1756</v>
      </c>
      <c r="K23" s="551"/>
      <c r="L23" s="551"/>
      <c r="M23" s="551"/>
      <c r="N23" s="551"/>
      <c r="O23" s="551"/>
    </row>
    <row r="24" spans="2:16" ht="15.75">
      <c r="B24" s="623" t="s">
        <v>163</v>
      </c>
      <c r="C24" s="623"/>
      <c r="D24" s="554">
        <v>3460000</v>
      </c>
      <c r="E24" s="551"/>
      <c r="G24" s="537" t="s">
        <v>311</v>
      </c>
      <c r="H24" s="537" t="s">
        <v>1755</v>
      </c>
      <c r="I24" s="553"/>
      <c r="L24" s="551"/>
      <c r="M24" s="551"/>
      <c r="N24" s="551"/>
      <c r="O24" s="551"/>
    </row>
    <row r="25" spans="2:16">
      <c r="B25" s="623" t="s">
        <v>165</v>
      </c>
      <c r="C25" s="623"/>
      <c r="D25" s="554">
        <f>F21+E21</f>
        <v>2883566</v>
      </c>
      <c r="E25" s="551"/>
      <c r="G25" s="96" t="s">
        <v>1760</v>
      </c>
      <c r="H25" s="96" t="s">
        <v>1758</v>
      </c>
      <c r="I25" s="96" t="s">
        <v>1757</v>
      </c>
      <c r="L25" s="551"/>
      <c r="M25" s="551"/>
      <c r="N25" s="551"/>
      <c r="O25" s="551"/>
    </row>
    <row r="26" spans="2:16">
      <c r="B26" s="624" t="s">
        <v>45</v>
      </c>
      <c r="C26" s="624"/>
      <c r="D26" s="557">
        <f>D24-D25</f>
        <v>576434</v>
      </c>
      <c r="E26" s="551"/>
      <c r="G26" s="96" t="s">
        <v>1760</v>
      </c>
      <c r="H26" s="96" t="s">
        <v>1759</v>
      </c>
      <c r="I26" s="96"/>
      <c r="L26" s="551"/>
      <c r="M26" s="551"/>
      <c r="N26" s="551"/>
      <c r="O26" s="551"/>
      <c r="P26" s="551"/>
    </row>
    <row r="27" spans="2:16">
      <c r="B27" s="555"/>
      <c r="C27" s="555"/>
      <c r="D27" s="551"/>
      <c r="E27" s="551"/>
      <c r="G27" s="96" t="s">
        <v>1763</v>
      </c>
      <c r="H27" s="96" t="s">
        <v>1762</v>
      </c>
      <c r="I27" s="96" t="s">
        <v>1764</v>
      </c>
      <c r="L27" s="551"/>
      <c r="M27" s="555"/>
      <c r="N27" s="555"/>
      <c r="O27" s="555"/>
      <c r="P27" s="551"/>
    </row>
    <row r="28" spans="2:16" ht="15.75">
      <c r="B28" s="537" t="s">
        <v>1750</v>
      </c>
      <c r="C28" s="537"/>
      <c r="D28" s="553"/>
      <c r="E28" s="551"/>
      <c r="G28" s="96" t="s">
        <v>1772</v>
      </c>
      <c r="H28" s="96" t="s">
        <v>1771</v>
      </c>
      <c r="I28" s="96"/>
      <c r="L28" s="551"/>
      <c r="M28" s="555"/>
      <c r="N28" s="555"/>
      <c r="O28" s="555"/>
      <c r="P28" s="551"/>
    </row>
    <row r="29" spans="2:16">
      <c r="B29" s="96" t="s">
        <v>164</v>
      </c>
      <c r="C29" s="298"/>
      <c r="D29" s="96">
        <v>1250</v>
      </c>
      <c r="E29" s="551"/>
      <c r="G29" s="96"/>
      <c r="H29" s="96"/>
      <c r="I29" s="96"/>
      <c r="L29" s="551"/>
      <c r="M29" s="551"/>
      <c r="N29" s="551"/>
      <c r="O29" s="551"/>
    </row>
    <row r="30" spans="2:16">
      <c r="B30" s="96" t="s">
        <v>1752</v>
      </c>
      <c r="C30" s="298"/>
      <c r="D30" s="96">
        <v>2199</v>
      </c>
      <c r="E30" s="551"/>
      <c r="G30" s="96"/>
      <c r="H30" s="96"/>
      <c r="I30" s="96"/>
      <c r="J30" s="551"/>
      <c r="K30" s="551"/>
      <c r="L30" s="551"/>
      <c r="M30" s="551"/>
      <c r="N30" s="551"/>
      <c r="O30" s="551"/>
    </row>
    <row r="31" spans="2:16">
      <c r="B31" s="96" t="s">
        <v>166</v>
      </c>
      <c r="C31" s="298"/>
      <c r="D31" s="554">
        <f>D29*D30</f>
        <v>2748750</v>
      </c>
      <c r="E31" s="551"/>
      <c r="G31" s="96" t="s">
        <v>1765</v>
      </c>
      <c r="H31" s="96" t="s">
        <v>1770</v>
      </c>
      <c r="I31" s="96"/>
      <c r="J31" s="551"/>
      <c r="K31" s="551"/>
      <c r="L31" s="551"/>
      <c r="M31" s="551"/>
      <c r="N31" s="551"/>
      <c r="O31" s="551"/>
    </row>
    <row r="32" spans="2:16">
      <c r="B32" s="96" t="s">
        <v>358</v>
      </c>
      <c r="C32" s="298"/>
      <c r="D32" s="96" t="s">
        <v>359</v>
      </c>
      <c r="E32" s="551"/>
      <c r="G32" s="96" t="s">
        <v>1769</v>
      </c>
      <c r="H32" s="96" t="s">
        <v>1766</v>
      </c>
      <c r="I32" s="96"/>
      <c r="J32" s="551"/>
      <c r="K32" s="551"/>
      <c r="L32" s="551"/>
      <c r="M32" s="551"/>
      <c r="N32" s="551"/>
      <c r="O32" s="551"/>
    </row>
    <row r="33" spans="2:15">
      <c r="B33" s="96" t="s">
        <v>357</v>
      </c>
      <c r="C33" s="298"/>
      <c r="D33" s="96" t="s">
        <v>356</v>
      </c>
      <c r="E33" s="551"/>
      <c r="G33" s="96" t="s">
        <v>1768</v>
      </c>
      <c r="H33" s="96" t="s">
        <v>1767</v>
      </c>
      <c r="I33" s="96"/>
      <c r="J33" s="551"/>
      <c r="K33" s="551"/>
      <c r="L33" s="551"/>
      <c r="M33" s="551"/>
      <c r="N33" s="551"/>
      <c r="O33" s="551"/>
    </row>
    <row r="34" spans="2:15">
      <c r="B34" s="555"/>
      <c r="C34" s="555"/>
      <c r="D34" s="551"/>
      <c r="E34" s="551"/>
      <c r="H34" s="551"/>
      <c r="I34" s="551"/>
      <c r="J34" s="551"/>
      <c r="K34" s="551"/>
      <c r="L34" s="551"/>
      <c r="M34" s="551"/>
      <c r="N34" s="551"/>
      <c r="O34" s="551"/>
    </row>
    <row r="35" spans="2:15">
      <c r="B35" s="555"/>
      <c r="E35" s="551"/>
      <c r="H35" s="551"/>
      <c r="I35" s="551"/>
      <c r="J35" s="551"/>
      <c r="K35" s="551"/>
      <c r="L35" s="551"/>
      <c r="M35" s="551"/>
      <c r="N35" s="551"/>
      <c r="O35" s="551"/>
    </row>
    <row r="36" spans="2:15" ht="15.75">
      <c r="B36" s="537" t="s">
        <v>1773</v>
      </c>
      <c r="E36" s="551"/>
      <c r="H36" s="551"/>
      <c r="I36" s="551"/>
      <c r="J36" s="551"/>
      <c r="K36" s="551"/>
      <c r="L36" s="551"/>
      <c r="M36" s="551"/>
      <c r="N36" s="551"/>
      <c r="O36" s="551"/>
    </row>
    <row r="37" spans="2:15">
      <c r="B37" s="560">
        <v>41143</v>
      </c>
      <c r="C37" s="96" t="s">
        <v>358</v>
      </c>
      <c r="D37" s="298"/>
    </row>
    <row r="38" spans="2:15">
      <c r="B38" s="560">
        <v>41783</v>
      </c>
      <c r="C38" s="96" t="s">
        <v>357</v>
      </c>
      <c r="D38" s="298"/>
    </row>
    <row r="39" spans="2:15">
      <c r="B39" s="298"/>
      <c r="C39" s="298"/>
      <c r="D39" s="298"/>
    </row>
    <row r="40" spans="2:15">
      <c r="B40" s="560">
        <v>45589</v>
      </c>
      <c r="C40" s="298" t="s">
        <v>1761</v>
      </c>
      <c r="D40" s="298"/>
      <c r="H40" s="551"/>
    </row>
  </sheetData>
  <mergeCells count="3">
    <mergeCell ref="B24:C24"/>
    <mergeCell ref="B25:C25"/>
    <mergeCell ref="B26:C26"/>
  </mergeCells>
  <hyperlinks>
    <hyperlink ref="H28" r:id="rId1" xr:uid="{1E467A6F-1715-4CA8-A4B3-1F7965E74A09}"/>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F3124-BB54-4A5D-8B1F-CBE068D18029}">
  <dimension ref="A1:Q172"/>
  <sheetViews>
    <sheetView tabSelected="1" workbookViewId="0">
      <pane ySplit="1" topLeftCell="A66" activePane="bottomLeft" state="frozen"/>
      <selection pane="bottomLeft" activeCell="G85" sqref="G85"/>
    </sheetView>
  </sheetViews>
  <sheetFormatPr defaultRowHeight="15"/>
  <cols>
    <col min="1" max="1" width="2.375" style="293" customWidth="1"/>
    <col min="2" max="2" width="11.375" style="538" customWidth="1"/>
    <col min="3" max="3" width="29" style="293" customWidth="1"/>
    <col min="4" max="4" width="23.375" style="293" customWidth="1"/>
    <col min="5" max="5" width="24.125" style="293" customWidth="1"/>
    <col min="6" max="6" width="19.625" style="293" customWidth="1"/>
    <col min="7" max="7" width="15" style="293" customWidth="1"/>
    <col min="8" max="8" width="15.375" style="293" bestFit="1" customWidth="1"/>
    <col min="9" max="9" width="57.375" style="293" customWidth="1"/>
    <col min="10" max="16384" width="9" style="293"/>
  </cols>
  <sheetData>
    <row r="1" spans="1:9" ht="19.5" thickBot="1">
      <c r="A1" s="541"/>
      <c r="B1" s="542" t="s">
        <v>25</v>
      </c>
      <c r="C1" s="543" t="s">
        <v>1377</v>
      </c>
      <c r="D1" s="543" t="s">
        <v>1594</v>
      </c>
      <c r="E1" s="543" t="s">
        <v>1595</v>
      </c>
      <c r="F1" s="543" t="s">
        <v>544</v>
      </c>
      <c r="G1" s="543" t="s">
        <v>543</v>
      </c>
      <c r="H1" s="543" t="s">
        <v>1044</v>
      </c>
      <c r="I1" s="544" t="s">
        <v>1253</v>
      </c>
    </row>
    <row r="3" spans="1:9" ht="15.75">
      <c r="B3" s="537" t="s">
        <v>1599</v>
      </c>
    </row>
    <row r="4" spans="1:9">
      <c r="C4" s="298" t="s">
        <v>468</v>
      </c>
      <c r="D4" s="298" t="s">
        <v>469</v>
      </c>
      <c r="E4" s="298"/>
      <c r="F4" s="294"/>
      <c r="G4" s="294"/>
      <c r="H4" s="296" t="s">
        <v>312</v>
      </c>
      <c r="I4" s="294"/>
    </row>
    <row r="5" spans="1:9">
      <c r="C5" s="298" t="s">
        <v>461</v>
      </c>
      <c r="D5" s="294"/>
      <c r="E5" s="294" t="s">
        <v>384</v>
      </c>
      <c r="F5" s="298"/>
      <c r="G5" s="298"/>
      <c r="H5" s="298"/>
      <c r="I5" s="294" t="s">
        <v>383</v>
      </c>
    </row>
    <row r="6" spans="1:9">
      <c r="C6" s="538"/>
      <c r="D6" s="538"/>
      <c r="E6" s="538"/>
      <c r="F6" s="538"/>
      <c r="G6" s="538"/>
      <c r="H6" s="538"/>
      <c r="I6" s="538"/>
    </row>
    <row r="7" spans="1:9">
      <c r="C7" s="298" t="s">
        <v>576</v>
      </c>
      <c r="D7" s="298" t="s">
        <v>575</v>
      </c>
      <c r="E7" s="298"/>
      <c r="F7" s="298"/>
      <c r="G7" s="298"/>
      <c r="H7" s="298"/>
      <c r="I7" s="298"/>
    </row>
    <row r="8" spans="1:9">
      <c r="C8" s="298" t="s">
        <v>1714</v>
      </c>
      <c r="D8" s="298" t="s">
        <v>482</v>
      </c>
      <c r="E8" s="294" t="s">
        <v>382</v>
      </c>
      <c r="F8" s="294"/>
      <c r="G8" s="294"/>
      <c r="H8" s="296" t="s">
        <v>312</v>
      </c>
      <c r="I8" s="294"/>
    </row>
    <row r="10" spans="1:9">
      <c r="C10" s="298" t="s">
        <v>1348</v>
      </c>
      <c r="D10" s="298" t="s">
        <v>1347</v>
      </c>
      <c r="E10" s="298"/>
      <c r="F10" s="298"/>
      <c r="G10" s="298"/>
      <c r="H10" s="298"/>
      <c r="I10" s="294" t="s">
        <v>1346</v>
      </c>
    </row>
    <row r="11" spans="1:9">
      <c r="C11" s="298" t="s">
        <v>1790</v>
      </c>
      <c r="D11" s="298" t="s">
        <v>1791</v>
      </c>
      <c r="E11" s="298"/>
      <c r="F11" s="298"/>
      <c r="G11" s="298"/>
      <c r="H11" s="298"/>
      <c r="I11" s="298"/>
    </row>
    <row r="12" spans="1:9">
      <c r="C12" s="298"/>
      <c r="D12" s="298"/>
      <c r="E12" s="294"/>
      <c r="F12" s="294"/>
      <c r="G12" s="294"/>
      <c r="H12" s="296"/>
      <c r="I12" s="294"/>
    </row>
    <row r="13" spans="1:9">
      <c r="E13" s="539"/>
      <c r="F13" s="539"/>
      <c r="G13" s="539"/>
      <c r="H13" s="540"/>
      <c r="I13" s="539"/>
    </row>
    <row r="14" spans="1:9">
      <c r="E14" s="539"/>
      <c r="F14" s="539"/>
      <c r="G14" s="539"/>
      <c r="H14" s="539"/>
      <c r="I14" s="539"/>
    </row>
    <row r="15" spans="1:9">
      <c r="E15" s="539"/>
      <c r="F15" s="539"/>
      <c r="G15" s="539"/>
      <c r="H15" s="539"/>
      <c r="I15" s="539"/>
    </row>
    <row r="16" spans="1:9" ht="15.75">
      <c r="B16" s="537" t="s">
        <v>1596</v>
      </c>
    </row>
    <row r="17" spans="2:9">
      <c r="B17" s="293"/>
      <c r="C17" s="294" t="s">
        <v>1418</v>
      </c>
      <c r="D17" s="294" t="s">
        <v>316</v>
      </c>
      <c r="E17" s="298" t="s">
        <v>1414</v>
      </c>
      <c r="F17" s="294" t="s">
        <v>1720</v>
      </c>
      <c r="G17" s="298"/>
      <c r="H17" s="296" t="s">
        <v>1415</v>
      </c>
      <c r="I17" s="298" t="s">
        <v>1417</v>
      </c>
    </row>
    <row r="18" spans="2:9">
      <c r="B18" s="293"/>
      <c r="C18" s="294" t="s">
        <v>1419</v>
      </c>
      <c r="D18" s="294" t="s">
        <v>385</v>
      </c>
      <c r="E18" s="298" t="s">
        <v>1414</v>
      </c>
      <c r="F18" s="294" t="s">
        <v>1720</v>
      </c>
      <c r="G18" s="298" t="s">
        <v>548</v>
      </c>
      <c r="H18" s="296" t="s">
        <v>1415</v>
      </c>
      <c r="I18" s="298" t="s">
        <v>1417</v>
      </c>
    </row>
    <row r="19" spans="2:9">
      <c r="B19" s="293"/>
      <c r="C19" s="294" t="s">
        <v>1420</v>
      </c>
      <c r="D19" s="294" t="s">
        <v>446</v>
      </c>
      <c r="E19" s="298" t="s">
        <v>1027</v>
      </c>
      <c r="F19" s="298"/>
      <c r="G19" s="298"/>
      <c r="H19" s="296" t="s">
        <v>312</v>
      </c>
      <c r="I19" s="298"/>
    </row>
    <row r="20" spans="2:9">
      <c r="B20" s="293"/>
      <c r="C20" s="294" t="s">
        <v>1428</v>
      </c>
      <c r="D20" s="294" t="s">
        <v>1427</v>
      </c>
      <c r="E20" s="298" t="s">
        <v>1426</v>
      </c>
      <c r="F20" s="298"/>
      <c r="G20" s="298"/>
      <c r="H20" s="296"/>
      <c r="I20" s="298" t="s">
        <v>1425</v>
      </c>
    </row>
    <row r="21" spans="2:9">
      <c r="B21" s="293"/>
      <c r="C21" s="294" t="s">
        <v>1428</v>
      </c>
      <c r="D21" s="293" t="s">
        <v>1429</v>
      </c>
      <c r="E21" s="298" t="s">
        <v>1430</v>
      </c>
      <c r="F21" s="298"/>
      <c r="G21" s="298"/>
      <c r="H21" s="296"/>
      <c r="I21" s="298"/>
    </row>
    <row r="22" spans="2:9">
      <c r="C22" s="294" t="s">
        <v>1422</v>
      </c>
      <c r="D22" s="294" t="s">
        <v>1423</v>
      </c>
      <c r="E22" s="298" t="s">
        <v>1414</v>
      </c>
      <c r="F22" s="294" t="s">
        <v>1721</v>
      </c>
      <c r="G22" s="298" t="s">
        <v>1424</v>
      </c>
      <c r="H22" s="296"/>
      <c r="I22" s="298" t="s">
        <v>1416</v>
      </c>
    </row>
    <row r="23" spans="2:9">
      <c r="C23" s="294" t="s">
        <v>1422</v>
      </c>
      <c r="D23" s="294" t="s">
        <v>1421</v>
      </c>
      <c r="E23" s="298" t="s">
        <v>1414</v>
      </c>
      <c r="F23" s="294" t="s">
        <v>1721</v>
      </c>
      <c r="G23" s="298" t="s">
        <v>1424</v>
      </c>
      <c r="H23" s="296"/>
      <c r="I23" s="298" t="s">
        <v>1416</v>
      </c>
    </row>
    <row r="25" spans="2:9">
      <c r="C25" s="298" t="s">
        <v>1028</v>
      </c>
      <c r="D25" s="298" t="s">
        <v>1029</v>
      </c>
      <c r="E25" s="298">
        <v>230185</v>
      </c>
      <c r="F25" s="298" t="s">
        <v>1030</v>
      </c>
      <c r="G25" s="298" t="s">
        <v>1032</v>
      </c>
      <c r="H25" s="296" t="s">
        <v>312</v>
      </c>
      <c r="I25" s="298"/>
    </row>
    <row r="26" spans="2:9">
      <c r="C26" s="298" t="s">
        <v>1028</v>
      </c>
      <c r="D26" s="298" t="s">
        <v>1031</v>
      </c>
      <c r="E26" s="298">
        <v>260488</v>
      </c>
      <c r="F26" s="298" t="s">
        <v>1030</v>
      </c>
      <c r="G26" s="298" t="s">
        <v>1032</v>
      </c>
      <c r="H26" s="296" t="s">
        <v>312</v>
      </c>
      <c r="I26" s="298"/>
    </row>
    <row r="28" spans="2:9">
      <c r="C28" s="294" t="s">
        <v>1729</v>
      </c>
      <c r="D28" s="294" t="s">
        <v>458</v>
      </c>
      <c r="E28" s="294" t="s">
        <v>472</v>
      </c>
      <c r="F28" s="298"/>
      <c r="G28" s="298"/>
      <c r="H28" s="296" t="s">
        <v>312</v>
      </c>
      <c r="I28" s="298"/>
    </row>
    <row r="29" spans="2:9">
      <c r="C29" s="294" t="s">
        <v>1729</v>
      </c>
      <c r="D29" s="294" t="s">
        <v>473</v>
      </c>
      <c r="E29" s="294" t="s">
        <v>474</v>
      </c>
      <c r="F29" s="298"/>
      <c r="G29" s="298"/>
      <c r="H29" s="296" t="s">
        <v>312</v>
      </c>
      <c r="I29" s="298"/>
    </row>
    <row r="30" spans="2:9">
      <c r="C30" s="298" t="s">
        <v>550</v>
      </c>
      <c r="D30" s="298" t="s">
        <v>527</v>
      </c>
      <c r="E30" s="298" t="s">
        <v>372</v>
      </c>
      <c r="F30" s="298"/>
      <c r="G30" s="298"/>
      <c r="H30" s="296" t="s">
        <v>312</v>
      </c>
      <c r="I30" s="298"/>
    </row>
    <row r="32" spans="2:9">
      <c r="C32" s="294" t="s">
        <v>1727</v>
      </c>
      <c r="D32" s="298" t="s">
        <v>557</v>
      </c>
      <c r="E32" s="294" t="s">
        <v>366</v>
      </c>
      <c r="F32" s="298"/>
      <c r="G32" s="298" t="s">
        <v>1728</v>
      </c>
      <c r="H32" s="296" t="s">
        <v>312</v>
      </c>
      <c r="I32" s="298"/>
    </row>
    <row r="34" spans="2:9">
      <c r="C34" s="298" t="s">
        <v>1724</v>
      </c>
      <c r="D34" s="298" t="s">
        <v>940</v>
      </c>
      <c r="E34" s="294" t="s">
        <v>939</v>
      </c>
      <c r="F34" s="298"/>
      <c r="G34" s="298"/>
      <c r="H34" s="298"/>
      <c r="I34" s="294" t="s">
        <v>941</v>
      </c>
    </row>
    <row r="35" spans="2:9">
      <c r="C35" s="298" t="s">
        <v>1037</v>
      </c>
      <c r="D35" s="298">
        <v>106935436</v>
      </c>
      <c r="E35" s="298" t="s">
        <v>1039</v>
      </c>
      <c r="F35" s="298"/>
      <c r="G35" s="298" t="s">
        <v>1038</v>
      </c>
      <c r="H35" s="296" t="s">
        <v>312</v>
      </c>
      <c r="I35" s="298"/>
    </row>
    <row r="36" spans="2:9">
      <c r="C36" s="294" t="s">
        <v>1726</v>
      </c>
      <c r="D36" s="294" t="s">
        <v>386</v>
      </c>
      <c r="E36" s="294" t="s">
        <v>364</v>
      </c>
      <c r="F36" s="298"/>
      <c r="G36" s="298"/>
      <c r="H36" s="298"/>
      <c r="I36" s="294" t="s">
        <v>1725</v>
      </c>
    </row>
    <row r="38" spans="2:9">
      <c r="B38" s="596" t="s">
        <v>1862</v>
      </c>
      <c r="C38" s="294" t="s">
        <v>333</v>
      </c>
      <c r="D38" s="294" t="s">
        <v>483</v>
      </c>
      <c r="E38" s="294" t="s">
        <v>1860</v>
      </c>
      <c r="F38" s="294"/>
      <c r="G38" s="294" t="s">
        <v>1861</v>
      </c>
      <c r="H38" s="296" t="s">
        <v>312</v>
      </c>
      <c r="I38" s="298" t="s">
        <v>1150</v>
      </c>
    </row>
    <row r="39" spans="2:9">
      <c r="C39" s="294" t="s">
        <v>1456</v>
      </c>
      <c r="D39" s="294" t="s">
        <v>1455</v>
      </c>
      <c r="E39" s="294"/>
      <c r="F39" s="294" t="s">
        <v>1457</v>
      </c>
      <c r="G39" s="294"/>
      <c r="H39" s="296"/>
      <c r="I39" s="298"/>
    </row>
    <row r="40" spans="2:9">
      <c r="C40" s="294" t="s">
        <v>1458</v>
      </c>
      <c r="D40" s="294" t="s">
        <v>1459</v>
      </c>
      <c r="E40" s="294"/>
      <c r="F40" s="294" t="s">
        <v>1460</v>
      </c>
      <c r="G40" s="294" t="s">
        <v>1461</v>
      </c>
      <c r="H40" s="296"/>
      <c r="I40" s="298"/>
    </row>
    <row r="42" spans="2:9">
      <c r="C42" s="294" t="s">
        <v>960</v>
      </c>
      <c r="D42" s="294" t="s">
        <v>959</v>
      </c>
      <c r="E42" s="294" t="s">
        <v>1463</v>
      </c>
      <c r="F42" s="294"/>
      <c r="G42" s="294"/>
      <c r="H42" s="296"/>
      <c r="I42" s="294"/>
    </row>
    <row r="43" spans="2:9">
      <c r="C43" s="294" t="s">
        <v>1464</v>
      </c>
      <c r="D43" s="294" t="s">
        <v>959</v>
      </c>
      <c r="E43" s="294" t="s">
        <v>1462</v>
      </c>
      <c r="F43" s="294"/>
      <c r="G43" s="294"/>
      <c r="H43" s="296" t="s">
        <v>312</v>
      </c>
      <c r="I43" s="294"/>
    </row>
    <row r="45" spans="2:9">
      <c r="B45" s="293"/>
    </row>
    <row r="46" spans="2:9" ht="15.75">
      <c r="B46" s="537" t="s">
        <v>1722</v>
      </c>
      <c r="C46" s="536"/>
      <c r="D46" s="536"/>
    </row>
    <row r="47" spans="2:9">
      <c r="C47" s="294" t="s">
        <v>448</v>
      </c>
      <c r="D47" s="294" t="s">
        <v>913</v>
      </c>
      <c r="E47" s="294" t="s">
        <v>914</v>
      </c>
      <c r="F47" s="294"/>
      <c r="G47" s="294" t="s">
        <v>1090</v>
      </c>
      <c r="H47" s="294" t="s">
        <v>704</v>
      </c>
      <c r="I47" s="294" t="s">
        <v>447</v>
      </c>
    </row>
    <row r="48" spans="2:9">
      <c r="C48" s="294" t="s">
        <v>1091</v>
      </c>
      <c r="D48" s="294"/>
      <c r="E48" s="301"/>
      <c r="F48" s="294"/>
      <c r="G48" s="294" t="s">
        <v>1090</v>
      </c>
      <c r="H48" s="301"/>
      <c r="I48" s="294"/>
    </row>
    <row r="49" spans="1:9">
      <c r="C49" s="294" t="s">
        <v>949</v>
      </c>
      <c r="D49" s="294" t="s">
        <v>950</v>
      </c>
      <c r="E49" s="299"/>
      <c r="F49" s="294"/>
      <c r="G49" s="294"/>
      <c r="H49" s="296"/>
      <c r="I49" s="294"/>
    </row>
    <row r="50" spans="1:9">
      <c r="C50" s="294" t="s">
        <v>460</v>
      </c>
      <c r="D50" s="294" t="s">
        <v>443</v>
      </c>
      <c r="E50" s="294" t="s">
        <v>1093</v>
      </c>
      <c r="F50" s="294" t="s">
        <v>1094</v>
      </c>
      <c r="G50" s="294" t="s">
        <v>1092</v>
      </c>
      <c r="H50" s="296" t="s">
        <v>312</v>
      </c>
      <c r="I50" s="294"/>
    </row>
    <row r="51" spans="1:9">
      <c r="C51" s="538"/>
      <c r="D51" s="538"/>
      <c r="E51" s="538"/>
      <c r="F51" s="538"/>
      <c r="G51" s="538"/>
      <c r="H51" s="538"/>
      <c r="I51" s="538"/>
    </row>
    <row r="52" spans="1:9">
      <c r="C52" s="298" t="s">
        <v>1715</v>
      </c>
      <c r="D52" s="298" t="s">
        <v>1143</v>
      </c>
      <c r="E52" s="298"/>
      <c r="F52" s="298"/>
      <c r="G52" s="298"/>
      <c r="H52" s="298"/>
      <c r="I52" s="298"/>
    </row>
    <row r="53" spans="1:9">
      <c r="C53" s="298" t="s">
        <v>1716</v>
      </c>
      <c r="D53" s="298"/>
      <c r="E53" s="298"/>
      <c r="F53" s="298"/>
      <c r="G53" s="298"/>
      <c r="H53" s="298"/>
      <c r="I53" s="298"/>
    </row>
    <row r="54" spans="1:9">
      <c r="C54" s="298" t="s">
        <v>1592</v>
      </c>
      <c r="D54" s="298" t="s">
        <v>12</v>
      </c>
      <c r="E54" s="299" t="s">
        <v>1593</v>
      </c>
      <c r="F54" s="298"/>
      <c r="G54" s="298"/>
      <c r="H54" s="298"/>
      <c r="I54" s="298"/>
    </row>
    <row r="55" spans="1:9">
      <c r="C55" s="298" t="s">
        <v>1786</v>
      </c>
      <c r="D55" s="298" t="s">
        <v>1787</v>
      </c>
      <c r="E55" s="294" t="s">
        <v>1788</v>
      </c>
      <c r="F55" s="298" t="s">
        <v>1789</v>
      </c>
      <c r="G55" s="298"/>
      <c r="H55" s="298"/>
      <c r="I55" s="298"/>
    </row>
    <row r="56" spans="1:9">
      <c r="E56" s="545"/>
    </row>
    <row r="57" spans="1:9">
      <c r="C57" s="294" t="s">
        <v>338</v>
      </c>
      <c r="D57" s="294" t="s">
        <v>443</v>
      </c>
      <c r="E57" s="294" t="s">
        <v>455</v>
      </c>
      <c r="F57" s="294"/>
      <c r="G57" s="294" t="s">
        <v>339</v>
      </c>
      <c r="H57" s="298"/>
      <c r="I57" s="298"/>
    </row>
    <row r="58" spans="1:9">
      <c r="A58" s="538"/>
      <c r="C58" s="538"/>
      <c r="D58" s="538"/>
      <c r="E58" s="538"/>
      <c r="F58" s="538"/>
      <c r="G58" s="538"/>
      <c r="H58" s="538"/>
      <c r="I58" s="538"/>
    </row>
    <row r="59" spans="1:9">
      <c r="C59" s="294" t="s">
        <v>479</v>
      </c>
      <c r="D59" s="294" t="s">
        <v>449</v>
      </c>
      <c r="E59" s="294" t="s">
        <v>450</v>
      </c>
      <c r="F59" s="294" t="s">
        <v>452</v>
      </c>
      <c r="G59" s="294"/>
      <c r="H59" s="296" t="s">
        <v>312</v>
      </c>
      <c r="I59" s="294" t="s">
        <v>476</v>
      </c>
    </row>
    <row r="60" spans="1:9">
      <c r="C60" s="294" t="s">
        <v>448</v>
      </c>
      <c r="D60" s="294" t="s">
        <v>449</v>
      </c>
      <c r="E60" s="294" t="s">
        <v>450</v>
      </c>
      <c r="F60" s="294" t="s">
        <v>451</v>
      </c>
      <c r="G60" s="294"/>
      <c r="H60" s="296" t="s">
        <v>312</v>
      </c>
      <c r="I60" s="294"/>
    </row>
    <row r="61" spans="1:9">
      <c r="C61" s="294" t="s">
        <v>478</v>
      </c>
      <c r="D61" s="294" t="s">
        <v>453</v>
      </c>
      <c r="E61" s="294" t="s">
        <v>364</v>
      </c>
      <c r="F61" s="294" t="s">
        <v>452</v>
      </c>
      <c r="G61" s="294" t="s">
        <v>477</v>
      </c>
      <c r="H61" s="296" t="s">
        <v>312</v>
      </c>
      <c r="I61" s="294" t="s">
        <v>480</v>
      </c>
    </row>
    <row r="62" spans="1:9">
      <c r="C62" s="539"/>
      <c r="D62" s="539"/>
      <c r="E62" s="539"/>
      <c r="F62" s="539"/>
      <c r="G62" s="539"/>
      <c r="H62" s="540"/>
      <c r="I62" s="539"/>
    </row>
    <row r="63" spans="1:9">
      <c r="C63" s="298" t="s">
        <v>659</v>
      </c>
      <c r="D63" s="294" t="s">
        <v>660</v>
      </c>
      <c r="E63" s="298" t="s">
        <v>443</v>
      </c>
      <c r="F63" s="294" t="s">
        <v>366</v>
      </c>
      <c r="G63" s="294" t="s">
        <v>661</v>
      </c>
      <c r="H63" s="298"/>
      <c r="I63" s="298"/>
    </row>
    <row r="64" spans="1:9">
      <c r="C64" s="298" t="s">
        <v>658</v>
      </c>
      <c r="D64" s="294" t="s">
        <v>657</v>
      </c>
      <c r="E64" s="298" t="s">
        <v>443</v>
      </c>
      <c r="F64" s="294" t="s">
        <v>366</v>
      </c>
      <c r="G64" s="298"/>
      <c r="H64" s="298"/>
      <c r="I64" s="298"/>
    </row>
    <row r="65" spans="2:9">
      <c r="C65" s="298" t="s">
        <v>822</v>
      </c>
      <c r="D65" s="298" t="s">
        <v>823</v>
      </c>
      <c r="E65" s="298"/>
      <c r="F65" s="298"/>
      <c r="G65" s="298"/>
      <c r="H65" s="298"/>
      <c r="I65" s="298"/>
    </row>
    <row r="68" spans="2:9" ht="15.75">
      <c r="B68" s="537" t="s">
        <v>1723</v>
      </c>
    </row>
    <row r="69" spans="2:9">
      <c r="B69" s="293"/>
      <c r="C69" s="298" t="s">
        <v>1780</v>
      </c>
      <c r="D69" s="294" t="s">
        <v>711</v>
      </c>
      <c r="E69" s="298"/>
      <c r="F69" s="298"/>
      <c r="G69" s="298"/>
      <c r="H69" s="298"/>
      <c r="I69" s="298"/>
    </row>
    <row r="70" spans="2:9">
      <c r="B70" s="293"/>
      <c r="C70" s="298" t="s">
        <v>1779</v>
      </c>
      <c r="D70" s="294" t="s">
        <v>1781</v>
      </c>
      <c r="E70" s="298"/>
      <c r="F70" s="298"/>
      <c r="G70" s="298"/>
      <c r="H70" s="298"/>
      <c r="I70" s="298"/>
    </row>
    <row r="71" spans="2:9">
      <c r="B71" s="293"/>
      <c r="C71" s="298" t="s">
        <v>709</v>
      </c>
      <c r="D71" s="294" t="s">
        <v>710</v>
      </c>
      <c r="E71" s="298"/>
      <c r="F71" s="298"/>
      <c r="G71" s="298"/>
      <c r="H71" s="298"/>
      <c r="I71" s="298"/>
    </row>
    <row r="72" spans="2:9">
      <c r="B72" s="293"/>
      <c r="C72" s="298" t="s">
        <v>1112</v>
      </c>
      <c r="D72" s="294" t="s">
        <v>1201</v>
      </c>
      <c r="E72" s="298"/>
      <c r="F72" s="298"/>
      <c r="G72" s="298"/>
      <c r="H72" s="298"/>
      <c r="I72" s="298"/>
    </row>
    <row r="73" spans="2:9">
      <c r="B73" s="293"/>
    </row>
    <row r="74" spans="2:9">
      <c r="B74" s="293"/>
      <c r="C74" s="298" t="s">
        <v>811</v>
      </c>
      <c r="D74" s="298" t="s">
        <v>816</v>
      </c>
      <c r="E74" s="298" t="s">
        <v>812</v>
      </c>
      <c r="F74" s="298" t="s">
        <v>813</v>
      </c>
      <c r="G74" s="298" t="s">
        <v>817</v>
      </c>
      <c r="H74" s="298"/>
      <c r="I74" s="298"/>
    </row>
    <row r="75" spans="2:9">
      <c r="B75" s="293"/>
      <c r="C75" s="298" t="s">
        <v>811</v>
      </c>
      <c r="D75" s="298" t="s">
        <v>815</v>
      </c>
      <c r="E75" s="298" t="s">
        <v>812</v>
      </c>
      <c r="F75" s="298" t="s">
        <v>814</v>
      </c>
      <c r="G75" s="298" t="s">
        <v>817</v>
      </c>
      <c r="H75" s="298"/>
      <c r="I75" s="298"/>
    </row>
    <row r="76" spans="2:9">
      <c r="B76" s="293"/>
    </row>
    <row r="77" spans="2:9">
      <c r="C77" s="294" t="s">
        <v>1730</v>
      </c>
      <c r="D77" s="294" t="s">
        <v>1146</v>
      </c>
      <c r="E77" s="294" t="s">
        <v>316</v>
      </c>
      <c r="F77" s="294"/>
      <c r="G77" s="294" t="s">
        <v>1147</v>
      </c>
      <c r="H77" s="294"/>
      <c r="I77" s="298"/>
    </row>
    <row r="78" spans="2:9">
      <c r="C78" s="539"/>
      <c r="D78" s="539"/>
      <c r="E78" s="539"/>
      <c r="F78" s="539"/>
      <c r="G78" s="539"/>
      <c r="H78" s="539"/>
    </row>
    <row r="79" spans="2:9">
      <c r="C79" s="294" t="s">
        <v>1809</v>
      </c>
      <c r="D79" s="294" t="s">
        <v>1810</v>
      </c>
      <c r="E79" s="294"/>
      <c r="F79" s="294" t="s">
        <v>1049</v>
      </c>
      <c r="G79" s="294"/>
      <c r="H79" s="294"/>
      <c r="I79" s="294" t="s">
        <v>1808</v>
      </c>
    </row>
    <row r="80" spans="2:9">
      <c r="C80" s="294"/>
      <c r="D80" s="294"/>
      <c r="E80" s="294"/>
      <c r="F80" s="294"/>
      <c r="G80" s="294"/>
      <c r="H80" s="294"/>
      <c r="I80" s="294"/>
    </row>
    <row r="81" spans="2:10">
      <c r="B81" s="293"/>
    </row>
    <row r="83" spans="2:10" ht="15.75">
      <c r="B83" s="537" t="s">
        <v>1717</v>
      </c>
      <c r="C83" s="546"/>
    </row>
    <row r="84" spans="2:10">
      <c r="C84" s="294" t="s">
        <v>513</v>
      </c>
      <c r="D84" s="294" t="s">
        <v>441</v>
      </c>
      <c r="E84" s="294" t="s">
        <v>1896</v>
      </c>
      <c r="F84" s="294" t="s">
        <v>456</v>
      </c>
      <c r="G84" s="294" t="s">
        <v>1897</v>
      </c>
      <c r="H84" s="294"/>
      <c r="I84" s="298"/>
    </row>
    <row r="85" spans="2:10">
      <c r="C85" s="294" t="s">
        <v>513</v>
      </c>
      <c r="D85" s="294" t="s">
        <v>442</v>
      </c>
      <c r="E85" s="294" t="s">
        <v>326</v>
      </c>
      <c r="F85" s="294"/>
      <c r="G85" s="294"/>
      <c r="H85" s="294"/>
      <c r="I85" s="298"/>
    </row>
    <row r="86" spans="2:10">
      <c r="C86" s="294" t="s">
        <v>513</v>
      </c>
      <c r="D86" s="294" t="s">
        <v>316</v>
      </c>
      <c r="E86" s="294" t="s">
        <v>964</v>
      </c>
      <c r="F86" s="294" t="s">
        <v>1600</v>
      </c>
      <c r="G86" s="294" t="s">
        <v>1070</v>
      </c>
      <c r="H86" s="294"/>
      <c r="I86" s="298"/>
    </row>
    <row r="87" spans="2:10">
      <c r="C87" s="294" t="s">
        <v>1785</v>
      </c>
      <c r="D87" s="294" t="s">
        <v>1025</v>
      </c>
      <c r="E87" s="294" t="s">
        <v>964</v>
      </c>
      <c r="F87" s="294" t="s">
        <v>1026</v>
      </c>
      <c r="G87" s="294"/>
      <c r="H87" s="294"/>
      <c r="I87" s="298"/>
    </row>
    <row r="88" spans="2:10">
      <c r="C88" s="294" t="s">
        <v>1068</v>
      </c>
      <c r="D88" s="294" t="s">
        <v>443</v>
      </c>
      <c r="E88" s="294" t="s">
        <v>1089</v>
      </c>
      <c r="F88" s="295"/>
      <c r="G88" s="294" t="s">
        <v>1069</v>
      </c>
      <c r="H88" s="294"/>
      <c r="I88" s="294" t="s">
        <v>1731</v>
      </c>
    </row>
    <row r="89" spans="2:10">
      <c r="C89" s="294" t="s">
        <v>514</v>
      </c>
      <c r="D89" s="294" t="s">
        <v>515</v>
      </c>
      <c r="E89" s="294" t="s">
        <v>268</v>
      </c>
      <c r="F89" s="294"/>
      <c r="G89" s="294"/>
      <c r="H89" s="294"/>
      <c r="I89" s="294"/>
    </row>
    <row r="90" spans="2:10">
      <c r="C90" s="294"/>
      <c r="D90" s="294"/>
      <c r="E90" s="294"/>
      <c r="F90" s="294"/>
      <c r="G90" s="294"/>
      <c r="H90" s="294"/>
      <c r="I90" s="94"/>
    </row>
    <row r="91" spans="2:10">
      <c r="C91" s="294" t="s">
        <v>173</v>
      </c>
      <c r="D91" s="294" t="s">
        <v>12</v>
      </c>
      <c r="E91" s="294" t="s">
        <v>382</v>
      </c>
      <c r="F91" s="294"/>
      <c r="G91" s="294"/>
      <c r="H91" s="296" t="s">
        <v>312</v>
      </c>
      <c r="I91" s="294"/>
    </row>
    <row r="92" spans="2:10" s="538" customFormat="1">
      <c r="D92" s="294"/>
    </row>
    <row r="93" spans="2:10">
      <c r="C93" s="294" t="s">
        <v>865</v>
      </c>
      <c r="D93" s="294" t="s">
        <v>443</v>
      </c>
      <c r="E93" s="294" t="s">
        <v>455</v>
      </c>
      <c r="F93" s="294" t="s">
        <v>869</v>
      </c>
      <c r="G93" s="294"/>
      <c r="H93" s="294"/>
      <c r="I93" s="547">
        <v>1579463950</v>
      </c>
    </row>
    <row r="94" spans="2:10">
      <c r="C94" s="294" t="s">
        <v>865</v>
      </c>
      <c r="D94" s="294" t="s">
        <v>866</v>
      </c>
      <c r="E94" s="294" t="s">
        <v>867</v>
      </c>
      <c r="F94" s="294" t="s">
        <v>868</v>
      </c>
      <c r="G94" s="294"/>
      <c r="H94" s="294"/>
      <c r="I94" s="298"/>
    </row>
    <row r="95" spans="2:10">
      <c r="C95" s="298" t="s">
        <v>820</v>
      </c>
      <c r="D95" s="294" t="s">
        <v>821</v>
      </c>
      <c r="E95" s="298" t="s">
        <v>870</v>
      </c>
      <c r="F95" s="294"/>
      <c r="G95" s="294"/>
      <c r="H95" s="294"/>
      <c r="I95" s="298"/>
    </row>
    <row r="96" spans="2:10" s="538" customFormat="1">
      <c r="F96" s="293"/>
      <c r="J96" s="293"/>
    </row>
    <row r="97" spans="3:9">
      <c r="C97" s="294" t="s">
        <v>910</v>
      </c>
      <c r="D97" s="294" t="s">
        <v>443</v>
      </c>
      <c r="E97" s="294" t="s">
        <v>911</v>
      </c>
      <c r="F97" s="294" t="s">
        <v>912</v>
      </c>
      <c r="G97" s="294"/>
      <c r="H97" s="294"/>
      <c r="I97" s="298"/>
    </row>
    <row r="98" spans="3:9">
      <c r="C98" s="294" t="s">
        <v>910</v>
      </c>
      <c r="D98" s="294" t="s">
        <v>441</v>
      </c>
      <c r="E98" s="294" t="s">
        <v>512</v>
      </c>
      <c r="F98" s="294" t="s">
        <v>1601</v>
      </c>
      <c r="G98" s="294" t="s">
        <v>1067</v>
      </c>
      <c r="H98" s="294" t="s">
        <v>1602</v>
      </c>
      <c r="I98" s="298"/>
    </row>
    <row r="99" spans="3:9" s="538" customFormat="1"/>
    <row r="100" spans="3:9">
      <c r="C100" s="294" t="s">
        <v>313</v>
      </c>
      <c r="D100" s="294" t="s">
        <v>443</v>
      </c>
      <c r="E100" s="294" t="s">
        <v>455</v>
      </c>
      <c r="F100" s="298"/>
      <c r="G100" s="294"/>
      <c r="H100" s="296" t="s">
        <v>312</v>
      </c>
      <c r="I100" s="298"/>
    </row>
    <row r="101" spans="3:9">
      <c r="C101" s="294" t="s">
        <v>522</v>
      </c>
      <c r="D101" s="298" t="s">
        <v>523</v>
      </c>
      <c r="E101" s="294" t="s">
        <v>366</v>
      </c>
      <c r="F101" s="299"/>
      <c r="G101" s="294"/>
      <c r="H101" s="296" t="s">
        <v>312</v>
      </c>
      <c r="I101" s="298"/>
    </row>
    <row r="102" spans="3:9">
      <c r="C102" s="294" t="s">
        <v>465</v>
      </c>
      <c r="D102" s="294" t="s">
        <v>365</v>
      </c>
      <c r="E102" s="294" t="s">
        <v>366</v>
      </c>
      <c r="F102" s="298"/>
      <c r="G102" s="294" t="s">
        <v>367</v>
      </c>
      <c r="H102" s="294"/>
      <c r="I102" s="298"/>
    </row>
    <row r="103" spans="3:9">
      <c r="C103" s="294" t="s">
        <v>369</v>
      </c>
      <c r="D103" s="294" t="s">
        <v>371</v>
      </c>
      <c r="E103" s="294" t="s">
        <v>370</v>
      </c>
      <c r="F103" s="298"/>
      <c r="G103" s="294" t="s">
        <v>367</v>
      </c>
      <c r="H103" s="294"/>
      <c r="I103" s="298"/>
    </row>
    <row r="104" spans="3:9" s="538" customFormat="1"/>
    <row r="105" spans="3:9">
      <c r="C105" s="294" t="s">
        <v>466</v>
      </c>
      <c r="D105" s="294" t="s">
        <v>462</v>
      </c>
      <c r="E105" s="294" t="s">
        <v>326</v>
      </c>
      <c r="F105" s="294"/>
      <c r="G105" s="294"/>
      <c r="H105" s="294"/>
      <c r="I105" s="294" t="s">
        <v>463</v>
      </c>
    </row>
    <row r="106" spans="3:9" s="538" customFormat="1"/>
    <row r="107" spans="3:9">
      <c r="C107" s="294" t="s">
        <v>334</v>
      </c>
      <c r="D107" s="294" t="s">
        <v>459</v>
      </c>
      <c r="E107" s="294" t="s">
        <v>455</v>
      </c>
      <c r="F107" s="294"/>
      <c r="G107" s="294"/>
      <c r="H107" s="548" t="s">
        <v>475</v>
      </c>
      <c r="I107" s="294"/>
    </row>
    <row r="108" spans="3:9">
      <c r="C108" s="294" t="s">
        <v>335</v>
      </c>
      <c r="D108" s="294" t="s">
        <v>443</v>
      </c>
      <c r="E108" s="294" t="s">
        <v>455</v>
      </c>
      <c r="F108" s="294"/>
      <c r="G108" s="294"/>
      <c r="H108" s="548" t="s">
        <v>475</v>
      </c>
      <c r="I108" s="294"/>
    </row>
    <row r="109" spans="3:9">
      <c r="C109" s="294" t="s">
        <v>336</v>
      </c>
      <c r="D109" s="294" t="s">
        <v>443</v>
      </c>
      <c r="E109" s="294" t="s">
        <v>455</v>
      </c>
      <c r="F109" s="294"/>
      <c r="G109" s="294"/>
      <c r="H109" s="548" t="s">
        <v>475</v>
      </c>
      <c r="I109" s="294"/>
    </row>
    <row r="110" spans="3:9">
      <c r="C110" s="294" t="s">
        <v>337</v>
      </c>
      <c r="D110" s="294" t="s">
        <v>443</v>
      </c>
      <c r="E110" s="294" t="s">
        <v>455</v>
      </c>
      <c r="F110" s="294"/>
      <c r="G110" s="294"/>
      <c r="H110" s="548" t="s">
        <v>475</v>
      </c>
      <c r="I110" s="294"/>
    </row>
    <row r="111" spans="3:9">
      <c r="C111" s="298" t="s">
        <v>920</v>
      </c>
      <c r="D111" s="298" t="s">
        <v>443</v>
      </c>
      <c r="E111" s="298" t="s">
        <v>512</v>
      </c>
      <c r="F111" s="294"/>
      <c r="G111" s="294"/>
      <c r="H111" s="296" t="s">
        <v>312</v>
      </c>
      <c r="I111" s="294"/>
    </row>
    <row r="112" spans="3:9" s="538" customFormat="1"/>
    <row r="113" spans="2:9">
      <c r="C113" s="294" t="s">
        <v>330</v>
      </c>
      <c r="D113" s="294" t="s">
        <v>443</v>
      </c>
      <c r="E113" s="294" t="s">
        <v>455</v>
      </c>
      <c r="F113" s="294"/>
      <c r="G113" s="294" t="s">
        <v>331</v>
      </c>
      <c r="H113" s="548" t="s">
        <v>475</v>
      </c>
      <c r="I113" s="294"/>
    </row>
    <row r="114" spans="2:9" s="538" customFormat="1"/>
    <row r="115" spans="2:9">
      <c r="C115" s="294" t="s">
        <v>464</v>
      </c>
      <c r="D115" s="298" t="s">
        <v>528</v>
      </c>
      <c r="E115" s="294" t="s">
        <v>526</v>
      </c>
      <c r="F115" s="294" t="s">
        <v>454</v>
      </c>
      <c r="G115" s="294" t="s">
        <v>441</v>
      </c>
      <c r="H115" s="294"/>
      <c r="I115" s="294" t="s">
        <v>327</v>
      </c>
    </row>
    <row r="116" spans="2:9">
      <c r="C116" s="294" t="s">
        <v>464</v>
      </c>
      <c r="D116" s="294" t="s">
        <v>961</v>
      </c>
      <c r="E116" s="294" t="s">
        <v>512</v>
      </c>
      <c r="F116" s="294" t="s">
        <v>454</v>
      </c>
      <c r="G116" s="298" t="s">
        <v>962</v>
      </c>
      <c r="H116" s="294"/>
      <c r="I116" s="294" t="s">
        <v>328</v>
      </c>
    </row>
    <row r="117" spans="2:9">
      <c r="C117" s="294" t="s">
        <v>464</v>
      </c>
      <c r="D117" s="294" t="s">
        <v>1227</v>
      </c>
      <c r="E117" s="294" t="s">
        <v>1225</v>
      </c>
      <c r="F117" s="294"/>
      <c r="G117" s="298" t="s">
        <v>1226</v>
      </c>
      <c r="H117" s="294"/>
      <c r="I117" s="294"/>
    </row>
    <row r="118" spans="2:9">
      <c r="C118" s="548" t="s">
        <v>464</v>
      </c>
      <c r="D118" s="548" t="s">
        <v>456</v>
      </c>
      <c r="E118" s="548" t="s">
        <v>455</v>
      </c>
      <c r="F118" s="548" t="s">
        <v>454</v>
      </c>
      <c r="G118" s="548" t="s">
        <v>525</v>
      </c>
      <c r="H118" s="548"/>
      <c r="I118" s="548" t="s">
        <v>329</v>
      </c>
    </row>
    <row r="119" spans="2:9" s="538" customFormat="1"/>
    <row r="121" spans="2:9" ht="15.75">
      <c r="B121" s="537" t="s">
        <v>1597</v>
      </c>
    </row>
    <row r="122" spans="2:9">
      <c r="C122" s="294" t="s">
        <v>1331</v>
      </c>
      <c r="D122" s="294" t="s">
        <v>444</v>
      </c>
      <c r="E122" s="294" t="s">
        <v>1330</v>
      </c>
      <c r="F122" s="294" t="s">
        <v>445</v>
      </c>
      <c r="G122" s="294"/>
      <c r="H122" s="296" t="s">
        <v>312</v>
      </c>
      <c r="I122" s="298"/>
    </row>
    <row r="123" spans="2:9">
      <c r="C123" s="294" t="s">
        <v>301</v>
      </c>
      <c r="D123" s="294" t="s">
        <v>446</v>
      </c>
      <c r="E123" s="294" t="s">
        <v>1713</v>
      </c>
      <c r="F123" s="294" t="s">
        <v>445</v>
      </c>
      <c r="G123" s="298"/>
      <c r="H123" s="296" t="s">
        <v>312</v>
      </c>
      <c r="I123" s="298"/>
    </row>
    <row r="124" spans="2:9">
      <c r="C124" s="294" t="s">
        <v>1333</v>
      </c>
      <c r="D124" s="294" t="s">
        <v>937</v>
      </c>
      <c r="E124" s="294" t="s">
        <v>1713</v>
      </c>
      <c r="F124" s="294" t="s">
        <v>445</v>
      </c>
      <c r="G124" s="298"/>
      <c r="H124" s="296" t="s">
        <v>312</v>
      </c>
      <c r="I124" s="298"/>
    </row>
    <row r="125" spans="2:9">
      <c r="C125" s="298" t="s">
        <v>850</v>
      </c>
      <c r="D125" s="298" t="s">
        <v>577</v>
      </c>
      <c r="E125" s="298"/>
      <c r="F125" s="298"/>
      <c r="G125" s="294"/>
      <c r="H125" s="294"/>
      <c r="I125" s="298"/>
    </row>
    <row r="126" spans="2:9">
      <c r="C126" s="294" t="s">
        <v>854</v>
      </c>
      <c r="D126" s="298" t="s">
        <v>1106</v>
      </c>
      <c r="E126" s="294" t="s">
        <v>1107</v>
      </c>
      <c r="F126" s="302" t="s">
        <v>1108</v>
      </c>
      <c r="G126" s="294"/>
      <c r="H126" s="294"/>
      <c r="I126" s="298"/>
    </row>
    <row r="127" spans="2:9">
      <c r="C127" s="294" t="s">
        <v>1332</v>
      </c>
      <c r="D127" s="298" t="s">
        <v>578</v>
      </c>
      <c r="E127" s="298"/>
      <c r="F127" s="298"/>
      <c r="G127" s="294"/>
      <c r="H127" s="294"/>
      <c r="I127" s="298"/>
    </row>
    <row r="128" spans="2:9">
      <c r="C128" s="294" t="s">
        <v>1603</v>
      </c>
      <c r="D128" s="298"/>
      <c r="E128" s="298"/>
      <c r="F128" s="298"/>
      <c r="G128" s="294"/>
      <c r="H128" s="294"/>
      <c r="I128" s="298"/>
    </row>
    <row r="129" spans="2:9">
      <c r="C129" s="294" t="s">
        <v>273</v>
      </c>
      <c r="D129" s="298"/>
      <c r="E129" s="298"/>
      <c r="F129" s="298"/>
      <c r="G129" s="294"/>
      <c r="H129" s="294"/>
      <c r="I129" s="298"/>
    </row>
    <row r="130" spans="2:9">
      <c r="C130" s="294" t="s">
        <v>1732</v>
      </c>
      <c r="D130" s="298"/>
      <c r="E130" s="298"/>
      <c r="F130" s="298"/>
      <c r="G130" s="294"/>
      <c r="H130" s="294"/>
      <c r="I130" s="298"/>
    </row>
    <row r="132" spans="2:9">
      <c r="C132" s="298" t="s">
        <v>1718</v>
      </c>
      <c r="D132" s="298" t="s">
        <v>467</v>
      </c>
      <c r="E132" s="294" t="s">
        <v>364</v>
      </c>
      <c r="F132" s="294"/>
      <c r="G132" s="298"/>
      <c r="H132" s="296" t="s">
        <v>312</v>
      </c>
      <c r="I132" s="298"/>
    </row>
    <row r="133" spans="2:9">
      <c r="C133" s="298" t="s">
        <v>1719</v>
      </c>
      <c r="D133" s="298" t="s">
        <v>467</v>
      </c>
      <c r="E133" s="294" t="s">
        <v>455</v>
      </c>
      <c r="F133" s="298"/>
      <c r="G133" s="294"/>
      <c r="H133" s="296" t="s">
        <v>312</v>
      </c>
      <c r="I133" s="298"/>
    </row>
    <row r="136" spans="2:9" ht="15.75">
      <c r="B136" s="537" t="s">
        <v>1398</v>
      </c>
    </row>
    <row r="137" spans="2:9">
      <c r="C137" s="294" t="s">
        <v>1736</v>
      </c>
      <c r="D137" s="294">
        <v>21</v>
      </c>
      <c r="E137" s="294" t="s">
        <v>1710</v>
      </c>
      <c r="F137" s="298"/>
      <c r="G137" s="294" t="s">
        <v>1710</v>
      </c>
      <c r="H137" s="294">
        <v>88</v>
      </c>
      <c r="I137" s="294"/>
    </row>
    <row r="138" spans="2:9">
      <c r="C138" s="294" t="s">
        <v>1735</v>
      </c>
      <c r="D138" s="294" t="s">
        <v>549</v>
      </c>
      <c r="E138" s="294" t="s">
        <v>648</v>
      </c>
      <c r="F138" s="298"/>
      <c r="G138" s="294" t="s">
        <v>649</v>
      </c>
      <c r="H138" s="294"/>
      <c r="I138" s="294"/>
    </row>
    <row r="139" spans="2:9">
      <c r="C139" s="294" t="s">
        <v>1737</v>
      </c>
      <c r="D139" s="294" t="s">
        <v>341</v>
      </c>
      <c r="E139" s="294"/>
      <c r="F139" s="294"/>
      <c r="G139" s="294"/>
      <c r="H139" s="294" t="s">
        <v>484</v>
      </c>
      <c r="I139" s="294"/>
    </row>
    <row r="140" spans="2:9">
      <c r="C140" s="548" t="s">
        <v>362</v>
      </c>
      <c r="D140" s="548" t="s">
        <v>712</v>
      </c>
      <c r="E140" s="548"/>
      <c r="F140" s="548"/>
      <c r="G140" s="548" t="s">
        <v>706</v>
      </c>
      <c r="H140" s="548" t="s">
        <v>484</v>
      </c>
      <c r="I140" s="548"/>
    </row>
    <row r="141" spans="2:9">
      <c r="C141" s="548" t="s">
        <v>417</v>
      </c>
      <c r="D141" s="548" t="s">
        <v>340</v>
      </c>
      <c r="E141" s="548" t="s">
        <v>701</v>
      </c>
      <c r="F141" s="548"/>
      <c r="G141" s="548"/>
      <c r="H141" s="548" t="s">
        <v>484</v>
      </c>
      <c r="I141" s="548"/>
    </row>
    <row r="142" spans="2:9" s="538" customFormat="1"/>
    <row r="143" spans="2:9">
      <c r="C143" s="294" t="s">
        <v>705</v>
      </c>
      <c r="D143" s="294" t="s">
        <v>965</v>
      </c>
      <c r="E143" s="294"/>
      <c r="F143" s="294"/>
      <c r="G143" s="294" t="s">
        <v>966</v>
      </c>
      <c r="H143" s="294"/>
      <c r="I143" s="294"/>
    </row>
    <row r="144" spans="2:9">
      <c r="C144" s="294" t="s">
        <v>1139</v>
      </c>
      <c r="D144" s="294" t="s">
        <v>1738</v>
      </c>
      <c r="E144" s="294"/>
      <c r="F144" s="294"/>
      <c r="G144" s="294" t="s">
        <v>1315</v>
      </c>
      <c r="H144" s="294"/>
      <c r="I144" s="294"/>
    </row>
    <row r="145" spans="2:9" s="538" customFormat="1"/>
    <row r="146" spans="2:9">
      <c r="C146" s="294" t="s">
        <v>1734</v>
      </c>
      <c r="D146" s="297"/>
      <c r="E146" s="294"/>
      <c r="F146" s="294"/>
      <c r="G146" s="294"/>
      <c r="H146" s="294"/>
      <c r="I146" s="294"/>
    </row>
    <row r="147" spans="2:9">
      <c r="C147" s="294" t="s">
        <v>1733</v>
      </c>
      <c r="D147" s="294" t="s">
        <v>1141</v>
      </c>
      <c r="F147" s="294"/>
      <c r="G147" s="294" t="s">
        <v>1142</v>
      </c>
      <c r="H147" s="294"/>
      <c r="I147" s="294"/>
    </row>
    <row r="148" spans="2:9">
      <c r="C148" s="294" t="s">
        <v>1615</v>
      </c>
      <c r="D148" s="294" t="s">
        <v>1616</v>
      </c>
      <c r="E148" s="294"/>
      <c r="F148" s="294"/>
      <c r="G148" s="294" t="s">
        <v>1617</v>
      </c>
      <c r="H148" s="294"/>
      <c r="I148" s="294" t="s">
        <v>1620</v>
      </c>
    </row>
    <row r="149" spans="2:9" s="538" customFormat="1"/>
    <row r="150" spans="2:9">
      <c r="C150" s="294" t="s">
        <v>1588</v>
      </c>
      <c r="D150" s="294" t="s">
        <v>947</v>
      </c>
      <c r="E150" s="298" t="s">
        <v>948</v>
      </c>
      <c r="F150" s="294"/>
      <c r="G150" s="294"/>
      <c r="H150" s="294"/>
      <c r="I150" s="294"/>
    </row>
    <row r="151" spans="2:9">
      <c r="C151" s="294" t="s">
        <v>1589</v>
      </c>
      <c r="D151" s="294" t="s">
        <v>1590</v>
      </c>
      <c r="E151" s="294" t="s">
        <v>1623</v>
      </c>
      <c r="F151" s="294"/>
      <c r="G151" s="294" t="s">
        <v>1591</v>
      </c>
      <c r="H151" s="294" t="s">
        <v>1624</v>
      </c>
      <c r="I151" s="294"/>
    </row>
    <row r="152" spans="2:9" s="538" customFormat="1"/>
    <row r="153" spans="2:9">
      <c r="C153" s="294" t="s">
        <v>1041</v>
      </c>
      <c r="D153" s="294" t="s">
        <v>443</v>
      </c>
      <c r="E153" s="294" t="s">
        <v>1040</v>
      </c>
      <c r="F153" s="294"/>
      <c r="G153" s="294"/>
      <c r="H153" s="294"/>
      <c r="I153" s="294"/>
    </row>
    <row r="154" spans="2:9" s="538" customFormat="1"/>
    <row r="155" spans="2:9">
      <c r="C155" s="298" t="s">
        <v>1739</v>
      </c>
      <c r="D155" s="298"/>
      <c r="E155" s="298"/>
      <c r="F155" s="298"/>
      <c r="G155" s="298"/>
      <c r="H155" s="298"/>
      <c r="I155" s="298"/>
    </row>
    <row r="158" spans="2:9" ht="15.75">
      <c r="B158" s="537" t="s">
        <v>1598</v>
      </c>
    </row>
    <row r="159" spans="2:9">
      <c r="C159" s="298" t="s">
        <v>1206</v>
      </c>
      <c r="D159" s="298" t="s">
        <v>1202</v>
      </c>
      <c r="E159" s="299" t="s">
        <v>702</v>
      </c>
      <c r="F159" s="320" t="s">
        <v>1207</v>
      </c>
      <c r="G159" s="294"/>
      <c r="H159" s="296" t="s">
        <v>312</v>
      </c>
      <c r="I159" s="294" t="s">
        <v>1203</v>
      </c>
    </row>
    <row r="160" spans="2:9">
      <c r="C160" s="298" t="s">
        <v>1204</v>
      </c>
      <c r="D160" s="298" t="s">
        <v>1276</v>
      </c>
      <c r="E160" s="299"/>
      <c r="F160" s="294"/>
      <c r="G160" s="294"/>
      <c r="H160" s="296"/>
      <c r="I160" s="294" t="s">
        <v>1205</v>
      </c>
    </row>
    <row r="161" spans="3:17">
      <c r="C161" s="298" t="s">
        <v>545</v>
      </c>
      <c r="D161" s="298" t="s">
        <v>716</v>
      </c>
      <c r="E161" s="298" t="s">
        <v>546</v>
      </c>
      <c r="F161" s="294"/>
      <c r="G161" s="294" t="s">
        <v>547</v>
      </c>
      <c r="H161" s="296"/>
      <c r="I161" s="294"/>
    </row>
    <row r="163" spans="3:17">
      <c r="C163" s="294" t="s">
        <v>1740</v>
      </c>
      <c r="D163" s="294" t="s">
        <v>443</v>
      </c>
      <c r="E163" s="294" t="s">
        <v>326</v>
      </c>
      <c r="F163" s="294"/>
      <c r="G163" s="294" t="s">
        <v>763</v>
      </c>
      <c r="H163" s="296" t="s">
        <v>312</v>
      </c>
      <c r="I163" s="298" t="s">
        <v>1083</v>
      </c>
    </row>
    <row r="164" spans="3:17">
      <c r="C164" s="539"/>
      <c r="D164" s="539"/>
      <c r="E164" s="539"/>
      <c r="F164" s="539"/>
      <c r="G164" s="539"/>
      <c r="H164" s="540"/>
    </row>
    <row r="165" spans="3:17">
      <c r="C165" s="294" t="s">
        <v>332</v>
      </c>
      <c r="D165" s="294" t="s">
        <v>457</v>
      </c>
      <c r="E165" s="294" t="s">
        <v>455</v>
      </c>
      <c r="F165" s="294"/>
      <c r="G165" s="294" t="s">
        <v>481</v>
      </c>
      <c r="H165" s="296" t="s">
        <v>312</v>
      </c>
      <c r="I165" s="294"/>
    </row>
    <row r="166" spans="3:17" s="538" customFormat="1">
      <c r="C166" s="298" t="s">
        <v>1138</v>
      </c>
      <c r="D166" s="294" t="s">
        <v>579</v>
      </c>
      <c r="E166" s="294" t="s">
        <v>1273</v>
      </c>
      <c r="F166" s="297" t="s">
        <v>951</v>
      </c>
      <c r="G166" s="294" t="s">
        <v>580</v>
      </c>
      <c r="H166" s="296" t="s">
        <v>312</v>
      </c>
      <c r="I166" s="294" t="s">
        <v>581</v>
      </c>
    </row>
    <row r="168" spans="3:17">
      <c r="C168" s="294" t="s">
        <v>1086</v>
      </c>
      <c r="D168" s="300" t="s">
        <v>1087</v>
      </c>
      <c r="E168" s="297" t="s">
        <v>1149</v>
      </c>
      <c r="F168" s="294"/>
      <c r="G168" s="294"/>
      <c r="H168" s="294"/>
      <c r="I168" s="294" t="s">
        <v>1088</v>
      </c>
    </row>
    <row r="170" spans="3:17">
      <c r="C170" s="294" t="s">
        <v>1281</v>
      </c>
      <c r="D170" s="294" t="s">
        <v>987</v>
      </c>
      <c r="E170" s="294"/>
      <c r="F170" s="294"/>
      <c r="G170" s="294" t="s">
        <v>1097</v>
      </c>
      <c r="H170" s="294"/>
      <c r="I170" s="294" t="s">
        <v>1096</v>
      </c>
      <c r="K170" s="298" t="s">
        <v>927</v>
      </c>
      <c r="L170" s="298" t="s">
        <v>928</v>
      </c>
      <c r="M170" s="298" t="s">
        <v>929</v>
      </c>
      <c r="N170" s="298" t="s">
        <v>931</v>
      </c>
      <c r="O170" s="298"/>
      <c r="P170" s="298"/>
      <c r="Q170" s="298"/>
    </row>
    <row r="171" spans="3:17" ht="47.25">
      <c r="C171" s="294" t="s">
        <v>988</v>
      </c>
      <c r="D171" s="300" t="s">
        <v>527</v>
      </c>
      <c r="E171" s="300" t="s">
        <v>1148</v>
      </c>
      <c r="F171" s="294" t="s">
        <v>1059</v>
      </c>
      <c r="G171" s="294" t="s">
        <v>862</v>
      </c>
      <c r="H171" s="294"/>
      <c r="I171" s="550" t="s">
        <v>915</v>
      </c>
      <c r="K171" s="549">
        <v>265</v>
      </c>
      <c r="L171" s="549">
        <f>K171*85/100</f>
        <v>225.25</v>
      </c>
      <c r="M171" s="549" t="s">
        <v>930</v>
      </c>
      <c r="N171" s="549" t="s">
        <v>932</v>
      </c>
      <c r="O171" s="298" t="s">
        <v>994</v>
      </c>
      <c r="P171" s="298"/>
      <c r="Q171" s="298"/>
    </row>
    <row r="172" spans="3:17">
      <c r="E172" s="293" t="s">
        <v>1848</v>
      </c>
      <c r="F172" s="293" t="s">
        <v>1198</v>
      </c>
      <c r="G172" s="293" t="s">
        <v>1849</v>
      </c>
      <c r="K172" s="298"/>
      <c r="L172" s="298"/>
      <c r="M172" s="298"/>
      <c r="N172" s="298"/>
      <c r="O172" s="298" t="s">
        <v>993</v>
      </c>
      <c r="P172" s="298"/>
      <c r="Q172" s="298"/>
    </row>
  </sheetData>
  <hyperlinks>
    <hyperlink ref="D87" r:id="rId1" xr:uid="{8F20A4D9-1C0D-43BD-9262-7BE2AB436FC7}"/>
    <hyperlink ref="D86" r:id="rId2" xr:uid="{A22234B7-3B58-4617-97FD-D61B74DBA6A1}"/>
    <hyperlink ref="E101" r:id="rId3" xr:uid="{98E4939D-CA24-4929-B76A-A8D569686FFB}"/>
    <hyperlink ref="D126" r:id="rId4" xr:uid="{802003A3-33AD-4C17-B1FE-E8D7CAF0B801}"/>
    <hyperlink ref="E117" r:id="rId5" xr:uid="{E3A4C438-2D72-4249-BB36-389DC74ECA1E}"/>
    <hyperlink ref="E159" r:id="rId6" xr:uid="{B6F726CB-5B90-478B-8051-77CBCA0E4729}"/>
    <hyperlink ref="D17" r:id="rId7" xr:uid="{E030C5FA-D014-4A34-A7AE-7810BA4314AA}"/>
    <hyperlink ref="D72" r:id="rId8" xr:uid="{9FC52BF9-E5CE-410C-9A24-342B1D25C588}"/>
    <hyperlink ref="E77" r:id="rId9" xr:uid="{FC0D796B-86BB-451C-AB37-DB27455D6288}"/>
    <hyperlink ref="E54" r:id="rId10" xr:uid="{04F5D8A3-FE1A-41BD-9B08-F78417DE7F0D}"/>
    <hyperlink ref="G171" r:id="rId11" xr:uid="{CD38A8AD-A040-A54D-973E-80CF9FF43A90}"/>
    <hyperlink ref="I79" r:id="rId12" xr:uid="{0FD10F9C-2E08-492C-8473-48B312F98843}"/>
    <hyperlink ref="E38" r:id="rId13" xr:uid="{028657E0-737A-4B5B-BFD3-2D23FCB153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C18"/>
  <sheetViews>
    <sheetView workbookViewId="0">
      <selection activeCell="B20" sqref="B20"/>
    </sheetView>
  </sheetViews>
  <sheetFormatPr defaultColWidth="8.875" defaultRowHeight="14.25"/>
  <cols>
    <col min="2" max="2" width="100.5" customWidth="1"/>
  </cols>
  <sheetData>
    <row r="2" spans="1:3" s="89" customFormat="1" ht="15">
      <c r="A2" s="90" t="s">
        <v>325</v>
      </c>
      <c r="B2" s="90" t="s">
        <v>317</v>
      </c>
    </row>
    <row r="3" spans="1:3" s="89" customFormat="1" ht="15">
      <c r="B3" s="89" t="s">
        <v>318</v>
      </c>
    </row>
    <row r="4" spans="1:3" s="88" customFormat="1" ht="15"/>
    <row r="5" spans="1:3" s="88" customFormat="1" ht="15">
      <c r="A5" s="91" t="s">
        <v>325</v>
      </c>
      <c r="B5" s="90" t="s">
        <v>320</v>
      </c>
    </row>
    <row r="6" spans="1:3" s="88" customFormat="1" ht="15">
      <c r="B6" s="89" t="s">
        <v>319</v>
      </c>
    </row>
    <row r="7" spans="1:3" s="88" customFormat="1" ht="15">
      <c r="B7" s="89"/>
    </row>
    <row r="8" spans="1:3" s="88" customFormat="1" ht="15">
      <c r="B8" s="89" t="s">
        <v>321</v>
      </c>
    </row>
    <row r="9" spans="1:3" s="88" customFormat="1" ht="15">
      <c r="B9" s="89" t="s">
        <v>322</v>
      </c>
    </row>
    <row r="10" spans="1:3" s="88" customFormat="1" ht="15">
      <c r="B10" s="89" t="s">
        <v>323</v>
      </c>
    </row>
    <row r="11" spans="1:3" s="88" customFormat="1" ht="15">
      <c r="B11" s="89" t="s">
        <v>324</v>
      </c>
    </row>
    <row r="12" spans="1:3" s="88" customFormat="1" ht="15">
      <c r="B12" s="89"/>
    </row>
    <row r="13" spans="1:3" s="88" customFormat="1" ht="15">
      <c r="B13" s="89"/>
    </row>
    <row r="14" spans="1:3" s="88" customFormat="1" ht="15"/>
    <row r="15" spans="1:3" s="88" customFormat="1" ht="15"/>
    <row r="16" spans="1:3" s="88" customFormat="1" ht="15">
      <c r="B16" s="88" t="s">
        <v>751</v>
      </c>
      <c r="C16" s="88" t="s">
        <v>752</v>
      </c>
    </row>
    <row r="17" s="88" customFormat="1" ht="15"/>
    <row r="18" s="88" customFormat="1" ht="15"/>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0B2D-0B73-48CC-B6D6-79D5581BA771}">
  <dimension ref="A1:M84"/>
  <sheetViews>
    <sheetView topLeftCell="A59" zoomScaleNormal="100" workbookViewId="0">
      <selection activeCell="F73" sqref="F73"/>
    </sheetView>
  </sheetViews>
  <sheetFormatPr defaultColWidth="8.875" defaultRowHeight="14.25"/>
  <cols>
    <col min="1" max="1" width="16.375" customWidth="1"/>
    <col min="2" max="2" width="23.125" customWidth="1"/>
    <col min="3" max="3" width="17.125" customWidth="1"/>
    <col min="4" max="4" width="12" customWidth="1"/>
    <col min="5" max="5" width="16.125" customWidth="1"/>
    <col min="6" max="6" width="16" customWidth="1"/>
    <col min="7" max="7" width="13.5" style="73" customWidth="1"/>
    <col min="8" max="8" width="12.5" style="73" customWidth="1"/>
    <col min="10" max="10" width="12" customWidth="1"/>
    <col min="11" max="11" width="12.125" customWidth="1"/>
  </cols>
  <sheetData>
    <row r="1" spans="1:10" ht="26.25">
      <c r="A1" s="127" t="s">
        <v>434</v>
      </c>
    </row>
    <row r="2" spans="1:10" ht="15">
      <c r="A2" s="126" t="s">
        <v>44</v>
      </c>
      <c r="B2" s="126" t="s">
        <v>431</v>
      </c>
      <c r="C2" s="126" t="s">
        <v>291</v>
      </c>
      <c r="D2" s="126" t="s">
        <v>433</v>
      </c>
    </row>
    <row r="3" spans="1:10" ht="15">
      <c r="A3" s="124">
        <v>43831</v>
      </c>
      <c r="B3" s="125">
        <v>10000</v>
      </c>
      <c r="C3" s="125">
        <v>0</v>
      </c>
      <c r="D3" s="125">
        <v>0</v>
      </c>
    </row>
    <row r="5" spans="1:10" ht="26.25">
      <c r="A5" s="128" t="s">
        <v>388</v>
      </c>
      <c r="H5"/>
    </row>
    <row r="6" spans="1:10" ht="15.75">
      <c r="A6" s="129" t="s">
        <v>435</v>
      </c>
      <c r="G6" s="625" t="s">
        <v>553</v>
      </c>
      <c r="H6" s="626"/>
      <c r="I6" s="627"/>
    </row>
    <row r="7" spans="1:10" ht="15">
      <c r="A7" s="126" t="s">
        <v>44</v>
      </c>
      <c r="B7" s="126" t="s">
        <v>429</v>
      </c>
      <c r="C7" s="126" t="s">
        <v>432</v>
      </c>
      <c r="D7" s="126" t="s">
        <v>430</v>
      </c>
      <c r="E7" s="126" t="s">
        <v>431</v>
      </c>
      <c r="F7" s="126" t="s">
        <v>433</v>
      </c>
      <c r="G7" s="165" t="s">
        <v>184</v>
      </c>
      <c r="H7" s="165" t="s">
        <v>552</v>
      </c>
      <c r="I7" s="165" t="s">
        <v>554</v>
      </c>
      <c r="J7" s="126" t="s">
        <v>308</v>
      </c>
    </row>
    <row r="8" spans="1:10" ht="15">
      <c r="A8" s="124">
        <v>43070</v>
      </c>
      <c r="B8" s="125">
        <v>0</v>
      </c>
      <c r="C8" s="125">
        <v>0</v>
      </c>
      <c r="D8" s="125">
        <v>400000</v>
      </c>
      <c r="E8" s="125">
        <v>400000</v>
      </c>
      <c r="F8" s="125">
        <f>D8-E8</f>
        <v>0</v>
      </c>
      <c r="G8" s="166">
        <v>678</v>
      </c>
      <c r="H8" s="166">
        <v>0</v>
      </c>
      <c r="I8" s="166">
        <f>G8+H8</f>
        <v>678</v>
      </c>
      <c r="J8" s="63"/>
    </row>
    <row r="9" spans="1:10" ht="15">
      <c r="A9" s="124">
        <v>43101</v>
      </c>
      <c r="B9" s="125">
        <v>0</v>
      </c>
      <c r="C9" s="125">
        <v>0</v>
      </c>
      <c r="D9" s="125">
        <v>392000</v>
      </c>
      <c r="E9" s="125">
        <v>400000</v>
      </c>
      <c r="F9" s="125">
        <f>D9-E9</f>
        <v>-8000</v>
      </c>
      <c r="G9" s="166">
        <v>-85467</v>
      </c>
      <c r="H9" s="166">
        <v>8302</v>
      </c>
      <c r="I9" s="166">
        <f>G9+H9</f>
        <v>-77165</v>
      </c>
      <c r="J9" s="63"/>
    </row>
    <row r="10" spans="1:10" ht="15">
      <c r="A10" s="124">
        <v>43466</v>
      </c>
      <c r="B10" s="125">
        <v>259371</v>
      </c>
      <c r="C10" s="125">
        <v>56109</v>
      </c>
      <c r="D10" s="125">
        <f>B10+C10</f>
        <v>315480</v>
      </c>
      <c r="E10" s="125">
        <v>400000</v>
      </c>
      <c r="F10" s="125">
        <f>D10-E10</f>
        <v>-84520</v>
      </c>
      <c r="G10" s="166">
        <v>8217</v>
      </c>
      <c r="H10" s="166">
        <v>-8334</v>
      </c>
      <c r="I10" s="166">
        <f>G10+H10</f>
        <v>-117</v>
      </c>
      <c r="J10" s="63"/>
    </row>
    <row r="11" spans="1:10" ht="15">
      <c r="A11" s="124">
        <v>43831</v>
      </c>
      <c r="B11" s="125">
        <v>291229</v>
      </c>
      <c r="C11" s="125">
        <v>14134</v>
      </c>
      <c r="D11" s="125">
        <f>B11+C11</f>
        <v>305363</v>
      </c>
      <c r="E11" s="125">
        <v>390000</v>
      </c>
      <c r="F11" s="125">
        <f>D11-E11</f>
        <v>-84637</v>
      </c>
      <c r="G11" s="166">
        <v>-20773</v>
      </c>
      <c r="H11" s="166">
        <v>-24741</v>
      </c>
      <c r="I11" s="166">
        <f>G11+H11</f>
        <v>-45514</v>
      </c>
      <c r="J11" s="125" t="s">
        <v>555</v>
      </c>
    </row>
    <row r="12" spans="1:10" ht="15">
      <c r="A12" s="124">
        <v>44197</v>
      </c>
      <c r="B12" s="125">
        <v>220872</v>
      </c>
      <c r="C12" s="125">
        <v>64114</v>
      </c>
      <c r="D12" s="125">
        <f>B12+C12</f>
        <v>284986</v>
      </c>
      <c r="E12" s="125">
        <v>390000</v>
      </c>
      <c r="F12" s="125">
        <f>D12-E12</f>
        <v>-105014</v>
      </c>
      <c r="G12" s="166">
        <f>F12</f>
        <v>-105014</v>
      </c>
      <c r="H12" s="166">
        <v>0</v>
      </c>
      <c r="I12" s="166">
        <f>G12+H12</f>
        <v>-105014</v>
      </c>
      <c r="J12" s="125"/>
    </row>
    <row r="13" spans="1:10">
      <c r="G13"/>
      <c r="H13"/>
    </row>
    <row r="16" spans="1:10" ht="15.75">
      <c r="A16" s="129" t="s">
        <v>436</v>
      </c>
    </row>
    <row r="17" spans="1:12" ht="15">
      <c r="A17" s="126" t="s">
        <v>44</v>
      </c>
      <c r="B17" s="137" t="s">
        <v>429</v>
      </c>
      <c r="C17" s="137" t="s">
        <v>432</v>
      </c>
      <c r="D17" s="137" t="s">
        <v>793</v>
      </c>
      <c r="E17" s="126" t="s">
        <v>541</v>
      </c>
      <c r="F17" s="126" t="s">
        <v>431</v>
      </c>
      <c r="G17" s="126" t="s">
        <v>433</v>
      </c>
      <c r="H17" s="164" t="s">
        <v>544</v>
      </c>
      <c r="I17" s="164" t="s">
        <v>543</v>
      </c>
    </row>
    <row r="18" spans="1:12" ht="15">
      <c r="A18" s="124">
        <v>43831</v>
      </c>
      <c r="B18" s="125">
        <v>291229</v>
      </c>
      <c r="C18" s="125">
        <v>14134</v>
      </c>
      <c r="D18" s="63"/>
      <c r="E18" s="125">
        <f t="shared" ref="E18:E31" si="0">B18+C18</f>
        <v>305363</v>
      </c>
      <c r="F18" s="125">
        <v>390000</v>
      </c>
      <c r="G18" s="125">
        <f t="shared" ref="G18:G26" si="1">E18-F18</f>
        <v>-84637</v>
      </c>
      <c r="H18" s="125"/>
      <c r="I18" s="125"/>
    </row>
    <row r="19" spans="1:12" ht="15">
      <c r="A19" s="124">
        <v>43862</v>
      </c>
      <c r="B19" s="125">
        <v>291229</v>
      </c>
      <c r="C19" s="125">
        <v>14134</v>
      </c>
      <c r="D19" s="63"/>
      <c r="E19" s="125">
        <f t="shared" si="0"/>
        <v>305363</v>
      </c>
      <c r="F19" s="125">
        <v>390000</v>
      </c>
      <c r="G19" s="125">
        <f t="shared" si="1"/>
        <v>-84637</v>
      </c>
      <c r="H19" s="125"/>
      <c r="I19" s="125"/>
    </row>
    <row r="20" spans="1:12" ht="15">
      <c r="A20" s="124">
        <v>43891</v>
      </c>
      <c r="B20" s="125">
        <v>168000</v>
      </c>
      <c r="C20" s="125">
        <v>136267</v>
      </c>
      <c r="D20" s="63"/>
      <c r="E20" s="125">
        <f t="shared" si="0"/>
        <v>304267</v>
      </c>
      <c r="F20" s="125">
        <v>390000</v>
      </c>
      <c r="G20" s="125">
        <f t="shared" si="1"/>
        <v>-85733</v>
      </c>
      <c r="H20" s="125" t="s">
        <v>524</v>
      </c>
      <c r="I20" s="125" t="s">
        <v>542</v>
      </c>
    </row>
    <row r="21" spans="1:12" ht="15">
      <c r="A21" s="124">
        <v>43922</v>
      </c>
      <c r="B21" s="125">
        <v>95470</v>
      </c>
      <c r="C21" s="125">
        <v>42887</v>
      </c>
      <c r="D21" s="63"/>
      <c r="E21" s="125">
        <f t="shared" si="0"/>
        <v>138357</v>
      </c>
      <c r="F21" s="125">
        <f>F20-I21</f>
        <v>259560</v>
      </c>
      <c r="G21" s="125">
        <f t="shared" si="1"/>
        <v>-121203</v>
      </c>
      <c r="H21" s="125" t="s">
        <v>521</v>
      </c>
      <c r="I21" s="125">
        <v>130440</v>
      </c>
    </row>
    <row r="22" spans="1:12" ht="15">
      <c r="A22" s="124">
        <v>43952</v>
      </c>
      <c r="B22" s="125">
        <v>118439</v>
      </c>
      <c r="C22" s="125">
        <v>9195</v>
      </c>
      <c r="D22" s="63"/>
      <c r="E22" s="125">
        <f t="shared" si="0"/>
        <v>127634</v>
      </c>
      <c r="F22" s="125">
        <f>F21</f>
        <v>259560</v>
      </c>
      <c r="G22" s="125">
        <f t="shared" si="1"/>
        <v>-131926</v>
      </c>
      <c r="H22" s="125"/>
      <c r="I22" s="125"/>
    </row>
    <row r="23" spans="1:12" ht="15">
      <c r="A23" s="124">
        <v>43986</v>
      </c>
      <c r="B23" s="125">
        <v>102579</v>
      </c>
      <c r="C23" s="125">
        <v>13402</v>
      </c>
      <c r="D23" s="63"/>
      <c r="E23" s="125">
        <f t="shared" si="0"/>
        <v>115981</v>
      </c>
      <c r="F23" s="125">
        <f>F22</f>
        <v>259560</v>
      </c>
      <c r="G23" s="125">
        <f t="shared" si="1"/>
        <v>-143579</v>
      </c>
      <c r="H23" s="125" t="s">
        <v>551</v>
      </c>
      <c r="I23" s="125"/>
    </row>
    <row r="24" spans="1:12" ht="15">
      <c r="A24" s="124">
        <v>44018</v>
      </c>
      <c r="B24" s="125">
        <v>63029</v>
      </c>
      <c r="C24" s="125">
        <v>66767</v>
      </c>
      <c r="D24" s="63"/>
      <c r="E24" s="125">
        <f t="shared" si="0"/>
        <v>129796</v>
      </c>
      <c r="F24" s="125">
        <f>F23-9560</f>
        <v>250000</v>
      </c>
      <c r="G24" s="125">
        <f t="shared" si="1"/>
        <v>-120204</v>
      </c>
      <c r="H24" s="125" t="s">
        <v>556</v>
      </c>
      <c r="I24" s="125"/>
    </row>
    <row r="25" spans="1:12" ht="15">
      <c r="A25" s="124">
        <v>44044</v>
      </c>
      <c r="B25" s="125">
        <v>37151</v>
      </c>
      <c r="C25" s="125">
        <v>88631</v>
      </c>
      <c r="D25" s="63"/>
      <c r="E25" s="125">
        <f t="shared" si="0"/>
        <v>125782</v>
      </c>
      <c r="F25" s="125">
        <v>250000</v>
      </c>
      <c r="G25" s="125">
        <f t="shared" si="1"/>
        <v>-124218</v>
      </c>
      <c r="H25" s="125"/>
      <c r="I25" s="125"/>
    </row>
    <row r="26" spans="1:12" ht="15">
      <c r="A26" s="124">
        <v>44075</v>
      </c>
      <c r="B26" s="125">
        <v>71802</v>
      </c>
      <c r="C26" s="125">
        <v>65931</v>
      </c>
      <c r="D26" s="63"/>
      <c r="E26" s="125">
        <f t="shared" si="0"/>
        <v>137733</v>
      </c>
      <c r="F26" s="125">
        <v>250000</v>
      </c>
      <c r="G26" s="125">
        <f t="shared" si="1"/>
        <v>-112267</v>
      </c>
      <c r="H26" s="125" t="s">
        <v>636</v>
      </c>
      <c r="I26" s="125"/>
    </row>
    <row r="27" spans="1:12" ht="15">
      <c r="A27" s="124">
        <v>44105</v>
      </c>
      <c r="B27" s="125">
        <v>18046</v>
      </c>
      <c r="C27" s="125">
        <v>252911</v>
      </c>
      <c r="D27" s="63"/>
      <c r="E27" s="125">
        <f t="shared" si="0"/>
        <v>270957</v>
      </c>
      <c r="F27" s="125">
        <v>400000</v>
      </c>
      <c r="G27" s="125">
        <f t="shared" ref="G27:G32" si="2">-(F27-E27)</f>
        <v>-129043</v>
      </c>
      <c r="H27" s="125"/>
      <c r="I27" s="125"/>
    </row>
    <row r="28" spans="1:12" ht="15">
      <c r="A28" s="124">
        <v>44136</v>
      </c>
      <c r="B28" s="125">
        <v>24997</v>
      </c>
      <c r="C28" s="125">
        <v>247361</v>
      </c>
      <c r="D28" s="63"/>
      <c r="E28" s="125">
        <f t="shared" si="0"/>
        <v>272358</v>
      </c>
      <c r="F28" s="125">
        <f t="shared" ref="F28:F39" si="3">F27</f>
        <v>400000</v>
      </c>
      <c r="G28" s="125">
        <f t="shared" si="2"/>
        <v>-127642</v>
      </c>
      <c r="H28" s="163">
        <f>G29-G28</f>
        <v>12628</v>
      </c>
      <c r="I28" s="125"/>
    </row>
    <row r="29" spans="1:12" ht="15">
      <c r="A29" s="124">
        <v>44197</v>
      </c>
      <c r="B29" s="125">
        <v>220872</v>
      </c>
      <c r="C29" s="125">
        <v>64114</v>
      </c>
      <c r="D29" s="63"/>
      <c r="E29" s="125">
        <f>B29+C29</f>
        <v>284986</v>
      </c>
      <c r="F29" s="125">
        <f t="shared" si="3"/>
        <v>400000</v>
      </c>
      <c r="G29" s="125">
        <f t="shared" si="2"/>
        <v>-115014</v>
      </c>
      <c r="H29" s="163">
        <f>G30-G29</f>
        <v>636</v>
      </c>
      <c r="I29" s="163"/>
      <c r="K29" s="125" t="s">
        <v>788</v>
      </c>
    </row>
    <row r="30" spans="1:12" ht="15">
      <c r="A30" s="124">
        <v>44197</v>
      </c>
      <c r="B30" s="125">
        <v>196934</v>
      </c>
      <c r="C30" s="125">
        <v>88688</v>
      </c>
      <c r="D30" s="63"/>
      <c r="E30" s="125">
        <f t="shared" si="0"/>
        <v>285622</v>
      </c>
      <c r="F30" s="125">
        <f t="shared" si="3"/>
        <v>400000</v>
      </c>
      <c r="G30" s="125">
        <f t="shared" si="2"/>
        <v>-114378</v>
      </c>
      <c r="H30" s="163">
        <f>G31-G30</f>
        <v>5300</v>
      </c>
      <c r="I30" s="163"/>
      <c r="K30" t="s">
        <v>798</v>
      </c>
      <c r="L30" s="63">
        <v>15200</v>
      </c>
    </row>
    <row r="31" spans="1:12" ht="15">
      <c r="A31" s="124">
        <v>44256</v>
      </c>
      <c r="B31" s="125">
        <v>35277</v>
      </c>
      <c r="C31" s="125">
        <v>255645</v>
      </c>
      <c r="D31" s="63"/>
      <c r="E31" s="125">
        <f t="shared" si="0"/>
        <v>290922</v>
      </c>
      <c r="F31" s="125">
        <f t="shared" si="3"/>
        <v>400000</v>
      </c>
      <c r="G31" s="125">
        <f t="shared" si="2"/>
        <v>-109078</v>
      </c>
      <c r="H31" s="125"/>
      <c r="I31" s="125"/>
      <c r="K31" t="s">
        <v>797</v>
      </c>
      <c r="L31">
        <v>4479</v>
      </c>
    </row>
    <row r="32" spans="1:12" ht="15">
      <c r="A32" s="124">
        <v>44287</v>
      </c>
      <c r="B32" s="125">
        <v>22092</v>
      </c>
      <c r="C32" s="125">
        <v>268242</v>
      </c>
      <c r="D32" s="63">
        <v>15200</v>
      </c>
      <c r="E32" s="125">
        <f t="shared" ref="E32:E37" si="4">B32+C32+D32</f>
        <v>305534</v>
      </c>
      <c r="F32" s="125">
        <f t="shared" si="3"/>
        <v>400000</v>
      </c>
      <c r="G32" s="125">
        <f t="shared" si="2"/>
        <v>-94466</v>
      </c>
      <c r="H32" s="125" t="s">
        <v>796</v>
      </c>
      <c r="I32" s="125"/>
    </row>
    <row r="33" spans="1:11" ht="15">
      <c r="A33" s="124">
        <v>44317</v>
      </c>
      <c r="B33" s="125">
        <v>45720</v>
      </c>
      <c r="C33" s="125">
        <v>240892</v>
      </c>
      <c r="D33" s="63">
        <v>15200</v>
      </c>
      <c r="E33" s="125">
        <f t="shared" si="4"/>
        <v>301812</v>
      </c>
      <c r="F33" s="125">
        <f t="shared" si="3"/>
        <v>400000</v>
      </c>
      <c r="G33" s="125">
        <f t="shared" ref="G33:G38" si="5">-(F33-E33)</f>
        <v>-98188</v>
      </c>
      <c r="H33" s="125"/>
      <c r="I33" s="125"/>
    </row>
    <row r="34" spans="1:11" ht="15">
      <c r="A34" s="124">
        <v>44396</v>
      </c>
      <c r="B34" s="125">
        <v>125498</v>
      </c>
      <c r="C34" s="125">
        <v>93622</v>
      </c>
      <c r="D34" s="63">
        <v>21000</v>
      </c>
      <c r="E34" s="125">
        <f t="shared" si="4"/>
        <v>240120</v>
      </c>
      <c r="F34" s="125">
        <f t="shared" si="3"/>
        <v>400000</v>
      </c>
      <c r="G34" s="125">
        <f t="shared" si="5"/>
        <v>-159880</v>
      </c>
      <c r="H34" s="163">
        <f t="shared" ref="H34:H39" si="6">G34-G33</f>
        <v>-61692</v>
      </c>
      <c r="I34" s="63" t="s">
        <v>810</v>
      </c>
    </row>
    <row r="35" spans="1:11" ht="15">
      <c r="A35" s="124">
        <v>44409</v>
      </c>
      <c r="B35" s="125">
        <v>55853</v>
      </c>
      <c r="C35" s="125">
        <v>163120</v>
      </c>
      <c r="D35" s="63">
        <v>25588</v>
      </c>
      <c r="E35" s="125">
        <f t="shared" si="4"/>
        <v>244561</v>
      </c>
      <c r="F35" s="125">
        <f t="shared" si="3"/>
        <v>400000</v>
      </c>
      <c r="G35" s="125">
        <f t="shared" si="5"/>
        <v>-155439</v>
      </c>
      <c r="H35" s="163">
        <f t="shared" si="6"/>
        <v>4441</v>
      </c>
      <c r="I35" s="63"/>
    </row>
    <row r="36" spans="1:11" ht="15">
      <c r="A36" s="124">
        <v>44440</v>
      </c>
      <c r="B36" s="125">
        <v>46229</v>
      </c>
      <c r="C36" s="125">
        <v>172345</v>
      </c>
      <c r="D36" s="63">
        <v>25620</v>
      </c>
      <c r="E36" s="125">
        <f t="shared" si="4"/>
        <v>244194</v>
      </c>
      <c r="F36" s="125">
        <f t="shared" si="3"/>
        <v>400000</v>
      </c>
      <c r="G36" s="125">
        <f t="shared" si="5"/>
        <v>-155806</v>
      </c>
      <c r="H36" s="163">
        <f t="shared" si="6"/>
        <v>-367</v>
      </c>
      <c r="I36" s="63"/>
    </row>
    <row r="37" spans="1:11" ht="15">
      <c r="A37" s="124">
        <v>44470</v>
      </c>
      <c r="B37" s="125">
        <v>46140</v>
      </c>
      <c r="C37" s="125">
        <v>172355</v>
      </c>
      <c r="D37" s="63">
        <v>25620</v>
      </c>
      <c r="E37" s="125">
        <f t="shared" si="4"/>
        <v>244115</v>
      </c>
      <c r="F37" s="125">
        <f>F36-46140</f>
        <v>353860</v>
      </c>
      <c r="G37" s="125">
        <f t="shared" si="5"/>
        <v>-109745</v>
      </c>
      <c r="H37" s="163">
        <f t="shared" si="6"/>
        <v>46061</v>
      </c>
      <c r="I37" s="63"/>
    </row>
    <row r="38" spans="1:11" ht="15">
      <c r="A38" s="124">
        <v>44531</v>
      </c>
      <c r="B38" s="125">
        <v>33884</v>
      </c>
      <c r="C38" s="125">
        <v>144832</v>
      </c>
      <c r="D38" s="63">
        <v>25620</v>
      </c>
      <c r="E38" s="125">
        <f t="shared" ref="E38" si="7">B38+C38+D38</f>
        <v>204336</v>
      </c>
      <c r="F38" s="125">
        <f t="shared" si="3"/>
        <v>353860</v>
      </c>
      <c r="G38" s="125">
        <f t="shared" si="5"/>
        <v>-149524</v>
      </c>
      <c r="H38" s="163">
        <f t="shared" si="6"/>
        <v>-39779</v>
      </c>
      <c r="I38" s="63"/>
    </row>
    <row r="39" spans="1:11" ht="15.75">
      <c r="A39" s="124">
        <v>44562</v>
      </c>
      <c r="B39" s="125">
        <v>330</v>
      </c>
      <c r="C39" s="125">
        <v>174437</v>
      </c>
      <c r="D39" s="63">
        <v>25620</v>
      </c>
      <c r="E39" s="125">
        <f>B39+C39+D39</f>
        <v>200387</v>
      </c>
      <c r="F39" s="125">
        <f t="shared" si="3"/>
        <v>353860</v>
      </c>
      <c r="G39" s="125">
        <f t="shared" ref="G39" si="8">-(F39-E39)</f>
        <v>-153473</v>
      </c>
      <c r="H39" s="163">
        <f t="shared" si="6"/>
        <v>-3949</v>
      </c>
      <c r="I39" s="63"/>
      <c r="J39" s="136" t="s">
        <v>917</v>
      </c>
      <c r="K39" s="253" t="s">
        <v>918</v>
      </c>
    </row>
    <row r="40" spans="1:11" ht="15">
      <c r="A40" s="124">
        <v>44593</v>
      </c>
      <c r="B40" s="125">
        <v>89522</v>
      </c>
      <c r="C40" s="125">
        <v>91673</v>
      </c>
      <c r="D40" s="63">
        <v>25620</v>
      </c>
      <c r="E40" s="125">
        <f>B40+C40+D40</f>
        <v>206815</v>
      </c>
      <c r="F40" s="125">
        <f>F39</f>
        <v>353860</v>
      </c>
      <c r="G40" s="125">
        <f t="shared" ref="G40" si="9">-(F40-E40)</f>
        <v>-147045</v>
      </c>
      <c r="H40" s="163">
        <f>G40-G39</f>
        <v>6428</v>
      </c>
      <c r="I40" s="63"/>
    </row>
    <row r="41" spans="1:11" ht="15">
      <c r="A41" s="124">
        <v>44652</v>
      </c>
      <c r="B41" s="125">
        <v>0</v>
      </c>
      <c r="C41" s="125">
        <v>113547</v>
      </c>
      <c r="D41" s="63">
        <v>25620</v>
      </c>
      <c r="E41" s="125">
        <f>B41+C41+D41</f>
        <v>139167</v>
      </c>
      <c r="F41" s="125">
        <f>F40-67621</f>
        <v>286239</v>
      </c>
      <c r="G41" s="125">
        <f>-(F41-E41)</f>
        <v>-147072</v>
      </c>
      <c r="H41" s="254" t="s">
        <v>919</v>
      </c>
      <c r="I41" s="63"/>
    </row>
    <row r="42" spans="1:11" ht="15">
      <c r="A42" s="124">
        <v>44835</v>
      </c>
      <c r="B42" s="125">
        <v>0</v>
      </c>
      <c r="C42" s="125">
        <v>91672</v>
      </c>
      <c r="D42" s="63">
        <v>25620</v>
      </c>
      <c r="E42" s="125">
        <f>B42+C42+D42</f>
        <v>117292</v>
      </c>
      <c r="F42" s="125">
        <v>286239</v>
      </c>
      <c r="G42" s="125">
        <f>-(F42-E42)</f>
        <v>-168947</v>
      </c>
      <c r="H42" s="163"/>
      <c r="I42" s="63"/>
    </row>
    <row r="43" spans="1:11" ht="15">
      <c r="A43" s="124">
        <v>45352</v>
      </c>
      <c r="B43" s="125">
        <v>0</v>
      </c>
      <c r="C43" s="125">
        <v>90164</v>
      </c>
      <c r="D43" s="63">
        <v>25620</v>
      </c>
      <c r="E43" s="125">
        <f>B43+C43+D43</f>
        <v>115784</v>
      </c>
      <c r="F43" s="125">
        <v>286239</v>
      </c>
      <c r="G43" s="125">
        <f>-(F43-E43)</f>
        <v>-170455</v>
      </c>
      <c r="H43" s="163"/>
      <c r="I43" s="63"/>
    </row>
    <row r="44" spans="1:11" ht="15">
      <c r="A44" s="319"/>
      <c r="B44" s="105"/>
      <c r="C44" s="105"/>
      <c r="E44" s="105"/>
      <c r="F44" s="105"/>
      <c r="G44" s="105"/>
    </row>
    <row r="47" spans="1:11" ht="15">
      <c r="A47" s="286" t="s">
        <v>1260</v>
      </c>
    </row>
    <row r="48" spans="1:11" ht="15">
      <c r="A48" s="286" t="s">
        <v>25</v>
      </c>
      <c r="B48" s="286" t="s">
        <v>406</v>
      </c>
      <c r="C48" s="286" t="s">
        <v>1256</v>
      </c>
      <c r="D48" s="286" t="s">
        <v>1254</v>
      </c>
      <c r="E48" s="286" t="s">
        <v>35</v>
      </c>
      <c r="F48" s="286" t="s">
        <v>1259</v>
      </c>
      <c r="G48" s="286" t="s">
        <v>285</v>
      </c>
      <c r="H48" s="286" t="s">
        <v>308</v>
      </c>
      <c r="I48" s="286" t="s">
        <v>1253</v>
      </c>
    </row>
    <row r="49" spans="1:9" ht="15">
      <c r="A49" s="323">
        <v>1</v>
      </c>
      <c r="B49" s="326" t="s">
        <v>788</v>
      </c>
      <c r="C49" s="323">
        <v>23916</v>
      </c>
      <c r="D49" s="322" t="s">
        <v>1250</v>
      </c>
      <c r="E49" s="323" t="s">
        <v>1251</v>
      </c>
      <c r="F49" s="323"/>
      <c r="G49" s="327" t="s">
        <v>1050</v>
      </c>
      <c r="H49" s="323"/>
      <c r="I49" s="323" t="s">
        <v>1252</v>
      </c>
    </row>
    <row r="50" spans="1:9" ht="15">
      <c r="A50" s="323">
        <v>2</v>
      </c>
      <c r="B50" s="326" t="s">
        <v>1209</v>
      </c>
      <c r="C50" s="323">
        <v>70800</v>
      </c>
      <c r="D50" s="322" t="s">
        <v>1258</v>
      </c>
      <c r="E50" s="323"/>
      <c r="F50" s="323" t="s">
        <v>1255</v>
      </c>
      <c r="G50" s="327" t="s">
        <v>1050</v>
      </c>
      <c r="H50" s="323" t="s">
        <v>1257</v>
      </c>
      <c r="I50" s="323" t="s">
        <v>1208</v>
      </c>
    </row>
    <row r="51" spans="1:9" ht="15">
      <c r="A51" s="323"/>
      <c r="B51" s="323"/>
      <c r="C51" s="323"/>
      <c r="D51" s="323"/>
      <c r="E51" s="323"/>
      <c r="F51" s="323"/>
      <c r="G51" s="323"/>
      <c r="H51" s="323"/>
      <c r="I51" s="323"/>
    </row>
    <row r="52" spans="1:9" ht="15">
      <c r="A52" s="323"/>
      <c r="B52" s="323"/>
      <c r="C52" s="323"/>
      <c r="D52" s="323"/>
      <c r="E52" s="323"/>
      <c r="F52" s="323"/>
      <c r="G52" s="323"/>
      <c r="H52" s="323"/>
      <c r="I52" s="323"/>
    </row>
    <row r="53" spans="1:9" ht="15">
      <c r="A53" s="323"/>
      <c r="B53" s="323"/>
      <c r="C53" s="323"/>
      <c r="D53" s="323"/>
      <c r="E53" s="323"/>
      <c r="F53" s="323"/>
      <c r="G53" s="323"/>
      <c r="H53" s="323"/>
      <c r="I53" s="323"/>
    </row>
    <row r="54" spans="1:9" ht="15">
      <c r="A54" s="323"/>
      <c r="B54" s="323"/>
      <c r="C54" s="323"/>
      <c r="D54" s="323"/>
      <c r="E54" s="323"/>
      <c r="F54" s="323"/>
      <c r="G54" s="323"/>
      <c r="H54" s="323"/>
      <c r="I54" s="323"/>
    </row>
    <row r="55" spans="1:9" ht="15">
      <c r="A55" s="323"/>
      <c r="B55" s="323"/>
      <c r="C55" s="323"/>
      <c r="D55" s="323"/>
      <c r="E55" s="323"/>
      <c r="F55" s="323"/>
      <c r="G55" s="323"/>
      <c r="H55" s="323"/>
      <c r="I55" s="323"/>
    </row>
    <row r="56" spans="1:9" ht="15">
      <c r="A56" s="323"/>
      <c r="B56" s="327" t="s">
        <v>1261</v>
      </c>
      <c r="C56" s="326">
        <f>SUM(C49:C55)</f>
        <v>94716</v>
      </c>
      <c r="D56" s="323"/>
      <c r="E56" s="323"/>
      <c r="F56" s="323"/>
      <c r="G56" s="323"/>
      <c r="H56" s="323"/>
      <c r="I56" s="323"/>
    </row>
    <row r="63" spans="1:9" ht="18.75">
      <c r="A63" s="372" t="s">
        <v>1378</v>
      </c>
    </row>
    <row r="64" spans="1:9" ht="15">
      <c r="A64" s="286" t="s">
        <v>311</v>
      </c>
      <c r="B64" s="286" t="s">
        <v>1377</v>
      </c>
      <c r="C64" s="286" t="s">
        <v>1355</v>
      </c>
      <c r="D64" s="286" t="s">
        <v>776</v>
      </c>
      <c r="E64" s="286" t="s">
        <v>1357</v>
      </c>
      <c r="F64" s="286" t="s">
        <v>285</v>
      </c>
      <c r="G64" s="107"/>
      <c r="H64" s="107"/>
      <c r="I64" s="107"/>
    </row>
    <row r="65" spans="1:13" ht="15">
      <c r="A65" s="367" t="s">
        <v>1209</v>
      </c>
      <c r="B65" s="307" t="s">
        <v>1210</v>
      </c>
      <c r="C65" s="361" t="s">
        <v>1211</v>
      </c>
      <c r="D65" s="307" t="s">
        <v>1212</v>
      </c>
      <c r="E65" s="307" t="s">
        <v>1208</v>
      </c>
      <c r="F65" s="307" t="s">
        <v>267</v>
      </c>
      <c r="G65" s="107"/>
      <c r="I65" s="107"/>
    </row>
    <row r="66" spans="1:13">
      <c r="A66" s="63"/>
      <c r="B66" s="142"/>
      <c r="C66" s="142"/>
      <c r="D66" s="142"/>
      <c r="E66" s="163"/>
      <c r="F66" s="312"/>
      <c r="G66" s="107"/>
      <c r="H66" s="107"/>
      <c r="I66" s="107"/>
    </row>
    <row r="67" spans="1:13" ht="15">
      <c r="A67" s="307"/>
      <c r="B67" s="307"/>
      <c r="C67" s="307"/>
      <c r="D67" s="307"/>
      <c r="E67" s="307"/>
      <c r="F67" s="312"/>
      <c r="G67" s="107"/>
      <c r="H67" s="107"/>
      <c r="I67" s="107"/>
    </row>
    <row r="68" spans="1:13">
      <c r="A68" s="107"/>
      <c r="B68" s="107"/>
      <c r="C68" s="107"/>
      <c r="D68" s="107"/>
      <c r="E68" s="107"/>
      <c r="F68" s="107"/>
      <c r="G68" s="107"/>
      <c r="H68" s="107"/>
      <c r="I68" s="107"/>
    </row>
    <row r="69" spans="1:13">
      <c r="A69" s="107"/>
      <c r="B69" s="107"/>
      <c r="C69" s="107"/>
      <c r="D69" s="107"/>
      <c r="E69" s="107"/>
      <c r="F69" s="107"/>
      <c r="G69" s="107"/>
      <c r="H69" s="107"/>
      <c r="I69" s="107"/>
    </row>
    <row r="70" spans="1:13" ht="18.75">
      <c r="A70" s="372" t="s">
        <v>1224</v>
      </c>
      <c r="B70" s="107"/>
      <c r="C70" s="107"/>
      <c r="D70" s="107"/>
      <c r="E70" s="107"/>
      <c r="F70" s="107"/>
      <c r="G70" s="87"/>
      <c r="H70" s="107"/>
      <c r="I70" s="107"/>
    </row>
    <row r="71" spans="1:13" ht="15">
      <c r="A71" s="286" t="s">
        <v>311</v>
      </c>
      <c r="B71" s="286" t="s">
        <v>1377</v>
      </c>
      <c r="C71" s="286" t="s">
        <v>1355</v>
      </c>
      <c r="D71" s="286" t="s">
        <v>776</v>
      </c>
      <c r="E71" s="286" t="s">
        <v>1356</v>
      </c>
      <c r="F71" s="286" t="s">
        <v>1357</v>
      </c>
      <c r="G71" s="286" t="s">
        <v>1376</v>
      </c>
      <c r="H71" s="107"/>
      <c r="I71" s="107"/>
    </row>
    <row r="72" spans="1:13" ht="15">
      <c r="A72" s="367" t="s">
        <v>1213</v>
      </c>
      <c r="B72" s="321" t="s">
        <v>1216</v>
      </c>
      <c r="C72" s="321" t="s">
        <v>1217</v>
      </c>
      <c r="D72" s="371" t="s">
        <v>1214</v>
      </c>
      <c r="E72" s="366" t="s">
        <v>1358</v>
      </c>
      <c r="F72" s="307" t="s">
        <v>1215</v>
      </c>
      <c r="G72" s="373" t="s">
        <v>388</v>
      </c>
      <c r="H72" s="107"/>
      <c r="I72" s="107"/>
      <c r="J72" s="374">
        <f>24000*8</f>
        <v>192000</v>
      </c>
    </row>
    <row r="73" spans="1:13" ht="15">
      <c r="A73" s="367" t="s">
        <v>1223</v>
      </c>
      <c r="B73" s="321" t="s">
        <v>1222</v>
      </c>
      <c r="C73" s="366" t="s">
        <v>1157</v>
      </c>
      <c r="D73" s="371" t="s">
        <v>1221</v>
      </c>
      <c r="E73" s="366" t="s">
        <v>1352</v>
      </c>
      <c r="F73" s="367" t="s">
        <v>1380</v>
      </c>
      <c r="G73" s="368" t="s">
        <v>1379</v>
      </c>
      <c r="H73" s="307" t="s">
        <v>1353</v>
      </c>
      <c r="I73" s="107"/>
      <c r="J73" s="374">
        <f>42974*7</f>
        <v>300818</v>
      </c>
      <c r="K73" t="s">
        <v>1372</v>
      </c>
    </row>
    <row r="74" spans="1:13" ht="15">
      <c r="A74" s="323" t="s">
        <v>1373</v>
      </c>
      <c r="B74" s="323"/>
      <c r="C74" s="369" t="s">
        <v>1375</v>
      </c>
      <c r="D74" s="370" t="s">
        <v>1374</v>
      </c>
      <c r="E74" s="323"/>
      <c r="F74" s="307"/>
      <c r="G74" s="373" t="s">
        <v>388</v>
      </c>
      <c r="H74" s="107"/>
      <c r="I74" s="107"/>
      <c r="J74" s="366"/>
    </row>
    <row r="75" spans="1:13" ht="15">
      <c r="A75" s="324" t="s">
        <v>1228</v>
      </c>
      <c r="B75" s="323" t="s">
        <v>1231</v>
      </c>
      <c r="C75" s="323" t="s">
        <v>1230</v>
      </c>
      <c r="D75" s="348" t="s">
        <v>1229</v>
      </c>
      <c r="E75" s="365" t="s">
        <v>1351</v>
      </c>
      <c r="F75" s="307" t="s">
        <v>1354</v>
      </c>
      <c r="G75" s="142"/>
      <c r="H75" s="107"/>
      <c r="I75" s="107"/>
      <c r="J75" s="366"/>
    </row>
    <row r="76" spans="1:13" ht="15">
      <c r="A76" s="323" t="s">
        <v>1232</v>
      </c>
      <c r="B76" s="323" t="s">
        <v>1237</v>
      </c>
      <c r="C76" s="323" t="s">
        <v>1234</v>
      </c>
      <c r="D76" s="323" t="s">
        <v>1233</v>
      </c>
      <c r="E76" s="323"/>
      <c r="F76" s="307"/>
      <c r="G76" s="142"/>
      <c r="H76" s="107"/>
      <c r="I76" s="107"/>
      <c r="J76" s="366"/>
    </row>
    <row r="77" spans="1:13" ht="15">
      <c r="A77" s="323" t="s">
        <v>1235</v>
      </c>
      <c r="B77" s="323"/>
      <c r="C77" s="323" t="s">
        <v>1236</v>
      </c>
      <c r="D77" s="323" t="s">
        <v>1238</v>
      </c>
      <c r="E77" s="323"/>
      <c r="F77" s="307"/>
      <c r="G77" s="142"/>
      <c r="H77" s="107"/>
      <c r="I77" s="107"/>
      <c r="J77" s="366"/>
    </row>
    <row r="78" spans="1:13" ht="15">
      <c r="A78" s="324" t="s">
        <v>1239</v>
      </c>
      <c r="B78" s="323" t="s">
        <v>1240</v>
      </c>
      <c r="C78" s="323" t="s">
        <v>1241</v>
      </c>
      <c r="D78" s="323" t="s">
        <v>1242</v>
      </c>
      <c r="E78" s="323"/>
      <c r="G78" s="142"/>
      <c r="H78" s="107"/>
      <c r="I78" s="107"/>
      <c r="J78" s="366"/>
    </row>
    <row r="79" spans="1:13" ht="15">
      <c r="A79" s="323" t="s">
        <v>1243</v>
      </c>
      <c r="B79" s="323" t="s">
        <v>1244</v>
      </c>
      <c r="C79" s="323" t="s">
        <v>1245</v>
      </c>
      <c r="D79" s="323" t="s">
        <v>1246</v>
      </c>
      <c r="E79" s="323"/>
      <c r="F79" s="307"/>
      <c r="G79" s="142"/>
      <c r="H79" s="107"/>
      <c r="I79" s="107"/>
      <c r="J79" s="366"/>
      <c r="L79" t="s">
        <v>1370</v>
      </c>
    </row>
    <row r="80" spans="1:13" ht="15">
      <c r="H80" s="107"/>
      <c r="I80" s="107"/>
      <c r="J80" s="366">
        <f>SUM(J72:J74)</f>
        <v>492818</v>
      </c>
      <c r="L80">
        <v>526515</v>
      </c>
      <c r="M80" t="s">
        <v>1371</v>
      </c>
    </row>
    <row r="82" spans="2:2" ht="15">
      <c r="B82" s="307" t="s">
        <v>1248</v>
      </c>
    </row>
    <row r="83" spans="2:2" ht="15">
      <c r="B83" s="325" t="s">
        <v>1249</v>
      </c>
    </row>
    <row r="84" spans="2:2" ht="15">
      <c r="B84" s="325" t="s">
        <v>1247</v>
      </c>
    </row>
  </sheetData>
  <mergeCells count="1">
    <mergeCell ref="G6:I6"/>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0D56-A2F4-4D7C-830D-5CE6A4D44745}">
  <dimension ref="B1:W45"/>
  <sheetViews>
    <sheetView topLeftCell="A6" workbookViewId="0">
      <selection activeCell="A26" sqref="A26"/>
    </sheetView>
  </sheetViews>
  <sheetFormatPr defaultRowHeight="14.25"/>
  <cols>
    <col min="2" max="2" width="14" customWidth="1"/>
    <col min="5" max="5" width="13.125" customWidth="1"/>
    <col min="6" max="6" width="10.375" customWidth="1"/>
    <col min="7" max="7" width="7" customWidth="1"/>
    <col min="8" max="8" width="17" bestFit="1" customWidth="1"/>
    <col min="10" max="10" width="7.625" customWidth="1"/>
    <col min="11" max="11" width="11.75" customWidth="1"/>
    <col min="13" max="13" width="28" bestFit="1" customWidth="1"/>
    <col min="14" max="14" width="18.125" customWidth="1"/>
    <col min="15" max="15" width="15.625" customWidth="1"/>
    <col min="16" max="16" width="18.375" customWidth="1"/>
    <col min="17" max="17" width="13.75" customWidth="1"/>
    <col min="20" max="20" width="16.25" customWidth="1"/>
    <col min="22" max="22" width="11" customWidth="1"/>
  </cols>
  <sheetData>
    <row r="1" spans="2:18" ht="15">
      <c r="B1" s="316" t="s">
        <v>1195</v>
      </c>
    </row>
    <row r="2" spans="2:18" ht="15">
      <c r="B2" s="316" t="s">
        <v>1196</v>
      </c>
      <c r="C2" s="316" t="s">
        <v>1190</v>
      </c>
      <c r="D2" s="316" t="s">
        <v>1197</v>
      </c>
      <c r="E2" s="316" t="s">
        <v>836</v>
      </c>
      <c r="F2" s="316" t="s">
        <v>1194</v>
      </c>
      <c r="H2" s="317">
        <v>45627</v>
      </c>
      <c r="L2" s="380" t="s">
        <v>1410</v>
      </c>
      <c r="M2" s="381" t="s">
        <v>552</v>
      </c>
      <c r="N2" s="382" t="s">
        <v>1409</v>
      </c>
      <c r="O2" s="383" t="s">
        <v>1413</v>
      </c>
      <c r="P2" s="383" t="s">
        <v>1407</v>
      </c>
      <c r="Q2" s="384" t="s">
        <v>308</v>
      </c>
      <c r="R2" s="186"/>
    </row>
    <row r="3" spans="2:18" ht="15">
      <c r="B3" s="315">
        <v>625</v>
      </c>
      <c r="C3" s="314">
        <v>3</v>
      </c>
      <c r="D3" s="315">
        <f>B3*C3*12</f>
        <v>22500</v>
      </c>
      <c r="E3" s="315">
        <f>D3*90</f>
        <v>2025000</v>
      </c>
      <c r="F3" s="313" t="s">
        <v>1191</v>
      </c>
      <c r="H3" s="315" t="s">
        <v>1198</v>
      </c>
      <c r="I3" s="315">
        <v>45000</v>
      </c>
      <c r="L3" s="364" t="s">
        <v>1400</v>
      </c>
      <c r="M3" s="364" t="s">
        <v>1402</v>
      </c>
      <c r="N3" s="364" t="s">
        <v>1405</v>
      </c>
      <c r="O3" s="364" t="s">
        <v>1412</v>
      </c>
      <c r="P3" s="364"/>
      <c r="Q3" s="364"/>
    </row>
    <row r="4" spans="2:18" ht="15">
      <c r="B4" s="315">
        <v>1100</v>
      </c>
      <c r="C4" s="314">
        <v>1</v>
      </c>
      <c r="D4" s="315">
        <f>B4*C4*12</f>
        <v>13200</v>
      </c>
      <c r="E4" s="315">
        <f>D4*90</f>
        <v>1188000</v>
      </c>
      <c r="F4" s="313" t="s">
        <v>1193</v>
      </c>
      <c r="H4" s="315" t="s">
        <v>1199</v>
      </c>
      <c r="I4" s="315">
        <v>5000</v>
      </c>
      <c r="K4" s="87"/>
      <c r="L4" s="364" t="s">
        <v>1400</v>
      </c>
      <c r="M4" s="364" t="s">
        <v>1403</v>
      </c>
      <c r="N4" s="364" t="s">
        <v>1404</v>
      </c>
      <c r="O4" s="364" t="s">
        <v>1411</v>
      </c>
      <c r="P4" s="364"/>
      <c r="Q4" s="364"/>
    </row>
    <row r="5" spans="2:18" ht="15">
      <c r="B5" s="315">
        <v>1100</v>
      </c>
      <c r="C5" s="314">
        <v>10</v>
      </c>
      <c r="D5" s="315">
        <f>B5*C5*12</f>
        <v>132000</v>
      </c>
      <c r="E5" s="315">
        <f>D5*90</f>
        <v>11880000</v>
      </c>
      <c r="F5" s="313" t="s">
        <v>1192</v>
      </c>
      <c r="H5" s="315"/>
      <c r="I5" s="378">
        <f>I3+I4</f>
        <v>50000</v>
      </c>
      <c r="K5" s="87"/>
      <c r="L5" s="364" t="s">
        <v>1401</v>
      </c>
      <c r="M5" s="364" t="s">
        <v>1406</v>
      </c>
      <c r="N5" s="364" t="s">
        <v>1404</v>
      </c>
      <c r="O5" s="364"/>
      <c r="P5" s="364"/>
      <c r="Q5" s="364" t="s">
        <v>1408</v>
      </c>
    </row>
    <row r="6" spans="2:18" ht="15">
      <c r="B6" s="315">
        <v>1100</v>
      </c>
      <c r="C6" s="314" t="s">
        <v>1349</v>
      </c>
      <c r="D6" s="315">
        <f>B6*7</f>
        <v>7700</v>
      </c>
      <c r="E6" s="315">
        <f>D6*90</f>
        <v>693000</v>
      </c>
      <c r="F6" s="313"/>
      <c r="K6" s="379"/>
      <c r="L6" s="364"/>
      <c r="M6" s="364"/>
      <c r="N6" s="364"/>
      <c r="O6" s="364"/>
      <c r="P6" s="364"/>
      <c r="Q6" s="364"/>
    </row>
    <row r="7" spans="2:18" ht="15">
      <c r="B7" s="315">
        <v>1100</v>
      </c>
      <c r="C7" s="314">
        <v>1</v>
      </c>
      <c r="D7" s="315">
        <f t="shared" ref="D7" si="0">B7*C7*12</f>
        <v>13200</v>
      </c>
      <c r="E7" s="315">
        <f>D7*90</f>
        <v>1188000</v>
      </c>
      <c r="F7" s="313"/>
      <c r="H7" s="317">
        <v>45992</v>
      </c>
      <c r="K7" s="87"/>
      <c r="N7" s="121"/>
      <c r="O7" s="121"/>
      <c r="P7" s="121"/>
    </row>
    <row r="8" spans="2:18" ht="15">
      <c r="B8" s="315"/>
      <c r="C8" s="314"/>
      <c r="D8" s="315"/>
      <c r="E8" s="315">
        <f t="shared" ref="E8:E9" si="1">D8*90</f>
        <v>0</v>
      </c>
      <c r="F8" s="63"/>
      <c r="H8" s="315" t="s">
        <v>1198</v>
      </c>
      <c r="I8" s="315">
        <f>3500*12</f>
        <v>42000</v>
      </c>
      <c r="K8" s="87"/>
    </row>
    <row r="9" spans="2:18" ht="15">
      <c r="B9" s="315"/>
      <c r="C9" s="314"/>
      <c r="D9" s="315"/>
      <c r="E9" s="315">
        <f t="shared" si="1"/>
        <v>0</v>
      </c>
      <c r="F9" s="63"/>
      <c r="H9" s="315" t="s">
        <v>1199</v>
      </c>
      <c r="I9" s="315">
        <v>8000</v>
      </c>
      <c r="K9" s="87"/>
      <c r="L9" t="s">
        <v>1400</v>
      </c>
    </row>
    <row r="10" spans="2:18" ht="15">
      <c r="H10" s="315"/>
      <c r="I10" s="315">
        <f>I8+I9</f>
        <v>50000</v>
      </c>
      <c r="K10" s="87"/>
      <c r="N10" s="376" t="s">
        <v>1385</v>
      </c>
    </row>
    <row r="11" spans="2:18" ht="15">
      <c r="B11" s="376" t="s">
        <v>1385</v>
      </c>
      <c r="K11" s="87"/>
      <c r="N11" s="377" t="s">
        <v>1384</v>
      </c>
    </row>
    <row r="12" spans="2:18" ht="15">
      <c r="B12" s="377" t="s">
        <v>1384</v>
      </c>
      <c r="H12" s="317" t="s">
        <v>1350</v>
      </c>
      <c r="I12" s="378">
        <f>I5+I10</f>
        <v>100000</v>
      </c>
      <c r="K12" s="87"/>
      <c r="L12" s="87" t="s">
        <v>1398</v>
      </c>
      <c r="M12" s="87"/>
      <c r="N12" s="121"/>
      <c r="O12" s="121"/>
      <c r="P12" s="121"/>
    </row>
    <row r="13" spans="2:18" ht="15">
      <c r="K13" s="87">
        <v>1100</v>
      </c>
      <c r="L13" s="87">
        <v>700</v>
      </c>
      <c r="M13" s="87"/>
      <c r="N13" s="376" t="s">
        <v>1495</v>
      </c>
      <c r="O13" s="316" t="s">
        <v>830</v>
      </c>
      <c r="P13" s="316" t="s">
        <v>45</v>
      </c>
      <c r="Q13" s="316" t="s">
        <v>308</v>
      </c>
    </row>
    <row r="14" spans="2:18" ht="15">
      <c r="B14" s="376" t="s">
        <v>1387</v>
      </c>
      <c r="C14" s="63"/>
      <c r="D14" s="63"/>
      <c r="E14" s="63"/>
      <c r="F14" s="63"/>
      <c r="K14" s="87">
        <v>1100</v>
      </c>
      <c r="L14" s="87"/>
      <c r="M14" s="87"/>
      <c r="N14" s="364" t="s">
        <v>1382</v>
      </c>
      <c r="O14" s="315">
        <v>225000</v>
      </c>
      <c r="P14" s="364"/>
      <c r="Q14" s="63"/>
    </row>
    <row r="15" spans="2:18" ht="15">
      <c r="B15" s="364" t="s">
        <v>1382</v>
      </c>
      <c r="C15" s="315">
        <v>180000</v>
      </c>
      <c r="D15" s="378">
        <v>200000</v>
      </c>
      <c r="E15" s="315">
        <v>230000</v>
      </c>
      <c r="F15" s="315">
        <v>250000</v>
      </c>
      <c r="K15" s="87"/>
      <c r="L15" s="87"/>
      <c r="M15" s="87"/>
      <c r="N15" s="364" t="s">
        <v>1496</v>
      </c>
      <c r="O15" s="315">
        <f>O14*0.07</f>
        <v>15750.000000000002</v>
      </c>
      <c r="P15" s="433">
        <f>O15</f>
        <v>15750.000000000002</v>
      </c>
      <c r="Q15" s="63"/>
    </row>
    <row r="16" spans="2:18" ht="15">
      <c r="B16" s="364" t="s">
        <v>1383</v>
      </c>
      <c r="C16" s="315">
        <f t="shared" ref="C16" si="2">C15*1.14</f>
        <v>205199.99999999997</v>
      </c>
      <c r="D16" s="378">
        <f>D15*1.14</f>
        <v>227999.99999999997</v>
      </c>
      <c r="E16" s="315">
        <f>E15*1.132</f>
        <v>260359.99999999997</v>
      </c>
      <c r="F16" s="315">
        <f>F15*1.12</f>
        <v>280000</v>
      </c>
      <c r="K16" s="87"/>
      <c r="L16" s="87"/>
      <c r="M16" s="87"/>
      <c r="N16" s="364" t="s">
        <v>1497</v>
      </c>
      <c r="O16" s="315">
        <v>12167</v>
      </c>
      <c r="P16" s="364"/>
      <c r="Q16" s="63"/>
    </row>
    <row r="17" spans="2:22" ht="15">
      <c r="B17" s="364" t="s">
        <v>1200</v>
      </c>
      <c r="C17" s="315">
        <v>60000</v>
      </c>
      <c r="D17" s="378">
        <v>60000</v>
      </c>
      <c r="E17" s="315">
        <v>60000</v>
      </c>
      <c r="F17" s="315">
        <v>60000</v>
      </c>
      <c r="K17" s="87"/>
      <c r="L17" s="87"/>
      <c r="M17" s="87"/>
      <c r="N17" s="364" t="s">
        <v>1498</v>
      </c>
      <c r="O17" s="432">
        <f>O14+O15+O16</f>
        <v>252917</v>
      </c>
      <c r="P17" s="364"/>
      <c r="Q17" s="63"/>
    </row>
    <row r="18" spans="2:22" ht="15">
      <c r="B18" s="364" t="s">
        <v>45</v>
      </c>
      <c r="C18" s="315">
        <f>C16-C17</f>
        <v>145199.99999999997</v>
      </c>
      <c r="D18" s="378">
        <f>D16-D17</f>
        <v>167999.99999999997</v>
      </c>
      <c r="E18" s="315">
        <f>E16-E17</f>
        <v>200359.99999999997</v>
      </c>
      <c r="F18" s="315">
        <f>F16-F17</f>
        <v>220000</v>
      </c>
      <c r="K18" s="87" t="s">
        <v>1399</v>
      </c>
      <c r="L18" s="87" t="s">
        <v>1398</v>
      </c>
      <c r="M18" s="87"/>
      <c r="N18" s="364"/>
      <c r="O18" s="315"/>
      <c r="P18" s="364"/>
      <c r="Q18" s="63"/>
      <c r="T18">
        <v>878</v>
      </c>
      <c r="U18">
        <f>T18*90</f>
        <v>79020</v>
      </c>
    </row>
    <row r="19" spans="2:22" ht="15">
      <c r="B19" s="364" t="s">
        <v>1386</v>
      </c>
      <c r="C19" s="315">
        <v>961</v>
      </c>
      <c r="D19" s="378">
        <v>1100</v>
      </c>
      <c r="E19" s="315">
        <v>1330</v>
      </c>
      <c r="F19" s="315">
        <v>1460</v>
      </c>
      <c r="K19" s="87"/>
      <c r="L19" s="87">
        <v>700</v>
      </c>
      <c r="M19" s="87"/>
      <c r="N19" s="364" t="s">
        <v>1499</v>
      </c>
      <c r="O19" s="315">
        <v>22500</v>
      </c>
      <c r="P19" s="364" t="s">
        <v>1501</v>
      </c>
      <c r="Q19" s="364"/>
      <c r="T19">
        <v>767</v>
      </c>
      <c r="U19">
        <f>T19*90</f>
        <v>69030</v>
      </c>
    </row>
    <row r="20" spans="2:22" ht="15">
      <c r="B20" s="364" t="s">
        <v>1389</v>
      </c>
      <c r="C20" s="315">
        <v>28000</v>
      </c>
      <c r="D20" s="378">
        <v>32000</v>
      </c>
      <c r="E20" s="315">
        <v>38000</v>
      </c>
      <c r="F20" s="315">
        <v>42000</v>
      </c>
      <c r="K20" s="87"/>
      <c r="L20" s="87"/>
      <c r="M20" s="87"/>
      <c r="N20" s="364" t="s">
        <v>1500</v>
      </c>
      <c r="O20" s="315">
        <v>8167</v>
      </c>
      <c r="P20" s="433">
        <v>4000</v>
      </c>
      <c r="Q20" s="364"/>
      <c r="T20">
        <f>T18-T19</f>
        <v>111</v>
      </c>
    </row>
    <row r="21" spans="2:22" ht="15">
      <c r="H21" s="318"/>
      <c r="K21" s="87"/>
      <c r="L21" s="87"/>
      <c r="M21" s="87"/>
      <c r="N21" s="364"/>
      <c r="O21" s="315"/>
      <c r="P21" s="364"/>
      <c r="Q21" s="364"/>
    </row>
    <row r="22" spans="2:22" ht="15">
      <c r="H22" s="318"/>
      <c r="K22" s="87"/>
      <c r="L22" s="87"/>
      <c r="M22" s="87"/>
      <c r="N22" s="436" t="s">
        <v>1503</v>
      </c>
      <c r="O22" s="63"/>
      <c r="P22" s="63"/>
      <c r="Q22" s="364"/>
    </row>
    <row r="23" spans="2:22" ht="15">
      <c r="B23" s="376" t="s">
        <v>1388</v>
      </c>
      <c r="C23" s="63"/>
      <c r="D23" s="63"/>
      <c r="E23" s="63"/>
      <c r="F23" s="63"/>
      <c r="H23" s="376" t="s">
        <v>1388</v>
      </c>
      <c r="K23" s="87" t="s">
        <v>647</v>
      </c>
      <c r="L23" s="87">
        <v>1100</v>
      </c>
      <c r="M23" s="87" t="s">
        <v>68</v>
      </c>
      <c r="N23" s="364" t="s">
        <v>1502</v>
      </c>
      <c r="O23" s="315">
        <f>0.9*O14</f>
        <v>202500</v>
      </c>
      <c r="P23" s="628" t="s">
        <v>1523</v>
      </c>
      <c r="Q23" s="629"/>
      <c r="R23" s="364" t="s">
        <v>1528</v>
      </c>
      <c r="T23" s="364" t="s">
        <v>1516</v>
      </c>
      <c r="U23" s="364">
        <v>100</v>
      </c>
      <c r="V23" s="364" t="s">
        <v>1517</v>
      </c>
    </row>
    <row r="24" spans="2:22" ht="15">
      <c r="B24" s="364" t="s">
        <v>1382</v>
      </c>
      <c r="C24" s="315">
        <v>180000</v>
      </c>
      <c r="D24" s="315">
        <v>200000</v>
      </c>
      <c r="E24" s="378">
        <v>230000</v>
      </c>
      <c r="F24" s="315">
        <v>250000</v>
      </c>
      <c r="H24" s="364" t="s">
        <v>1382</v>
      </c>
      <c r="I24">
        <v>200000</v>
      </c>
      <c r="K24" s="87"/>
      <c r="L24" s="87">
        <v>700</v>
      </c>
      <c r="M24" s="87" t="s">
        <v>1398</v>
      </c>
      <c r="N24" s="364" t="s">
        <v>43</v>
      </c>
      <c r="O24" s="315">
        <v>800</v>
      </c>
      <c r="P24" s="315">
        <f>O24-P25</f>
        <v>562.38055555555559</v>
      </c>
      <c r="Q24" s="364" t="s">
        <v>1524</v>
      </c>
      <c r="R24" s="457">
        <f>P24/O24*100</f>
        <v>70.297569444444449</v>
      </c>
      <c r="T24" s="364" t="s">
        <v>1525</v>
      </c>
      <c r="U24" s="364">
        <v>50</v>
      </c>
      <c r="V24" s="364"/>
    </row>
    <row r="25" spans="2:22" ht="15">
      <c r="B25" s="364" t="s">
        <v>1383</v>
      </c>
      <c r="C25" s="315">
        <f t="shared" ref="C25" si="3">C24*1.14</f>
        <v>205199.99999999997</v>
      </c>
      <c r="D25" s="315">
        <f>D24*1.14</f>
        <v>227999.99999999997</v>
      </c>
      <c r="E25" s="378">
        <f>E24*1.132</f>
        <v>260359.99999999997</v>
      </c>
      <c r="F25" s="315">
        <f>F24*1.12</f>
        <v>280000</v>
      </c>
      <c r="H25" s="364" t="s">
        <v>1383</v>
      </c>
      <c r="L25" s="87">
        <v>400</v>
      </c>
      <c r="M25" t="s">
        <v>1055</v>
      </c>
      <c r="N25" s="364" t="s">
        <v>177</v>
      </c>
      <c r="O25" s="315">
        <v>85543</v>
      </c>
      <c r="P25" s="315">
        <f>O25/12/30</f>
        <v>237.61944444444444</v>
      </c>
      <c r="Q25" s="364" t="s">
        <v>1504</v>
      </c>
      <c r="R25" s="457">
        <f>P25/O24*100</f>
        <v>29.702430555555555</v>
      </c>
      <c r="T25" s="364" t="s">
        <v>1519</v>
      </c>
      <c r="U25" s="364">
        <f>300/12</f>
        <v>25</v>
      </c>
      <c r="V25" s="364"/>
    </row>
    <row r="26" spans="2:22" ht="15">
      <c r="B26" s="364" t="s">
        <v>1200</v>
      </c>
      <c r="C26" s="315">
        <v>100000</v>
      </c>
      <c r="D26" s="315">
        <v>100000</v>
      </c>
      <c r="E26" s="378">
        <v>100000</v>
      </c>
      <c r="F26" s="315">
        <v>100000</v>
      </c>
      <c r="H26" s="364" t="s">
        <v>1200</v>
      </c>
      <c r="N26" s="63"/>
      <c r="O26" s="315"/>
      <c r="P26" s="315">
        <f>P24+P25</f>
        <v>800</v>
      </c>
      <c r="Q26" s="364"/>
      <c r="R26" s="364"/>
      <c r="T26" s="364" t="s">
        <v>1520</v>
      </c>
      <c r="U26" s="456">
        <f>O24+U24+U25+U23</f>
        <v>975</v>
      </c>
      <c r="V26" s="364"/>
    </row>
    <row r="27" spans="2:22" ht="15">
      <c r="B27" s="364" t="s">
        <v>45</v>
      </c>
      <c r="C27" s="315">
        <f>C16-C26</f>
        <v>105199.99999999997</v>
      </c>
      <c r="D27" s="315">
        <f>D16-D26</f>
        <v>127999.99999999997</v>
      </c>
      <c r="E27" s="378">
        <f>E16-E26</f>
        <v>160359.99999999997</v>
      </c>
      <c r="F27" s="315">
        <f>F16-F26</f>
        <v>180000</v>
      </c>
      <c r="H27" s="364" t="s">
        <v>45</v>
      </c>
      <c r="T27" s="364" t="s">
        <v>1526</v>
      </c>
      <c r="U27" s="364">
        <f>U26*90</f>
        <v>87750</v>
      </c>
      <c r="V27" s="364"/>
    </row>
    <row r="28" spans="2:22" ht="15">
      <c r="B28" s="364" t="s">
        <v>1386</v>
      </c>
      <c r="C28" s="315">
        <v>700</v>
      </c>
      <c r="D28" s="315">
        <v>850</v>
      </c>
      <c r="E28" s="378">
        <v>1060</v>
      </c>
      <c r="F28" s="315">
        <v>1200</v>
      </c>
      <c r="H28" s="364" t="s">
        <v>1386</v>
      </c>
    </row>
    <row r="29" spans="2:22" ht="15">
      <c r="B29" s="364" t="s">
        <v>1389</v>
      </c>
      <c r="C29" s="315">
        <v>20000</v>
      </c>
      <c r="D29" s="315">
        <v>24500</v>
      </c>
      <c r="E29" s="378">
        <v>31000</v>
      </c>
      <c r="F29" s="315">
        <v>34500</v>
      </c>
      <c r="H29" s="364" t="s">
        <v>1389</v>
      </c>
      <c r="N29" s="436" t="s">
        <v>1521</v>
      </c>
      <c r="O29" s="63"/>
      <c r="P29" s="63"/>
      <c r="Q29" s="364"/>
    </row>
    <row r="30" spans="2:22" ht="15">
      <c r="N30" s="364" t="s">
        <v>1502</v>
      </c>
      <c r="O30" s="315">
        <f>0.9*O14</f>
        <v>202500</v>
      </c>
      <c r="P30" s="628" t="s">
        <v>1522</v>
      </c>
      <c r="Q30" s="629"/>
      <c r="R30" s="364" t="s">
        <v>1528</v>
      </c>
      <c r="T30" s="364" t="s">
        <v>1516</v>
      </c>
      <c r="U30" s="364">
        <v>100</v>
      </c>
      <c r="V30" s="364" t="s">
        <v>1517</v>
      </c>
    </row>
    <row r="31" spans="2:22" ht="15">
      <c r="B31" s="364" t="s">
        <v>68</v>
      </c>
      <c r="C31" s="364">
        <f>1100*12</f>
        <v>13200</v>
      </c>
      <c r="N31" s="364" t="s">
        <v>43</v>
      </c>
      <c r="O31" s="315">
        <v>878</v>
      </c>
      <c r="P31" s="315">
        <f>O31-P32</f>
        <v>708.7</v>
      </c>
      <c r="Q31" s="364" t="s">
        <v>1524</v>
      </c>
      <c r="R31" s="457">
        <f>P31/O31*100</f>
        <v>80.717539863325754</v>
      </c>
      <c r="T31" s="364" t="s">
        <v>1525</v>
      </c>
      <c r="U31" s="364">
        <v>50</v>
      </c>
      <c r="V31" s="364"/>
    </row>
    <row r="32" spans="2:22" ht="15">
      <c r="N32" s="364" t="s">
        <v>177</v>
      </c>
      <c r="O32" s="315">
        <v>60948</v>
      </c>
      <c r="P32" s="315">
        <f>O32/12/30</f>
        <v>169.3</v>
      </c>
      <c r="Q32" s="364" t="s">
        <v>1504</v>
      </c>
      <c r="R32" s="457">
        <f>P32/O31*100</f>
        <v>19.282460136674263</v>
      </c>
      <c r="T32" s="364" t="s">
        <v>1519</v>
      </c>
      <c r="U32" s="364">
        <f>300/12</f>
        <v>25</v>
      </c>
      <c r="V32" s="364"/>
    </row>
    <row r="33" spans="2:23" ht="15">
      <c r="B33" s="364" t="s">
        <v>1390</v>
      </c>
      <c r="C33" s="364"/>
      <c r="D33" s="364" t="s">
        <v>1392</v>
      </c>
      <c r="E33" s="364"/>
      <c r="N33" s="364" t="s">
        <v>1527</v>
      </c>
      <c r="O33" s="315"/>
      <c r="P33" s="315">
        <f>P31+P32</f>
        <v>878</v>
      </c>
      <c r="Q33" s="364"/>
      <c r="R33" s="364"/>
      <c r="T33" s="364" t="s">
        <v>1520</v>
      </c>
      <c r="U33" s="456">
        <f>O31+U30+U31+U32</f>
        <v>1053</v>
      </c>
      <c r="V33" s="364"/>
      <c r="W33" s="435">
        <f>U33-U26</f>
        <v>78</v>
      </c>
    </row>
    <row r="34" spans="2:23" ht="15">
      <c r="B34" s="364" t="s">
        <v>1391</v>
      </c>
      <c r="C34" s="364"/>
      <c r="D34" s="364"/>
      <c r="E34" s="364" t="s">
        <v>1393</v>
      </c>
      <c r="T34" s="364" t="s">
        <v>1526</v>
      </c>
      <c r="U34" s="364">
        <f>U33*90</f>
        <v>94770</v>
      </c>
      <c r="V34" s="364"/>
    </row>
    <row r="35" spans="2:23">
      <c r="K35">
        <f>300/12</f>
        <v>25</v>
      </c>
      <c r="O35" s="435"/>
    </row>
    <row r="36" spans="2:23" ht="15">
      <c r="N36" s="437" t="s">
        <v>1505</v>
      </c>
      <c r="O36" s="315">
        <v>5000</v>
      </c>
      <c r="P36" s="364" t="s">
        <v>1510</v>
      </c>
      <c r="Q36">
        <f>3466+1500</f>
        <v>4966</v>
      </c>
      <c r="U36" s="435"/>
    </row>
    <row r="37" spans="2:23" ht="15">
      <c r="B37" s="63" t="s">
        <v>1394</v>
      </c>
      <c r="C37" s="63"/>
      <c r="D37" s="63">
        <v>0</v>
      </c>
      <c r="N37" s="364" t="s">
        <v>1506</v>
      </c>
      <c r="O37" s="315">
        <f>O36+3500</f>
        <v>8500</v>
      </c>
      <c r="P37" s="364" t="s">
        <v>1510</v>
      </c>
    </row>
    <row r="38" spans="2:23" ht="15">
      <c r="B38" s="364" t="s">
        <v>1395</v>
      </c>
      <c r="C38" s="315"/>
      <c r="D38" s="364" t="s">
        <v>1396</v>
      </c>
      <c r="N38" s="364" t="s">
        <v>1507</v>
      </c>
      <c r="O38" s="315">
        <f>P15+P20</f>
        <v>19750</v>
      </c>
      <c r="P38" s="364"/>
    </row>
    <row r="39" spans="2:23" ht="15">
      <c r="B39" s="318"/>
      <c r="C39" s="318"/>
      <c r="D39" s="318" t="s">
        <v>1397</v>
      </c>
      <c r="N39" s="364" t="s">
        <v>45</v>
      </c>
      <c r="O39" s="438">
        <f>O38-O37</f>
        <v>11250</v>
      </c>
      <c r="P39" s="383" t="s">
        <v>1509</v>
      </c>
      <c r="Q39" s="439" t="s">
        <v>552</v>
      </c>
    </row>
    <row r="40" spans="2:23" ht="15">
      <c r="B40" s="318"/>
      <c r="C40" s="318"/>
      <c r="D40" s="318"/>
      <c r="N40" s="315"/>
      <c r="O40" s="315"/>
      <c r="P40" s="364"/>
      <c r="Q40" s="431" t="s">
        <v>1513</v>
      </c>
    </row>
    <row r="41" spans="2:23" ht="15">
      <c r="B41" s="318"/>
      <c r="C41" s="318"/>
      <c r="D41" s="318"/>
      <c r="N41" s="434" t="s">
        <v>1508</v>
      </c>
      <c r="O41" s="315">
        <v>5000</v>
      </c>
      <c r="P41" s="364"/>
      <c r="Q41" s="431" t="s">
        <v>1514</v>
      </c>
    </row>
    <row r="42" spans="2:23" ht="15">
      <c r="B42" s="318"/>
      <c r="C42" s="318"/>
      <c r="D42" s="318"/>
      <c r="N42" s="364" t="s">
        <v>1507</v>
      </c>
      <c r="O42" s="315">
        <f>O39+O41</f>
        <v>16250</v>
      </c>
      <c r="P42" s="364"/>
      <c r="Q42" s="431" t="s">
        <v>1511</v>
      </c>
    </row>
    <row r="43" spans="2:23" ht="15">
      <c r="B43" s="318"/>
      <c r="C43" s="318"/>
      <c r="D43" s="318"/>
      <c r="Q43" s="431" t="s">
        <v>1512</v>
      </c>
    </row>
    <row r="44" spans="2:23" ht="15">
      <c r="N44" s="377"/>
      <c r="O44">
        <v>16000</v>
      </c>
      <c r="Q44" s="440" t="s">
        <v>967</v>
      </c>
    </row>
    <row r="45" spans="2:23" ht="15">
      <c r="Q45" s="440" t="s">
        <v>1515</v>
      </c>
    </row>
  </sheetData>
  <mergeCells count="2">
    <mergeCell ref="P23:Q23"/>
    <mergeCell ref="P30:Q3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8"/>
  <sheetViews>
    <sheetView topLeftCell="A21" zoomScaleNormal="100" workbookViewId="0">
      <selection activeCell="I33" sqref="I33"/>
    </sheetView>
  </sheetViews>
  <sheetFormatPr defaultColWidth="8.875" defaultRowHeight="14.25"/>
  <cols>
    <col min="1" max="1" width="15.875" customWidth="1"/>
    <col min="2" max="2" width="13.625" customWidth="1"/>
    <col min="3" max="3" width="17" customWidth="1"/>
    <col min="4" max="4" width="27.625" customWidth="1"/>
    <col min="5" max="5" width="13" customWidth="1"/>
    <col min="6" max="6" width="18.125" customWidth="1"/>
    <col min="7" max="7" width="13.375" customWidth="1"/>
    <col min="8" max="8" width="7.625" customWidth="1"/>
    <col min="9" max="9" width="6" customWidth="1"/>
    <col min="10" max="10" width="11.5" customWidth="1"/>
    <col min="11" max="11" width="14.375" style="73" bestFit="1" customWidth="1"/>
    <col min="12" max="12" width="14.375" bestFit="1" customWidth="1"/>
    <col min="13" max="13" width="7.875" bestFit="1" customWidth="1"/>
  </cols>
  <sheetData>
    <row r="1" spans="1:15">
      <c r="A1" s="12" t="s">
        <v>64</v>
      </c>
      <c r="B1" s="144" t="s">
        <v>63</v>
      </c>
      <c r="C1" s="13"/>
      <c r="D1" s="14"/>
      <c r="E1" s="15"/>
      <c r="F1" s="2"/>
      <c r="G1" s="2"/>
      <c r="H1" s="15"/>
      <c r="I1" s="20" t="s">
        <v>262</v>
      </c>
      <c r="J1" s="20"/>
      <c r="K1" s="20"/>
      <c r="L1" s="20"/>
      <c r="M1" s="2"/>
      <c r="N1" s="2"/>
      <c r="O1" s="2"/>
    </row>
    <row r="2" spans="1:15">
      <c r="A2" s="16" t="s">
        <v>65</v>
      </c>
      <c r="B2" s="17"/>
      <c r="C2" s="17"/>
      <c r="D2" s="17"/>
      <c r="E2" s="15"/>
      <c r="F2" s="19" t="s">
        <v>66</v>
      </c>
      <c r="G2" s="19" t="s">
        <v>67</v>
      </c>
      <c r="H2" s="15"/>
      <c r="I2" s="20" t="s">
        <v>19</v>
      </c>
      <c r="J2" s="20" t="s">
        <v>68</v>
      </c>
      <c r="K2" s="20" t="s">
        <v>263</v>
      </c>
      <c r="L2" s="20" t="s">
        <v>300</v>
      </c>
      <c r="M2" s="2"/>
      <c r="N2" s="2"/>
      <c r="O2" s="2"/>
    </row>
    <row r="3" spans="1:15">
      <c r="A3" s="16" t="s">
        <v>342</v>
      </c>
      <c r="B3" s="92">
        <v>57168</v>
      </c>
      <c r="C3" s="21" t="s">
        <v>69</v>
      </c>
      <c r="D3" s="22" t="s">
        <v>70</v>
      </c>
      <c r="E3" s="15"/>
      <c r="F3" s="23" t="s">
        <v>71</v>
      </c>
      <c r="G3" s="23">
        <v>2224500</v>
      </c>
      <c r="H3" s="15"/>
      <c r="I3" s="24" t="s">
        <v>72</v>
      </c>
      <c r="J3" s="24">
        <v>25000</v>
      </c>
      <c r="K3" s="24" t="s">
        <v>264</v>
      </c>
      <c r="L3" s="24" t="s">
        <v>301</v>
      </c>
      <c r="M3" s="2"/>
      <c r="N3" s="2"/>
      <c r="O3" s="2"/>
    </row>
    <row r="4" spans="1:15">
      <c r="A4" s="16" t="s">
        <v>73</v>
      </c>
      <c r="B4" s="25">
        <f>B3*12</f>
        <v>686016</v>
      </c>
      <c r="C4" s="21">
        <f>B4*0.4</f>
        <v>274406.40000000002</v>
      </c>
      <c r="D4" s="22">
        <f>B4*0.1</f>
        <v>68601.600000000006</v>
      </c>
      <c r="E4" s="15"/>
      <c r="F4" s="23" t="s">
        <v>74</v>
      </c>
      <c r="G4" s="23">
        <f>B14</f>
        <v>267398.40000000002</v>
      </c>
      <c r="H4" s="15"/>
      <c r="I4" s="24" t="s">
        <v>75</v>
      </c>
      <c r="J4" s="24">
        <v>40000</v>
      </c>
      <c r="K4" s="24" t="s">
        <v>264</v>
      </c>
      <c r="L4" s="24" t="s">
        <v>301</v>
      </c>
      <c r="M4" s="2"/>
      <c r="N4" s="2"/>
      <c r="O4" s="2"/>
    </row>
    <row r="5" spans="1:15">
      <c r="A5" s="16" t="s">
        <v>76</v>
      </c>
      <c r="B5" s="25">
        <f>C4</f>
        <v>274406.40000000002</v>
      </c>
      <c r="C5" s="21"/>
      <c r="D5" s="22"/>
      <c r="E5" s="15"/>
      <c r="F5" s="23" t="s">
        <v>77</v>
      </c>
      <c r="G5" s="23">
        <f>B58</f>
        <v>177396</v>
      </c>
      <c r="H5" s="15"/>
      <c r="I5" s="24" t="s">
        <v>78</v>
      </c>
      <c r="J5" s="24">
        <v>40000</v>
      </c>
      <c r="K5" s="24" t="s">
        <v>303</v>
      </c>
      <c r="L5" s="24" t="s">
        <v>301</v>
      </c>
      <c r="M5" s="18" t="s">
        <v>304</v>
      </c>
      <c r="N5" s="2"/>
      <c r="O5" s="2"/>
    </row>
    <row r="6" spans="1:15">
      <c r="A6" s="16" t="s">
        <v>68</v>
      </c>
      <c r="B6" s="25">
        <f>B7*12</f>
        <v>336000</v>
      </c>
      <c r="C6" s="21" t="s">
        <v>79</v>
      </c>
      <c r="D6" s="22">
        <f>B6-D4</f>
        <v>267398.40000000002</v>
      </c>
      <c r="E6" s="15"/>
      <c r="F6" s="23" t="s">
        <v>80</v>
      </c>
      <c r="G6" s="23">
        <f>B36</f>
        <v>183600</v>
      </c>
      <c r="I6" s="24" t="s">
        <v>81</v>
      </c>
      <c r="J6" s="24">
        <v>28000</v>
      </c>
      <c r="K6" s="24" t="s">
        <v>265</v>
      </c>
      <c r="L6" s="24" t="s">
        <v>301</v>
      </c>
      <c r="M6" s="2"/>
      <c r="N6" s="2"/>
      <c r="O6" s="2"/>
    </row>
    <row r="7" spans="1:15">
      <c r="A7" s="16" t="s">
        <v>82</v>
      </c>
      <c r="B7" s="92">
        <v>28000</v>
      </c>
      <c r="C7" s="26"/>
      <c r="D7" s="27"/>
      <c r="E7" s="15"/>
      <c r="F7" s="23" t="s">
        <v>83</v>
      </c>
      <c r="G7" s="23">
        <f>G3-G4-G5-G6</f>
        <v>1596105.6</v>
      </c>
      <c r="I7" s="24" t="s">
        <v>438</v>
      </c>
      <c r="J7" s="24">
        <v>28000</v>
      </c>
      <c r="K7" s="24" t="s">
        <v>265</v>
      </c>
      <c r="L7" s="24" t="s">
        <v>301</v>
      </c>
      <c r="M7" s="2"/>
      <c r="N7" s="2"/>
      <c r="O7" s="2"/>
    </row>
    <row r="8" spans="1:15">
      <c r="A8" s="16"/>
      <c r="B8" s="25"/>
      <c r="C8" s="17"/>
      <c r="D8" s="18"/>
      <c r="E8" s="15"/>
      <c r="F8" s="2"/>
      <c r="G8" s="2"/>
      <c r="I8" s="2"/>
      <c r="J8" s="2"/>
      <c r="K8" s="28"/>
      <c r="L8" s="2"/>
      <c r="M8" s="2"/>
      <c r="N8" s="2"/>
      <c r="O8" s="2"/>
    </row>
    <row r="9" spans="1:15" ht="15" thickBot="1">
      <c r="A9" s="16" t="s">
        <v>84</v>
      </c>
      <c r="B9" s="25"/>
      <c r="C9" s="17"/>
      <c r="D9" s="18"/>
      <c r="E9" s="15"/>
      <c r="F9" s="15"/>
      <c r="G9" s="28"/>
      <c r="H9" s="2"/>
      <c r="I9" s="2"/>
      <c r="J9" s="2"/>
      <c r="M9" s="76" t="s">
        <v>247</v>
      </c>
      <c r="N9" s="25"/>
      <c r="O9" s="25"/>
    </row>
    <row r="10" spans="1:15">
      <c r="A10" s="16" t="s">
        <v>85</v>
      </c>
      <c r="B10" s="25">
        <f>C4</f>
        <v>274406.40000000002</v>
      </c>
      <c r="C10" s="17"/>
      <c r="D10" s="18"/>
      <c r="E10" s="15"/>
      <c r="F10" s="147" t="s">
        <v>86</v>
      </c>
      <c r="G10" s="157" t="s">
        <v>529</v>
      </c>
      <c r="H10" s="149"/>
      <c r="I10" s="2"/>
      <c r="J10" s="147" t="s">
        <v>86</v>
      </c>
      <c r="K10" s="148" t="s">
        <v>531</v>
      </c>
      <c r="L10" s="149"/>
      <c r="M10" s="76" t="s">
        <v>252</v>
      </c>
      <c r="N10" s="25"/>
      <c r="O10" s="25"/>
    </row>
    <row r="11" spans="1:15">
      <c r="A11" s="16" t="s">
        <v>76</v>
      </c>
      <c r="B11" s="25">
        <f>B5</f>
        <v>274406.40000000002</v>
      </c>
      <c r="C11" s="17"/>
      <c r="D11" s="18"/>
      <c r="E11" s="15"/>
      <c r="F11" s="150" t="s">
        <v>87</v>
      </c>
      <c r="G11" s="30">
        <v>0</v>
      </c>
      <c r="H11" s="158"/>
      <c r="I11" s="2"/>
      <c r="J11" s="150"/>
      <c r="K11" s="30"/>
      <c r="L11" s="151"/>
      <c r="M11" s="17" t="s">
        <v>253</v>
      </c>
      <c r="N11" s="25" t="s">
        <v>254</v>
      </c>
      <c r="O11" s="25"/>
    </row>
    <row r="12" spans="1:15">
      <c r="A12" s="16" t="s">
        <v>88</v>
      </c>
      <c r="B12" s="34">
        <f>D6</f>
        <v>267398.40000000002</v>
      </c>
      <c r="C12" s="21" t="s">
        <v>360</v>
      </c>
      <c r="D12" s="18"/>
      <c r="E12" s="15"/>
      <c r="F12" s="150" t="s">
        <v>89</v>
      </c>
      <c r="G12" s="30">
        <v>5</v>
      </c>
      <c r="H12" s="151">
        <v>25000</v>
      </c>
      <c r="I12" s="2"/>
      <c r="J12" s="150"/>
      <c r="K12" s="30"/>
      <c r="L12" s="151"/>
      <c r="M12" s="17" t="s">
        <v>255</v>
      </c>
      <c r="N12" s="74" t="s">
        <v>256</v>
      </c>
      <c r="O12" s="25"/>
    </row>
    <row r="13" spans="1:15">
      <c r="A13" s="16"/>
      <c r="B13" s="25"/>
      <c r="C13" s="17"/>
      <c r="D13" s="18"/>
      <c r="E13" s="15"/>
      <c r="F13" s="150" t="s">
        <v>90</v>
      </c>
      <c r="G13" s="30">
        <v>20</v>
      </c>
      <c r="H13" s="151"/>
      <c r="I13" s="2"/>
      <c r="J13" s="152" t="s">
        <v>94</v>
      </c>
      <c r="K13" s="145">
        <v>2100000</v>
      </c>
      <c r="L13" s="151" t="s">
        <v>534</v>
      </c>
      <c r="M13" s="17"/>
      <c r="N13" s="25"/>
      <c r="O13" s="25"/>
    </row>
    <row r="14" spans="1:15">
      <c r="A14" s="16" t="s">
        <v>91</v>
      </c>
      <c r="B14" s="92">
        <f>B12</f>
        <v>267398.40000000002</v>
      </c>
      <c r="C14" s="34" t="s">
        <v>92</v>
      </c>
      <c r="D14" s="32">
        <f>B14*0.3</f>
        <v>80219.520000000004</v>
      </c>
      <c r="E14" s="15"/>
      <c r="F14" s="150" t="s">
        <v>93</v>
      </c>
      <c r="G14" s="30">
        <v>30</v>
      </c>
      <c r="H14" s="158"/>
      <c r="I14" s="2"/>
      <c r="J14" s="150" t="s">
        <v>96</v>
      </c>
      <c r="K14" s="145">
        <v>2100000</v>
      </c>
      <c r="L14" s="151"/>
      <c r="M14" s="76" t="s">
        <v>248</v>
      </c>
      <c r="N14" s="34">
        <v>28000</v>
      </c>
      <c r="O14" s="25"/>
    </row>
    <row r="15" spans="1:15">
      <c r="A15" s="16"/>
      <c r="B15" s="17"/>
      <c r="C15" s="17"/>
      <c r="D15" s="18"/>
      <c r="E15" s="15"/>
      <c r="F15" s="159"/>
      <c r="G15" s="160"/>
      <c r="H15" s="161"/>
      <c r="I15" s="2"/>
      <c r="J15" s="150" t="s">
        <v>99</v>
      </c>
      <c r="K15" s="145">
        <v>0</v>
      </c>
      <c r="L15" s="153"/>
      <c r="M15" s="17" t="s">
        <v>249</v>
      </c>
      <c r="N15" s="25">
        <f>N14*12</f>
        <v>336000</v>
      </c>
      <c r="O15" s="25"/>
    </row>
    <row r="16" spans="1:15">
      <c r="A16" s="33"/>
      <c r="B16" s="26"/>
      <c r="C16" s="26"/>
      <c r="D16" s="18"/>
      <c r="E16" s="15"/>
      <c r="F16" s="152" t="s">
        <v>94</v>
      </c>
      <c r="G16" s="145">
        <v>2000000</v>
      </c>
      <c r="H16" s="151" t="s">
        <v>532</v>
      </c>
      <c r="I16" s="2"/>
      <c r="J16" s="150" t="s">
        <v>102</v>
      </c>
      <c r="K16" s="145">
        <f>250000*0.05</f>
        <v>12500</v>
      </c>
      <c r="L16" s="153"/>
      <c r="M16" s="17"/>
      <c r="N16" s="25"/>
      <c r="O16" s="25"/>
    </row>
    <row r="17" spans="1:15">
      <c r="A17" s="16" t="s">
        <v>95</v>
      </c>
      <c r="B17" s="34">
        <f>B7*12</f>
        <v>336000</v>
      </c>
      <c r="C17" s="26"/>
      <c r="D17" s="18"/>
      <c r="E17" s="15"/>
      <c r="F17" s="150" t="s">
        <v>96</v>
      </c>
      <c r="G17" s="145">
        <v>1400000</v>
      </c>
      <c r="H17" s="151" t="s">
        <v>533</v>
      </c>
      <c r="I17" s="2"/>
      <c r="J17" s="150" t="s">
        <v>535</v>
      </c>
      <c r="K17" s="145">
        <f>250000*0.1</f>
        <v>25000</v>
      </c>
      <c r="L17" s="153"/>
      <c r="M17" s="17" t="s">
        <v>250</v>
      </c>
      <c r="N17" s="25">
        <f>N15*0.3</f>
        <v>100800</v>
      </c>
      <c r="O17" s="25"/>
    </row>
    <row r="18" spans="1:15">
      <c r="A18" s="16" t="s">
        <v>98</v>
      </c>
      <c r="B18" s="25">
        <f>B17-250000</f>
        <v>86000</v>
      </c>
      <c r="C18" s="25"/>
      <c r="D18" s="35"/>
      <c r="E18" s="15"/>
      <c r="F18" s="150" t="s">
        <v>99</v>
      </c>
      <c r="G18" s="145">
        <v>0</v>
      </c>
      <c r="H18" s="153">
        <f>G17-250000</f>
        <v>1150000</v>
      </c>
      <c r="I18" s="2"/>
      <c r="J18" s="150" t="s">
        <v>536</v>
      </c>
      <c r="K18" s="145">
        <f>250000*0.15</f>
        <v>37500</v>
      </c>
      <c r="L18" s="151"/>
      <c r="M18" s="17"/>
      <c r="N18" s="17"/>
      <c r="O18" s="25"/>
    </row>
    <row r="19" spans="1:15">
      <c r="A19" s="16" t="s">
        <v>100</v>
      </c>
      <c r="B19" s="25">
        <f>0.1*B18</f>
        <v>8600</v>
      </c>
      <c r="C19" s="25" t="s">
        <v>101</v>
      </c>
      <c r="D19" s="32">
        <f>B19</f>
        <v>8600</v>
      </c>
      <c r="E19" s="15"/>
      <c r="F19" s="150" t="s">
        <v>102</v>
      </c>
      <c r="G19" s="145">
        <f>250000*0.05</f>
        <v>12500</v>
      </c>
      <c r="H19" s="153">
        <f>H18-250000</f>
        <v>900000</v>
      </c>
      <c r="I19" s="2"/>
      <c r="J19" s="150" t="s">
        <v>537</v>
      </c>
      <c r="K19" s="145">
        <f>250000*0.2</f>
        <v>50000</v>
      </c>
      <c r="L19" s="151"/>
      <c r="M19" s="17" t="s">
        <v>251</v>
      </c>
      <c r="N19" s="34">
        <f>N15-N17</f>
        <v>235200</v>
      </c>
      <c r="O19" s="25"/>
    </row>
    <row r="20" spans="1:15">
      <c r="A20" s="33"/>
      <c r="B20" s="26"/>
      <c r="C20" s="25"/>
      <c r="D20" s="18"/>
      <c r="E20" s="15"/>
      <c r="F20" s="150" t="s">
        <v>103</v>
      </c>
      <c r="G20" s="145">
        <f>500000*0.2</f>
        <v>100000</v>
      </c>
      <c r="H20" s="153">
        <f>H19-500000</f>
        <v>400000</v>
      </c>
      <c r="I20" s="2"/>
      <c r="J20" s="150" t="s">
        <v>538</v>
      </c>
      <c r="K20" s="145">
        <f>250000*0.25</f>
        <v>62500</v>
      </c>
      <c r="L20" s="151"/>
      <c r="M20" s="17" t="s">
        <v>361</v>
      </c>
      <c r="N20" s="34">
        <v>69895</v>
      </c>
      <c r="O20" s="25"/>
    </row>
    <row r="21" spans="1:15">
      <c r="A21" s="33"/>
      <c r="B21" s="26"/>
      <c r="C21" s="25" t="s">
        <v>104</v>
      </c>
      <c r="D21" s="93">
        <f>D14-D19</f>
        <v>71619.520000000004</v>
      </c>
      <c r="E21" s="15"/>
      <c r="F21" s="150" t="s">
        <v>530</v>
      </c>
      <c r="G21" s="145">
        <f>H20*0.3</f>
        <v>120000</v>
      </c>
      <c r="H21" s="151"/>
      <c r="I21" s="2"/>
      <c r="J21" s="150" t="s">
        <v>539</v>
      </c>
      <c r="K21" s="145">
        <f>(K14-1500000)*0.3</f>
        <v>180000</v>
      </c>
      <c r="L21" s="151"/>
      <c r="M21" s="76" t="s">
        <v>228</v>
      </c>
      <c r="N21" s="34">
        <f>N19+N20</f>
        <v>305095</v>
      </c>
      <c r="O21" s="25"/>
    </row>
    <row r="22" spans="1:15" ht="15" thickBot="1">
      <c r="A22" s="36"/>
      <c r="B22" s="37"/>
      <c r="C22" s="38"/>
      <c r="D22" s="39"/>
      <c r="E22" s="15"/>
      <c r="F22" s="154" t="s">
        <v>105</v>
      </c>
      <c r="G22" s="162">
        <f>G19+G20+G21</f>
        <v>232500</v>
      </c>
      <c r="H22" s="156"/>
      <c r="I22" s="2"/>
      <c r="J22" s="150" t="s">
        <v>105</v>
      </c>
      <c r="K22" s="146">
        <f>SUM(K15:K21)</f>
        <v>367500</v>
      </c>
      <c r="L22" s="153" t="s">
        <v>540</v>
      </c>
      <c r="M22" s="17" t="s">
        <v>83</v>
      </c>
      <c r="N22" s="25">
        <f>N19-300000</f>
        <v>-64800</v>
      </c>
      <c r="O22" s="25" t="s">
        <v>257</v>
      </c>
    </row>
    <row r="23" spans="1:15" ht="15" thickBot="1">
      <c r="D23" s="40"/>
      <c r="E23" s="40"/>
      <c r="I23" s="2"/>
      <c r="J23" s="154"/>
      <c r="K23" s="155"/>
      <c r="L23" s="156"/>
      <c r="M23" s="75" t="s">
        <v>256</v>
      </c>
      <c r="N23" s="25">
        <f>0.05*36000</f>
        <v>1800</v>
      </c>
      <c r="O23" s="25"/>
    </row>
    <row r="24" spans="1:15">
      <c r="A24" s="41" t="s">
        <v>437</v>
      </c>
      <c r="B24" s="42"/>
      <c r="C24" s="42"/>
      <c r="D24" s="43"/>
      <c r="E24" s="44"/>
      <c r="F24" s="29" t="s">
        <v>106</v>
      </c>
      <c r="G24" s="30">
        <f>J60</f>
        <v>1851698</v>
      </c>
      <c r="H24" s="31" t="s">
        <v>97</v>
      </c>
      <c r="I24" s="2"/>
      <c r="M24" s="17" t="s">
        <v>258</v>
      </c>
      <c r="N24" s="25"/>
      <c r="O24" s="25"/>
    </row>
    <row r="25" spans="1:15">
      <c r="A25" s="45" t="s">
        <v>107</v>
      </c>
      <c r="B25" s="45"/>
      <c r="C25" s="45"/>
      <c r="D25" s="46"/>
      <c r="E25" s="47"/>
      <c r="F25" s="29" t="s">
        <v>99</v>
      </c>
      <c r="G25" s="30">
        <v>0</v>
      </c>
      <c r="H25" s="31">
        <f>G24-250000</f>
        <v>1601698</v>
      </c>
      <c r="I25" s="2"/>
      <c r="N25" s="2"/>
      <c r="O25" s="2"/>
    </row>
    <row r="26" spans="1:15">
      <c r="A26" s="45" t="s">
        <v>108</v>
      </c>
      <c r="B26" s="45" t="s">
        <v>109</v>
      </c>
      <c r="C26" s="45" t="s">
        <v>110</v>
      </c>
      <c r="D26" s="46" t="s">
        <v>111</v>
      </c>
      <c r="E26" s="2">
        <v>9</v>
      </c>
      <c r="F26" s="29" t="s">
        <v>102</v>
      </c>
      <c r="G26" s="30">
        <v>25000</v>
      </c>
      <c r="H26" s="31">
        <f>H25-250000</f>
        <v>1351698</v>
      </c>
      <c r="I26" s="2"/>
      <c r="N26" s="2"/>
      <c r="O26" s="2"/>
    </row>
    <row r="27" spans="1:15">
      <c r="A27" s="41" t="s">
        <v>112</v>
      </c>
      <c r="B27" s="43"/>
      <c r="C27" s="41">
        <v>12</v>
      </c>
      <c r="D27" s="43"/>
      <c r="E27" s="2" t="s">
        <v>656</v>
      </c>
      <c r="F27" s="29" t="s">
        <v>103</v>
      </c>
      <c r="G27" s="30">
        <v>100000</v>
      </c>
      <c r="H27" s="31">
        <f>H26-500000</f>
        <v>851698</v>
      </c>
      <c r="I27" s="2"/>
      <c r="J27" s="2"/>
      <c r="N27" s="2"/>
      <c r="O27" s="2"/>
    </row>
    <row r="28" spans="1:15">
      <c r="A28" s="42" t="s">
        <v>114</v>
      </c>
      <c r="B28" s="61">
        <v>60000</v>
      </c>
      <c r="C28" s="48">
        <v>5000</v>
      </c>
      <c r="D28" s="60" t="s">
        <v>115</v>
      </c>
      <c r="E28" s="43">
        <v>0</v>
      </c>
      <c r="F28" s="29" t="s">
        <v>113</v>
      </c>
      <c r="G28" s="30">
        <f>H27*0.3</f>
        <v>255509.4</v>
      </c>
      <c r="H28" s="31"/>
      <c r="I28" s="2"/>
      <c r="J28" s="2"/>
      <c r="N28" s="2"/>
      <c r="O28" s="2"/>
    </row>
    <row r="29" spans="1:15">
      <c r="A29" s="42" t="s">
        <v>116</v>
      </c>
      <c r="B29" s="48">
        <v>28800</v>
      </c>
      <c r="C29" s="48">
        <f>B29/C27</f>
        <v>2400</v>
      </c>
      <c r="D29" s="49" t="s">
        <v>302</v>
      </c>
      <c r="E29" s="43">
        <f>2400*E26</f>
        <v>21600</v>
      </c>
      <c r="F29" s="50" t="s">
        <v>105</v>
      </c>
      <c r="G29" s="51">
        <f>G26+G27+G28</f>
        <v>380509.4</v>
      </c>
      <c r="H29" s="52"/>
      <c r="I29" s="2"/>
      <c r="J29" s="2"/>
      <c r="N29" s="2"/>
      <c r="O29" s="2"/>
    </row>
    <row r="30" spans="1:15">
      <c r="A30" s="53" t="s">
        <v>117</v>
      </c>
      <c r="B30" s="48">
        <v>12000</v>
      </c>
      <c r="C30" s="48">
        <v>1000</v>
      </c>
      <c r="D30" s="49" t="s">
        <v>118</v>
      </c>
      <c r="E30" s="43">
        <f>9000</f>
        <v>9000</v>
      </c>
      <c r="F30" s="15"/>
      <c r="H30" s="15"/>
      <c r="I30" s="2"/>
      <c r="J30" s="2"/>
      <c r="N30" s="2"/>
      <c r="O30" s="2"/>
    </row>
    <row r="31" spans="1:15">
      <c r="A31" s="43" t="s">
        <v>119</v>
      </c>
      <c r="B31" s="48">
        <v>24000</v>
      </c>
      <c r="C31" s="48">
        <v>2000</v>
      </c>
      <c r="D31" s="49" t="s">
        <v>118</v>
      </c>
      <c r="E31" s="43">
        <v>18000</v>
      </c>
      <c r="F31" s="15"/>
      <c r="H31" s="15"/>
      <c r="I31" s="2"/>
      <c r="J31" s="2"/>
      <c r="N31" s="2"/>
      <c r="O31" s="2"/>
    </row>
    <row r="32" spans="1:15">
      <c r="A32" s="53" t="s">
        <v>120</v>
      </c>
      <c r="B32" s="48">
        <v>12000</v>
      </c>
      <c r="C32" s="48">
        <v>1000</v>
      </c>
      <c r="D32" s="49" t="s">
        <v>118</v>
      </c>
      <c r="E32" s="43">
        <v>9000</v>
      </c>
      <c r="F32" s="2">
        <f>900*12</f>
        <v>10800</v>
      </c>
      <c r="G32" s="2"/>
      <c r="H32" s="2"/>
      <c r="I32" s="2"/>
      <c r="J32" s="2"/>
      <c r="N32" s="2"/>
      <c r="O32" s="2"/>
    </row>
    <row r="33" spans="1:15">
      <c r="A33" s="53" t="s">
        <v>121</v>
      </c>
      <c r="B33" s="48">
        <v>10800</v>
      </c>
      <c r="C33" s="48">
        <f>B33/C27</f>
        <v>900</v>
      </c>
      <c r="D33" s="49" t="s">
        <v>118</v>
      </c>
      <c r="E33" s="43">
        <v>0</v>
      </c>
      <c r="F33" s="2"/>
      <c r="G33" s="2"/>
      <c r="H33" s="2"/>
      <c r="I33" s="2"/>
      <c r="J33" s="2"/>
      <c r="N33" s="2"/>
      <c r="O33" s="2"/>
    </row>
    <row r="34" spans="1:15">
      <c r="A34" s="53" t="s">
        <v>122</v>
      </c>
      <c r="B34" s="48">
        <v>9600</v>
      </c>
      <c r="C34" s="48">
        <v>800</v>
      </c>
      <c r="D34" s="49" t="s">
        <v>123</v>
      </c>
      <c r="E34" s="43">
        <f>C34*E26</f>
        <v>7200</v>
      </c>
      <c r="F34" s="2"/>
      <c r="G34" s="2"/>
      <c r="H34" s="2"/>
      <c r="I34" s="2"/>
      <c r="J34" s="2"/>
      <c r="N34" s="2"/>
      <c r="O34" s="2"/>
    </row>
    <row r="35" spans="1:15">
      <c r="A35" s="53" t="s">
        <v>124</v>
      </c>
      <c r="B35" s="48">
        <f>C35*C27</f>
        <v>26400</v>
      </c>
      <c r="C35" s="48">
        <v>2200</v>
      </c>
      <c r="D35" s="54" t="s">
        <v>125</v>
      </c>
      <c r="E35" s="2"/>
      <c r="F35" s="2" t="s">
        <v>126</v>
      </c>
      <c r="G35" s="2"/>
      <c r="H35" s="2"/>
      <c r="I35" s="2"/>
      <c r="J35" s="2"/>
      <c r="N35" s="2"/>
      <c r="O35" s="2"/>
    </row>
    <row r="36" spans="1:15">
      <c r="A36" s="41" t="s">
        <v>127</v>
      </c>
      <c r="B36" s="55">
        <f>SUM(B28:B35)</f>
        <v>183600</v>
      </c>
      <c r="C36" s="43"/>
      <c r="D36" s="43"/>
      <c r="E36" s="2"/>
      <c r="F36" s="2" t="s">
        <v>128</v>
      </c>
      <c r="G36" s="2"/>
      <c r="H36" s="2"/>
      <c r="I36" s="2"/>
      <c r="J36" s="2"/>
      <c r="K36" s="28"/>
      <c r="L36" s="2"/>
      <c r="M36" s="2"/>
      <c r="N36" s="2"/>
      <c r="O36" s="2"/>
    </row>
    <row r="37" spans="1:15">
      <c r="A37" s="41"/>
      <c r="B37" s="43"/>
      <c r="C37" s="43"/>
      <c r="D37" s="43"/>
      <c r="E37" s="2"/>
      <c r="F37" s="2"/>
      <c r="G37" s="2"/>
      <c r="H37" s="2"/>
      <c r="I37" s="2"/>
      <c r="J37" s="2"/>
      <c r="K37" s="28"/>
      <c r="L37" s="2"/>
      <c r="M37" s="2"/>
      <c r="N37" s="2"/>
      <c r="O37" s="2"/>
    </row>
    <row r="38" spans="1:15">
      <c r="A38" s="41"/>
      <c r="B38" s="43"/>
      <c r="C38" s="43"/>
      <c r="D38" s="43"/>
      <c r="E38" s="2"/>
      <c r="F38" s="2"/>
      <c r="G38" s="2"/>
      <c r="H38" s="2"/>
      <c r="I38" s="2"/>
      <c r="J38" s="2"/>
      <c r="K38" s="28"/>
      <c r="L38" s="2"/>
      <c r="M38" s="2"/>
      <c r="N38" s="2"/>
      <c r="O38" s="2"/>
    </row>
    <row r="39" spans="1:15">
      <c r="A39" s="2"/>
      <c r="B39" s="2"/>
      <c r="C39" s="2"/>
      <c r="D39" s="2"/>
      <c r="E39" s="2"/>
      <c r="F39" s="2"/>
      <c r="G39" s="2"/>
      <c r="H39" s="2"/>
      <c r="I39" s="2"/>
      <c r="J39" s="2"/>
      <c r="K39" s="28"/>
      <c r="L39" s="2"/>
      <c r="M39" s="2"/>
      <c r="N39" s="2"/>
      <c r="O39" s="2"/>
    </row>
    <row r="40" spans="1:15" ht="15">
      <c r="A40" s="2"/>
      <c r="B40" s="2"/>
      <c r="C40" s="2"/>
      <c r="D40" s="2"/>
      <c r="E40" s="2"/>
      <c r="F40" s="3" t="s">
        <v>216</v>
      </c>
      <c r="H40" s="2"/>
      <c r="I40" s="2"/>
      <c r="J40" s="2"/>
      <c r="K40" s="69" t="s">
        <v>237</v>
      </c>
      <c r="L40" s="2"/>
      <c r="M40" s="2"/>
      <c r="N40" s="2"/>
      <c r="O40" s="2"/>
    </row>
    <row r="41" spans="1:15">
      <c r="A41" s="41" t="s">
        <v>129</v>
      </c>
      <c r="B41" s="43"/>
      <c r="C41" s="43"/>
      <c r="D41" s="56"/>
      <c r="E41" s="2"/>
      <c r="F41" s="43"/>
      <c r="G41" s="41" t="s">
        <v>188</v>
      </c>
      <c r="H41" s="41" t="s">
        <v>189</v>
      </c>
      <c r="I41" s="43"/>
      <c r="J41" s="43"/>
      <c r="K41" s="70"/>
      <c r="L41" s="65"/>
      <c r="M41" s="65"/>
      <c r="N41" s="2"/>
      <c r="O41" s="2"/>
    </row>
    <row r="42" spans="1:15">
      <c r="A42" s="41" t="s">
        <v>130</v>
      </c>
      <c r="B42" s="57"/>
      <c r="C42" s="57" t="s">
        <v>651</v>
      </c>
      <c r="D42" s="46"/>
      <c r="E42" s="2"/>
      <c r="F42" s="41" t="s">
        <v>187</v>
      </c>
      <c r="G42" s="41">
        <v>571334</v>
      </c>
      <c r="H42" s="41">
        <v>1881544</v>
      </c>
      <c r="I42" s="43"/>
      <c r="J42" s="41">
        <f>G42+H42</f>
        <v>2452878</v>
      </c>
      <c r="K42" s="70"/>
      <c r="L42" s="65" t="s">
        <v>219</v>
      </c>
      <c r="M42" s="65">
        <v>2001359</v>
      </c>
      <c r="N42" s="2"/>
      <c r="O42" s="2"/>
    </row>
    <row r="43" spans="1:15">
      <c r="A43" s="43" t="s">
        <v>21</v>
      </c>
      <c r="B43" s="43">
        <v>50000</v>
      </c>
      <c r="C43" s="57"/>
      <c r="D43" s="54"/>
      <c r="E43" s="2"/>
      <c r="F43" s="43" t="s">
        <v>190</v>
      </c>
      <c r="G43" s="43">
        <v>151124</v>
      </c>
      <c r="H43" s="43">
        <v>219495</v>
      </c>
      <c r="I43" s="43" t="s">
        <v>208</v>
      </c>
      <c r="J43" s="43">
        <f>G43+H43</f>
        <v>370619</v>
      </c>
      <c r="K43" s="70"/>
      <c r="L43" s="65"/>
      <c r="M43" s="65"/>
      <c r="N43" s="2"/>
      <c r="O43" s="2"/>
    </row>
    <row r="44" spans="1:15">
      <c r="A44" s="43" t="s">
        <v>131</v>
      </c>
      <c r="B44" s="43"/>
      <c r="C44" s="177">
        <v>150000</v>
      </c>
      <c r="D44" s="54" t="s">
        <v>655</v>
      </c>
      <c r="E44" s="2"/>
      <c r="F44" s="43" t="s">
        <v>191</v>
      </c>
      <c r="G44" s="43">
        <f>G42-G43</f>
        <v>420210</v>
      </c>
      <c r="H44" s="43">
        <f>H42-H43</f>
        <v>1662049</v>
      </c>
      <c r="I44" s="43"/>
      <c r="J44" s="43">
        <f>G44+H44</f>
        <v>2082259</v>
      </c>
      <c r="K44" s="70"/>
      <c r="L44" s="65"/>
      <c r="M44" s="65"/>
      <c r="N44" s="2"/>
      <c r="O44" s="2"/>
    </row>
    <row r="45" spans="1:15">
      <c r="A45" s="43" t="s">
        <v>132</v>
      </c>
      <c r="B45" s="43">
        <v>14396</v>
      </c>
      <c r="C45" s="57"/>
      <c r="D45" s="49"/>
      <c r="E45" s="2"/>
      <c r="F45" s="43"/>
      <c r="G45" s="43"/>
      <c r="H45" s="43"/>
      <c r="I45" s="43"/>
      <c r="J45" s="43"/>
      <c r="K45" s="70"/>
      <c r="L45" s="65"/>
      <c r="M45" s="65"/>
      <c r="N45" s="2"/>
      <c r="O45" s="2"/>
    </row>
    <row r="46" spans="1:15">
      <c r="A46" s="43" t="s">
        <v>14</v>
      </c>
      <c r="B46" s="43">
        <v>0</v>
      </c>
      <c r="C46" s="57"/>
      <c r="D46" s="49"/>
      <c r="E46" s="2"/>
      <c r="F46" s="43" t="s">
        <v>193</v>
      </c>
      <c r="G46" s="43">
        <v>0</v>
      </c>
      <c r="H46" s="43">
        <v>1900</v>
      </c>
      <c r="I46" s="43" t="s">
        <v>207</v>
      </c>
      <c r="J46" s="43">
        <v>1900</v>
      </c>
      <c r="K46" s="70"/>
      <c r="L46" s="65"/>
      <c r="M46" s="65"/>
      <c r="N46" s="2"/>
      <c r="O46" s="2"/>
    </row>
    <row r="47" spans="1:15">
      <c r="A47" s="41" t="s">
        <v>20</v>
      </c>
      <c r="B47" s="41">
        <f>SUM(B43:B46)</f>
        <v>64396</v>
      </c>
      <c r="C47" s="57"/>
      <c r="D47" s="58"/>
      <c r="E47" s="2"/>
      <c r="F47" s="43"/>
      <c r="G47" s="43"/>
      <c r="H47" s="43"/>
      <c r="I47" s="43"/>
      <c r="J47" s="43"/>
      <c r="K47" s="70"/>
      <c r="L47" s="65"/>
      <c r="M47" s="65"/>
      <c r="N47" s="2"/>
      <c r="O47" s="2"/>
    </row>
    <row r="48" spans="1:15">
      <c r="A48" s="41" t="s">
        <v>45</v>
      </c>
      <c r="B48" s="80">
        <f>B47-150000</f>
        <v>-85604</v>
      </c>
      <c r="C48" s="57"/>
      <c r="D48" s="58"/>
      <c r="E48" s="2"/>
      <c r="F48" s="41" t="s">
        <v>192</v>
      </c>
      <c r="G48" s="41">
        <f>G44-G46</f>
        <v>420210</v>
      </c>
      <c r="H48" s="41">
        <f>H44-H46</f>
        <v>1660149</v>
      </c>
      <c r="I48" s="43"/>
      <c r="J48" s="41">
        <f>J44-J46</f>
        <v>2080359</v>
      </c>
      <c r="K48" s="70" t="s">
        <v>227</v>
      </c>
      <c r="L48" s="65" t="s">
        <v>220</v>
      </c>
      <c r="M48" s="65">
        <v>2001359</v>
      </c>
      <c r="N48" s="2"/>
      <c r="O48" s="2"/>
    </row>
    <row r="49" spans="1:15">
      <c r="A49" s="59"/>
      <c r="B49" s="56"/>
      <c r="C49" s="57"/>
      <c r="D49" s="56"/>
      <c r="E49" s="2"/>
      <c r="F49" s="43" t="s">
        <v>209</v>
      </c>
      <c r="G49" s="43">
        <v>0</v>
      </c>
      <c r="H49" s="43">
        <v>0</v>
      </c>
      <c r="I49" s="43"/>
      <c r="J49" s="43"/>
      <c r="K49" s="70"/>
      <c r="L49" s="65"/>
      <c r="M49" s="65"/>
      <c r="N49" s="2"/>
      <c r="O49" s="2"/>
    </row>
    <row r="50" spans="1:15">
      <c r="A50" s="41" t="s">
        <v>133</v>
      </c>
      <c r="B50" s="41">
        <v>50000</v>
      </c>
      <c r="C50" s="177">
        <v>50000</v>
      </c>
      <c r="D50" s="54" t="s">
        <v>655</v>
      </c>
      <c r="E50" s="2"/>
      <c r="F50" s="43" t="s">
        <v>194</v>
      </c>
      <c r="G50" s="43"/>
      <c r="H50" s="43"/>
      <c r="I50" s="43"/>
      <c r="J50" s="43"/>
      <c r="K50" s="70"/>
      <c r="L50" s="65"/>
      <c r="M50" s="65"/>
      <c r="N50" s="2"/>
      <c r="O50" s="2"/>
    </row>
    <row r="51" spans="1:15">
      <c r="A51" s="59"/>
      <c r="B51" s="56"/>
      <c r="C51" s="57"/>
      <c r="D51" s="56"/>
      <c r="E51" s="2"/>
      <c r="F51" s="43" t="s">
        <v>195</v>
      </c>
      <c r="G51" s="43">
        <v>6155</v>
      </c>
      <c r="H51" s="43">
        <v>150000</v>
      </c>
      <c r="I51" s="43" t="s">
        <v>199</v>
      </c>
      <c r="J51" s="43"/>
      <c r="K51" s="70"/>
      <c r="L51" s="65" t="s">
        <v>221</v>
      </c>
      <c r="M51" s="65">
        <v>150000</v>
      </c>
      <c r="N51" s="2"/>
      <c r="O51" s="2"/>
    </row>
    <row r="52" spans="1:15">
      <c r="A52" s="41" t="s">
        <v>134</v>
      </c>
      <c r="B52" s="59"/>
      <c r="C52" s="57"/>
      <c r="D52" s="54"/>
      <c r="E52" s="2"/>
      <c r="F52" s="43" t="s">
        <v>197</v>
      </c>
      <c r="G52" s="43">
        <v>0</v>
      </c>
      <c r="H52" s="43"/>
      <c r="I52" s="43"/>
      <c r="J52" s="43"/>
      <c r="K52" s="70"/>
      <c r="L52" s="65" t="s">
        <v>222</v>
      </c>
      <c r="M52" s="65">
        <v>50000</v>
      </c>
      <c r="N52" s="2"/>
      <c r="O52" s="2"/>
    </row>
    <row r="53" spans="1:15">
      <c r="A53" s="43" t="s">
        <v>135</v>
      </c>
      <c r="B53" s="43">
        <v>43000</v>
      </c>
      <c r="C53" s="57"/>
      <c r="D53" s="60"/>
      <c r="E53" s="2"/>
      <c r="F53" s="43" t="s">
        <v>196</v>
      </c>
      <c r="G53" s="43">
        <v>0</v>
      </c>
      <c r="H53" s="43"/>
      <c r="I53" s="43"/>
      <c r="J53" s="43"/>
      <c r="K53" s="70"/>
      <c r="L53" s="65" t="s">
        <v>223</v>
      </c>
      <c r="M53" s="65">
        <v>22886</v>
      </c>
      <c r="N53" s="2"/>
      <c r="O53" s="2"/>
    </row>
    <row r="54" spans="1:15">
      <c r="A54" s="43" t="s">
        <v>136</v>
      </c>
      <c r="B54" s="43">
        <v>20000</v>
      </c>
      <c r="C54" s="57"/>
      <c r="D54" s="60"/>
      <c r="E54" s="2"/>
      <c r="F54" s="43" t="s">
        <v>210</v>
      </c>
      <c r="G54" s="43">
        <v>0</v>
      </c>
      <c r="H54" s="43">
        <v>50000</v>
      </c>
      <c r="I54" s="43"/>
      <c r="J54" s="43"/>
      <c r="K54" s="70"/>
      <c r="L54" s="65" t="s">
        <v>224</v>
      </c>
      <c r="M54" s="66">
        <v>40000</v>
      </c>
      <c r="N54" s="2"/>
      <c r="O54" s="2"/>
    </row>
    <row r="55" spans="1:15">
      <c r="A55" s="43"/>
      <c r="B55" s="43"/>
      <c r="C55" s="56"/>
      <c r="D55" s="49"/>
      <c r="E55" s="2"/>
      <c r="F55" s="43" t="s">
        <v>211</v>
      </c>
      <c r="G55" s="43">
        <v>0</v>
      </c>
      <c r="H55" s="43">
        <v>22886</v>
      </c>
      <c r="I55" s="43" t="s">
        <v>212</v>
      </c>
      <c r="J55" s="43"/>
      <c r="K55" s="70"/>
      <c r="L55" s="65"/>
      <c r="M55" s="65"/>
      <c r="N55" s="2"/>
      <c r="O55" s="2"/>
    </row>
    <row r="56" spans="1:15">
      <c r="A56" s="41" t="s">
        <v>137</v>
      </c>
      <c r="B56" s="43">
        <v>0</v>
      </c>
      <c r="C56" s="56"/>
      <c r="D56" s="60"/>
      <c r="E56" s="2"/>
      <c r="F56" s="43" t="s">
        <v>198</v>
      </c>
      <c r="G56" s="43">
        <v>5775</v>
      </c>
      <c r="H56" s="43">
        <v>0</v>
      </c>
      <c r="I56" s="43" t="s">
        <v>207</v>
      </c>
      <c r="J56" s="43"/>
      <c r="K56" s="70"/>
      <c r="L56" s="65"/>
      <c r="M56" s="65"/>
      <c r="N56" s="2"/>
      <c r="O56" s="2"/>
    </row>
    <row r="57" spans="1:15">
      <c r="A57" s="43"/>
      <c r="B57" s="43"/>
      <c r="C57" s="56"/>
      <c r="D57" s="49"/>
      <c r="E57" s="2"/>
      <c r="F57" s="43"/>
      <c r="G57" s="43"/>
      <c r="H57" s="43"/>
      <c r="I57" s="43"/>
      <c r="J57" s="43"/>
      <c r="K57" s="70"/>
      <c r="L57" s="65"/>
      <c r="M57" s="65"/>
      <c r="N57" s="2"/>
      <c r="O57" s="2"/>
    </row>
    <row r="58" spans="1:15">
      <c r="A58" s="41" t="s">
        <v>138</v>
      </c>
      <c r="B58" s="55">
        <f>B47+B50+B53+B54</f>
        <v>177396</v>
      </c>
      <c r="C58" s="56"/>
      <c r="D58" s="56"/>
      <c r="E58" s="2"/>
      <c r="F58" s="41" t="s">
        <v>200</v>
      </c>
      <c r="G58" s="41">
        <f>SUM(G51:G56)</f>
        <v>11930</v>
      </c>
      <c r="H58" s="41">
        <f>SUM(H51:H56)</f>
        <v>222886</v>
      </c>
      <c r="I58" s="43"/>
      <c r="J58" s="43">
        <f>H58+G56</f>
        <v>228661</v>
      </c>
      <c r="K58" s="70" t="s">
        <v>226</v>
      </c>
      <c r="L58" s="65" t="s">
        <v>225</v>
      </c>
      <c r="M58" s="65">
        <v>262886</v>
      </c>
      <c r="N58" s="2"/>
      <c r="O58" s="2"/>
    </row>
    <row r="59" spans="1:15">
      <c r="A59" s="56"/>
      <c r="B59" s="43"/>
      <c r="C59" s="43"/>
      <c r="D59" s="43"/>
      <c r="E59" s="2"/>
      <c r="F59" s="43"/>
      <c r="G59" s="43"/>
      <c r="H59" s="43"/>
      <c r="I59" s="43"/>
      <c r="J59" s="43"/>
      <c r="K59" s="70"/>
      <c r="L59" s="65"/>
      <c r="M59" s="65"/>
      <c r="N59" s="2"/>
      <c r="O59" s="2"/>
    </row>
    <row r="60" spans="1:15">
      <c r="A60" s="56"/>
      <c r="B60" s="43"/>
      <c r="C60" s="43"/>
      <c r="D60" s="43"/>
      <c r="E60" s="2"/>
      <c r="F60" s="41" t="s">
        <v>201</v>
      </c>
      <c r="G60" s="41">
        <f>G48-G58</f>
        <v>408280</v>
      </c>
      <c r="H60" s="41">
        <f>H48-H58</f>
        <v>1437263</v>
      </c>
      <c r="I60" s="43"/>
      <c r="J60" s="41">
        <f>J48-J58</f>
        <v>1851698</v>
      </c>
      <c r="K60" s="70" t="s">
        <v>228</v>
      </c>
      <c r="L60" s="65" t="s">
        <v>229</v>
      </c>
      <c r="M60" s="65">
        <f>M48-M58</f>
        <v>1738473</v>
      </c>
      <c r="N60" s="2"/>
      <c r="O60" s="2"/>
    </row>
    <row r="61" spans="1:15">
      <c r="A61" s="41" t="s">
        <v>139</v>
      </c>
      <c r="B61" s="56"/>
      <c r="C61" s="56"/>
      <c r="D61" s="56"/>
      <c r="E61" s="2"/>
      <c r="F61" s="43" t="s">
        <v>202</v>
      </c>
      <c r="G61" s="43">
        <v>7914</v>
      </c>
      <c r="H61" s="43">
        <v>243679</v>
      </c>
      <c r="I61" s="43"/>
      <c r="J61" s="43"/>
      <c r="K61" s="70" t="s">
        <v>230</v>
      </c>
      <c r="L61" s="65" t="s">
        <v>231</v>
      </c>
      <c r="M61" s="65">
        <v>334041</v>
      </c>
      <c r="N61" s="2"/>
      <c r="O61" s="2"/>
    </row>
    <row r="62" spans="1:15">
      <c r="A62" s="43" t="s">
        <v>140</v>
      </c>
      <c r="B62" s="43" t="s">
        <v>141</v>
      </c>
      <c r="C62" s="43"/>
      <c r="D62" s="43"/>
      <c r="E62" s="2"/>
      <c r="F62" s="43" t="s">
        <v>203</v>
      </c>
      <c r="G62" s="43">
        <v>237</v>
      </c>
      <c r="H62" s="43">
        <v>7310</v>
      </c>
      <c r="I62" s="43"/>
      <c r="J62" s="43"/>
      <c r="K62" s="70" t="s">
        <v>232</v>
      </c>
      <c r="L62" s="65" t="s">
        <v>233</v>
      </c>
      <c r="M62" s="65">
        <v>10021</v>
      </c>
      <c r="N62" s="2"/>
      <c r="O62" s="2"/>
    </row>
    <row r="63" spans="1:15">
      <c r="A63" s="43" t="s">
        <v>142</v>
      </c>
      <c r="B63" s="43"/>
      <c r="C63" s="43"/>
      <c r="D63" s="43"/>
      <c r="E63" s="2"/>
      <c r="F63" s="43" t="s">
        <v>206</v>
      </c>
      <c r="G63" s="43">
        <f>G61+G62</f>
        <v>8151</v>
      </c>
      <c r="H63" s="43">
        <f>H61+H62</f>
        <v>250989</v>
      </c>
      <c r="I63" s="43"/>
      <c r="J63" s="43"/>
      <c r="K63" s="70"/>
      <c r="L63" s="65"/>
      <c r="M63" s="65">
        <f>M61+M62</f>
        <v>344062</v>
      </c>
      <c r="N63" s="2"/>
      <c r="O63" s="2"/>
    </row>
    <row r="64" spans="1:15" ht="15">
      <c r="A64" s="43" t="s">
        <v>143</v>
      </c>
      <c r="B64" s="43"/>
      <c r="C64" s="43"/>
      <c r="D64" s="43"/>
      <c r="E64" s="2"/>
      <c r="F64" s="43" t="s">
        <v>204</v>
      </c>
      <c r="G64" s="43">
        <v>0</v>
      </c>
      <c r="H64" s="43">
        <v>0</v>
      </c>
      <c r="I64" s="43" t="s">
        <v>207</v>
      </c>
      <c r="J64" s="43"/>
      <c r="K64" s="70"/>
      <c r="L64" s="65"/>
      <c r="M64" s="65"/>
      <c r="N64" s="2"/>
      <c r="O64" s="2"/>
    </row>
    <row r="65" spans="1:15">
      <c r="A65" s="2"/>
      <c r="B65" s="2"/>
      <c r="C65" s="2"/>
      <c r="D65" s="2"/>
      <c r="E65" s="2"/>
      <c r="F65" s="43"/>
      <c r="G65" s="43"/>
      <c r="H65" s="43"/>
      <c r="I65" s="43"/>
      <c r="J65" s="43"/>
      <c r="K65" s="70" t="s">
        <v>234</v>
      </c>
      <c r="L65" s="65"/>
      <c r="M65" s="65">
        <v>3396</v>
      </c>
      <c r="N65" s="2"/>
      <c r="O65" s="2"/>
    </row>
    <row r="66" spans="1:15">
      <c r="A66" s="41" t="s">
        <v>144</v>
      </c>
      <c r="B66" s="43"/>
      <c r="C66" s="43"/>
      <c r="D66" s="43"/>
      <c r="E66" s="2"/>
      <c r="F66" s="41" t="s">
        <v>205</v>
      </c>
      <c r="G66" s="41">
        <f>G63-G64</f>
        <v>8151</v>
      </c>
      <c r="H66" s="41">
        <f>H63-H64</f>
        <v>250989</v>
      </c>
      <c r="I66" s="43"/>
      <c r="J66" s="43"/>
      <c r="K66" s="70" t="s">
        <v>235</v>
      </c>
      <c r="L66" s="65"/>
      <c r="M66" s="65">
        <v>4284</v>
      </c>
      <c r="N66" s="2"/>
      <c r="O66" s="2"/>
    </row>
    <row r="67" spans="1:15">
      <c r="A67" s="43" t="s">
        <v>145</v>
      </c>
      <c r="B67" s="48">
        <f>C67*12</f>
        <v>336000</v>
      </c>
      <c r="C67" s="43">
        <v>28000</v>
      </c>
      <c r="D67" s="49" t="s">
        <v>118</v>
      </c>
      <c r="E67" s="2"/>
      <c r="F67" s="41" t="s">
        <v>213</v>
      </c>
      <c r="G67" s="41">
        <v>8151</v>
      </c>
      <c r="H67" s="41">
        <v>250989</v>
      </c>
      <c r="I67" s="43"/>
      <c r="J67" s="43"/>
      <c r="K67" s="70"/>
      <c r="L67" s="65"/>
      <c r="M67" s="65"/>
      <c r="N67" s="2"/>
      <c r="O67" s="2"/>
    </row>
    <row r="68" spans="1:15">
      <c r="A68" s="2"/>
      <c r="B68" s="2"/>
      <c r="C68" s="2"/>
      <c r="D68" s="2"/>
      <c r="E68" s="2"/>
      <c r="F68" s="41"/>
      <c r="G68" s="41"/>
      <c r="H68" s="41"/>
      <c r="I68" s="43"/>
      <c r="J68" s="43"/>
      <c r="K68" s="71" t="s">
        <v>236</v>
      </c>
      <c r="L68" s="67"/>
      <c r="M68" s="67">
        <f>M63+M65+M66</f>
        <v>351742</v>
      </c>
      <c r="N68" s="2"/>
      <c r="O68" s="2"/>
    </row>
    <row r="69" spans="1:15">
      <c r="A69" s="2"/>
      <c r="B69" s="2"/>
      <c r="C69" s="2"/>
      <c r="D69" s="2"/>
      <c r="E69" s="2"/>
      <c r="F69" s="41" t="s">
        <v>214</v>
      </c>
      <c r="G69" s="41">
        <f>G66-G67</f>
        <v>0</v>
      </c>
      <c r="H69" s="41">
        <f>H66-H67</f>
        <v>0</v>
      </c>
      <c r="I69" s="43"/>
      <c r="J69" s="43"/>
      <c r="K69" s="70"/>
      <c r="L69" s="65"/>
      <c r="M69" s="65"/>
      <c r="N69" s="2"/>
      <c r="O69" s="2"/>
    </row>
    <row r="70" spans="1:15">
      <c r="A70" s="2"/>
      <c r="B70" s="2"/>
      <c r="C70" s="2"/>
      <c r="D70" s="2"/>
      <c r="E70" s="2"/>
      <c r="F70" s="41"/>
      <c r="G70" s="41"/>
      <c r="H70" s="41"/>
      <c r="I70" s="43"/>
      <c r="J70" s="43"/>
      <c r="K70" s="70" t="s">
        <v>238</v>
      </c>
      <c r="L70" s="65" t="s">
        <v>239</v>
      </c>
      <c r="M70" s="65">
        <v>8151</v>
      </c>
      <c r="N70" s="2"/>
      <c r="O70" s="2"/>
    </row>
    <row r="71" spans="1:15">
      <c r="A71" s="2"/>
      <c r="B71" s="2"/>
      <c r="C71" s="2"/>
      <c r="D71" s="2"/>
      <c r="E71" s="2"/>
      <c r="F71" s="41"/>
      <c r="G71" s="41"/>
      <c r="H71" s="41"/>
      <c r="I71" s="43"/>
      <c r="J71" s="43"/>
      <c r="K71" s="70" t="s">
        <v>189</v>
      </c>
      <c r="L71" s="65" t="s">
        <v>240</v>
      </c>
      <c r="M71" s="65">
        <v>250989</v>
      </c>
      <c r="N71" s="2"/>
      <c r="O71" s="2"/>
    </row>
    <row r="72" spans="1:15">
      <c r="A72" s="2"/>
      <c r="B72" s="2"/>
      <c r="C72" s="2"/>
      <c r="D72" s="2"/>
      <c r="E72" s="2"/>
      <c r="F72" s="41"/>
      <c r="G72" s="41" t="s">
        <v>215</v>
      </c>
      <c r="H72" s="41">
        <f>G66+H66</f>
        <v>259140</v>
      </c>
      <c r="I72" s="43"/>
      <c r="J72" s="43"/>
      <c r="K72" s="71" t="s">
        <v>241</v>
      </c>
      <c r="L72" s="67"/>
      <c r="M72" s="67">
        <f>M70+M71</f>
        <v>259140</v>
      </c>
      <c r="N72" s="2"/>
      <c r="O72" s="2"/>
    </row>
    <row r="73" spans="1:15">
      <c r="A73" s="2"/>
      <c r="B73" s="2"/>
      <c r="C73" s="2"/>
      <c r="D73" s="2"/>
      <c r="E73" s="2"/>
      <c r="F73" s="41"/>
      <c r="G73" s="41" t="s">
        <v>259</v>
      </c>
      <c r="H73" s="41">
        <v>36850</v>
      </c>
      <c r="I73" s="43"/>
      <c r="J73" s="43"/>
      <c r="K73" s="72"/>
      <c r="L73" s="68"/>
      <c r="M73" s="68"/>
      <c r="N73" s="2"/>
      <c r="O73" s="2"/>
    </row>
    <row r="74" spans="1:15">
      <c r="A74" s="2"/>
      <c r="B74" s="2"/>
      <c r="C74" s="2"/>
      <c r="D74" s="2"/>
      <c r="E74" s="2"/>
      <c r="F74" s="41"/>
      <c r="G74" s="41" t="s">
        <v>260</v>
      </c>
      <c r="H74" s="41">
        <f>H72+H73</f>
        <v>295990</v>
      </c>
      <c r="I74" s="43"/>
      <c r="J74" s="43"/>
      <c r="K74" s="72"/>
      <c r="L74" s="68"/>
      <c r="M74" s="68"/>
      <c r="N74" s="2"/>
      <c r="O74" s="2"/>
    </row>
    <row r="75" spans="1:15">
      <c r="A75" s="2"/>
      <c r="B75" s="2"/>
      <c r="C75" s="2"/>
      <c r="D75" s="2"/>
      <c r="E75" s="2"/>
      <c r="F75" s="41"/>
      <c r="G75" s="41" t="s">
        <v>261</v>
      </c>
      <c r="H75" s="41">
        <f>121369 - H73</f>
        <v>84519</v>
      </c>
      <c r="I75" s="41">
        <f>H75-9700</f>
        <v>74819</v>
      </c>
      <c r="J75" s="43"/>
      <c r="K75" s="72"/>
      <c r="L75" s="68"/>
      <c r="M75" s="68"/>
      <c r="N75" s="2"/>
      <c r="O75" s="2"/>
    </row>
    <row r="76" spans="1:15">
      <c r="A76" s="2"/>
      <c r="B76" s="2"/>
      <c r="C76" s="2"/>
      <c r="D76" s="2"/>
      <c r="E76" s="2"/>
      <c r="F76" s="41"/>
      <c r="G76" s="41"/>
      <c r="H76" s="43"/>
      <c r="I76" s="43"/>
      <c r="J76" s="43"/>
      <c r="K76" s="71" t="s">
        <v>242</v>
      </c>
      <c r="L76" s="67"/>
      <c r="M76" s="67">
        <f>M68-M72</f>
        <v>92602</v>
      </c>
      <c r="N76" s="2"/>
      <c r="O76" s="2"/>
    </row>
    <row r="77" spans="1:15">
      <c r="A77" s="2"/>
      <c r="B77" s="2"/>
      <c r="C77" s="2"/>
      <c r="D77" s="2"/>
      <c r="E77" s="2"/>
      <c r="F77" s="2"/>
      <c r="G77" s="2"/>
      <c r="H77" s="2"/>
      <c r="I77" s="2"/>
      <c r="J77" s="2"/>
      <c r="K77" s="72"/>
      <c r="L77" s="68"/>
      <c r="M77" s="68"/>
      <c r="N77" s="2"/>
      <c r="O77" s="2"/>
    </row>
    <row r="78" spans="1:15">
      <c r="I78" s="64"/>
      <c r="J78" s="64"/>
      <c r="K78" s="71"/>
      <c r="L78" s="67"/>
      <c r="M78" s="67"/>
    </row>
    <row r="79" spans="1:15">
      <c r="I79" s="64"/>
      <c r="J79" s="64"/>
      <c r="K79" s="71"/>
      <c r="L79" s="67"/>
      <c r="M79" s="67"/>
    </row>
    <row r="80" spans="1:15">
      <c r="I80" s="64"/>
      <c r="J80" s="64"/>
      <c r="K80" s="71" t="s">
        <v>246</v>
      </c>
      <c r="L80" s="67"/>
      <c r="M80" s="67"/>
    </row>
    <row r="81" spans="1:13">
      <c r="I81" s="64"/>
      <c r="J81" s="64"/>
      <c r="K81" s="71"/>
      <c r="L81" s="67"/>
      <c r="M81" s="67"/>
    </row>
    <row r="82" spans="1:13">
      <c r="I82" s="64"/>
      <c r="J82" s="64"/>
      <c r="K82" s="71" t="s">
        <v>243</v>
      </c>
      <c r="L82" s="67">
        <v>132700</v>
      </c>
      <c r="M82" s="67"/>
    </row>
    <row r="83" spans="1:13">
      <c r="I83" s="64"/>
      <c r="J83" s="64"/>
      <c r="K83" s="71" t="s">
        <v>244</v>
      </c>
      <c r="L83" s="67">
        <v>92602</v>
      </c>
      <c r="M83" s="67"/>
    </row>
    <row r="84" spans="1:13">
      <c r="I84" s="64"/>
      <c r="J84" s="64"/>
      <c r="K84" s="71"/>
      <c r="L84" s="67"/>
      <c r="M84" s="67"/>
    </row>
    <row r="85" spans="1:13">
      <c r="I85" s="64"/>
      <c r="J85" s="64"/>
      <c r="K85" s="71" t="s">
        <v>245</v>
      </c>
      <c r="L85" s="67">
        <f>L82-L83</f>
        <v>40098</v>
      </c>
      <c r="M85" s="67"/>
    </row>
    <row r="86" spans="1:13">
      <c r="I86" s="64"/>
      <c r="J86" s="64"/>
      <c r="K86" s="69"/>
      <c r="L86" s="64"/>
      <c r="M86" s="64"/>
    </row>
    <row r="87" spans="1:13" ht="15">
      <c r="A87" s="186"/>
    </row>
    <row r="91" spans="1:13" ht="15">
      <c r="A91" s="103" t="s">
        <v>378</v>
      </c>
      <c r="B91" s="63"/>
      <c r="C91" s="63"/>
      <c r="D91" s="63"/>
      <c r="E91" s="63"/>
      <c r="F91" s="63"/>
      <c r="J91" s="122" t="s">
        <v>1118</v>
      </c>
      <c r="K91" s="244"/>
    </row>
    <row r="92" spans="1:13" ht="15">
      <c r="A92" s="104"/>
      <c r="B92" s="103" t="s">
        <v>373</v>
      </c>
      <c r="C92" s="103" t="s">
        <v>374</v>
      </c>
      <c r="D92" s="103" t="s">
        <v>379</v>
      </c>
      <c r="E92" s="103" t="s">
        <v>375</v>
      </c>
      <c r="F92" s="103" t="s">
        <v>374</v>
      </c>
      <c r="J92" s="244" t="s">
        <v>1119</v>
      </c>
      <c r="K92" s="244">
        <v>1100</v>
      </c>
    </row>
    <row r="93" spans="1:13" ht="15">
      <c r="A93" s="104" t="s">
        <v>67</v>
      </c>
      <c r="B93" s="103">
        <v>6990</v>
      </c>
      <c r="C93" s="103">
        <v>6990</v>
      </c>
      <c r="D93" s="103" t="s">
        <v>380</v>
      </c>
      <c r="E93" s="103" t="s">
        <v>376</v>
      </c>
      <c r="F93" s="103" t="s">
        <v>377</v>
      </c>
      <c r="J93" s="244" t="s">
        <v>1120</v>
      </c>
      <c r="K93" s="244">
        <v>40</v>
      </c>
    </row>
    <row r="94" spans="1:13" ht="15">
      <c r="A94" s="104" t="s">
        <v>437</v>
      </c>
      <c r="B94" s="103">
        <v>6509</v>
      </c>
      <c r="C94" s="103">
        <v>6770</v>
      </c>
      <c r="D94" s="103" t="s">
        <v>708</v>
      </c>
      <c r="E94" s="103"/>
      <c r="F94" s="103" t="s">
        <v>707</v>
      </c>
      <c r="J94" s="244" t="s">
        <v>1121</v>
      </c>
      <c r="K94" s="244">
        <v>80</v>
      </c>
    </row>
    <row r="95" spans="1:13" ht="15">
      <c r="A95" s="104" t="s">
        <v>809</v>
      </c>
      <c r="B95" s="247"/>
      <c r="C95" s="247"/>
      <c r="D95" s="247"/>
      <c r="E95" s="247"/>
      <c r="F95" s="247"/>
      <c r="J95" s="244" t="s">
        <v>1122</v>
      </c>
      <c r="K95" s="244">
        <v>80</v>
      </c>
    </row>
    <row r="96" spans="1:13" ht="15">
      <c r="J96" s="244" t="s">
        <v>1123</v>
      </c>
      <c r="K96" s="244">
        <f>SUM(K92:K95)</f>
        <v>1300</v>
      </c>
    </row>
    <row r="97" spans="1:11" ht="15">
      <c r="J97" s="244" t="s">
        <v>1124</v>
      </c>
      <c r="K97" s="244">
        <v>400</v>
      </c>
    </row>
    <row r="98" spans="1:11" ht="15">
      <c r="A98" s="103" t="s">
        <v>381</v>
      </c>
      <c r="B98" s="63"/>
      <c r="C98" s="63"/>
      <c r="D98" s="63"/>
      <c r="E98" s="63"/>
      <c r="F98" s="63"/>
      <c r="J98" s="244" t="s">
        <v>1125</v>
      </c>
      <c r="K98" s="244">
        <v>150</v>
      </c>
    </row>
    <row r="99" spans="1:11" ht="15">
      <c r="A99" s="104"/>
      <c r="B99" s="103" t="s">
        <v>373</v>
      </c>
      <c r="C99" s="103" t="s">
        <v>374</v>
      </c>
      <c r="D99" s="103" t="s">
        <v>379</v>
      </c>
      <c r="E99" s="103" t="s">
        <v>375</v>
      </c>
      <c r="F99" s="103" t="s">
        <v>374</v>
      </c>
      <c r="J99" s="244" t="s">
        <v>1126</v>
      </c>
      <c r="K99" s="244">
        <v>100</v>
      </c>
    </row>
    <row r="100" spans="1:11" ht="15">
      <c r="A100" s="104" t="s">
        <v>67</v>
      </c>
      <c r="B100" s="103">
        <v>4470</v>
      </c>
      <c r="C100" s="103">
        <v>4470</v>
      </c>
      <c r="D100" s="103" t="s">
        <v>380</v>
      </c>
      <c r="E100" s="103" t="s">
        <v>376</v>
      </c>
      <c r="F100" s="103" t="s">
        <v>377</v>
      </c>
      <c r="J100" s="244" t="s">
        <v>599</v>
      </c>
      <c r="K100" s="244">
        <v>0</v>
      </c>
    </row>
    <row r="101" spans="1:11" ht="15">
      <c r="A101" s="104" t="s">
        <v>809</v>
      </c>
      <c r="B101" s="247"/>
      <c r="C101" s="247"/>
      <c r="D101" s="247"/>
      <c r="E101" s="247"/>
      <c r="F101" s="247"/>
      <c r="J101" s="244" t="s">
        <v>1127</v>
      </c>
      <c r="K101" s="244">
        <f>SUM(K96:K100)</f>
        <v>1950</v>
      </c>
    </row>
    <row r="103" spans="1:11">
      <c r="A103" s="41" t="s">
        <v>1052</v>
      </c>
    </row>
    <row r="104" spans="1:11">
      <c r="A104" s="185" t="s">
        <v>19</v>
      </c>
      <c r="B104" s="185" t="s">
        <v>213</v>
      </c>
      <c r="C104" s="185" t="s">
        <v>374</v>
      </c>
      <c r="D104" s="185" t="s">
        <v>627</v>
      </c>
      <c r="E104" s="632" t="s">
        <v>308</v>
      </c>
      <c r="F104" s="633"/>
    </row>
    <row r="105" spans="1:11">
      <c r="A105" s="82" t="s">
        <v>183</v>
      </c>
      <c r="B105" s="81">
        <v>296000</v>
      </c>
      <c r="C105" s="81"/>
      <c r="D105" s="81">
        <v>296000</v>
      </c>
      <c r="E105" s="630" t="s">
        <v>306</v>
      </c>
      <c r="F105" s="631"/>
    </row>
    <row r="106" spans="1:11">
      <c r="A106" s="82" t="s">
        <v>67</v>
      </c>
      <c r="B106" s="81">
        <v>242836</v>
      </c>
      <c r="C106" s="82">
        <v>37070</v>
      </c>
      <c r="D106" s="81">
        <f>B106-C106</f>
        <v>205766</v>
      </c>
      <c r="E106" s="630"/>
      <c r="F106" s="631"/>
    </row>
    <row r="107" spans="1:11">
      <c r="A107" s="82" t="s">
        <v>437</v>
      </c>
      <c r="B107" s="81">
        <v>310436</v>
      </c>
      <c r="C107" s="82">
        <v>20280</v>
      </c>
      <c r="D107" s="81">
        <f>B107-C107</f>
        <v>290156</v>
      </c>
      <c r="E107" s="630" t="s">
        <v>703</v>
      </c>
      <c r="F107" s="631"/>
    </row>
    <row r="108" spans="1:11">
      <c r="A108" s="82" t="s">
        <v>809</v>
      </c>
      <c r="B108" s="81">
        <v>143505</v>
      </c>
      <c r="C108" s="82">
        <v>0</v>
      </c>
      <c r="D108" s="81">
        <f>B108-C108</f>
        <v>143505</v>
      </c>
      <c r="E108" s="630" t="s">
        <v>1060</v>
      </c>
      <c r="F108" s="631"/>
    </row>
  </sheetData>
  <mergeCells count="5">
    <mergeCell ref="E107:F107"/>
    <mergeCell ref="E105:F105"/>
    <mergeCell ref="E106:F106"/>
    <mergeCell ref="E104:F104"/>
    <mergeCell ref="E108: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3C89D-80B2-4ED6-909F-678B3AACBD60}">
  <dimension ref="A4:AE30"/>
  <sheetViews>
    <sheetView workbookViewId="0">
      <selection activeCell="E34" sqref="E34"/>
    </sheetView>
  </sheetViews>
  <sheetFormatPr defaultRowHeight="14.25"/>
  <sheetData>
    <row r="4" spans="1:31" ht="15">
      <c r="A4" s="109" t="s">
        <v>731</v>
      </c>
      <c r="B4" s="109"/>
      <c r="C4" s="113" t="s">
        <v>1342</v>
      </c>
      <c r="D4" s="221" t="s">
        <v>444</v>
      </c>
      <c r="E4" s="113">
        <v>9899855865</v>
      </c>
      <c r="F4" s="221" t="s">
        <v>1343</v>
      </c>
      <c r="G4" s="221"/>
      <c r="H4" s="113"/>
      <c r="I4" s="113"/>
      <c r="J4" s="113"/>
      <c r="K4" s="113"/>
      <c r="L4" s="113"/>
      <c r="M4" s="113"/>
      <c r="N4" s="113"/>
      <c r="O4" s="113"/>
      <c r="P4" s="113"/>
      <c r="Q4" s="113"/>
      <c r="R4" s="113"/>
      <c r="S4" s="231"/>
      <c r="T4" s="231"/>
      <c r="U4" s="231"/>
      <c r="V4" s="231"/>
      <c r="W4" s="231"/>
      <c r="X4" s="113"/>
      <c r="Y4" s="113"/>
      <c r="Z4" s="113"/>
      <c r="AA4" s="113"/>
      <c r="AB4" s="113"/>
      <c r="AC4" s="113"/>
    </row>
    <row r="5" spans="1:31" ht="15">
      <c r="A5" s="109" t="s">
        <v>25</v>
      </c>
      <c r="B5" s="109" t="s">
        <v>407</v>
      </c>
      <c r="C5" s="113" t="s">
        <v>400</v>
      </c>
      <c r="D5" s="113" t="s">
        <v>411</v>
      </c>
      <c r="E5" s="113" t="s">
        <v>285</v>
      </c>
      <c r="F5" s="221" t="s">
        <v>394</v>
      </c>
      <c r="G5" s="221" t="s">
        <v>406</v>
      </c>
      <c r="H5" s="113" t="s">
        <v>181</v>
      </c>
      <c r="I5" s="110" t="s">
        <v>1</v>
      </c>
      <c r="J5" s="110"/>
      <c r="K5" s="113" t="s">
        <v>399</v>
      </c>
      <c r="L5" s="113" t="s">
        <v>395</v>
      </c>
      <c r="M5" s="113"/>
      <c r="N5" s="113" t="s">
        <v>402</v>
      </c>
      <c r="O5" s="113" t="s">
        <v>415</v>
      </c>
      <c r="P5" s="118" t="s">
        <v>396</v>
      </c>
      <c r="Q5" s="118"/>
      <c r="R5" s="118"/>
      <c r="S5" s="118" t="s">
        <v>397</v>
      </c>
      <c r="T5" s="231" t="s">
        <v>398</v>
      </c>
      <c r="U5" s="231" t="s">
        <v>2</v>
      </c>
      <c r="V5" s="231" t="s">
        <v>401</v>
      </c>
      <c r="W5" s="231"/>
      <c r="X5" s="189" t="s">
        <v>722</v>
      </c>
      <c r="Y5" s="189"/>
      <c r="Z5" s="189"/>
      <c r="AA5" s="113" t="s">
        <v>403</v>
      </c>
      <c r="AB5" s="109" t="s">
        <v>404</v>
      </c>
      <c r="AC5" s="109" t="s">
        <v>308</v>
      </c>
    </row>
    <row r="6" spans="1:31" ht="15.75">
      <c r="A6" s="206">
        <v>1</v>
      </c>
      <c r="B6" s="214" t="s">
        <v>732</v>
      </c>
      <c r="C6" s="208">
        <v>44197</v>
      </c>
      <c r="D6" s="209" t="s">
        <v>136</v>
      </c>
      <c r="E6" s="206" t="s">
        <v>416</v>
      </c>
      <c r="F6" s="226" t="s">
        <v>184</v>
      </c>
      <c r="G6" s="207" t="s">
        <v>58</v>
      </c>
      <c r="H6" s="209" t="s">
        <v>410</v>
      </c>
      <c r="I6" s="219" t="s">
        <v>734</v>
      </c>
      <c r="J6" s="219"/>
      <c r="K6" s="210">
        <v>43506</v>
      </c>
      <c r="L6" s="209" t="s">
        <v>182</v>
      </c>
      <c r="M6" s="209"/>
      <c r="N6" s="206">
        <v>10000</v>
      </c>
      <c r="O6" s="206">
        <v>10</v>
      </c>
      <c r="P6" s="211">
        <f>N6*O6</f>
        <v>100000</v>
      </c>
      <c r="Q6" s="211"/>
      <c r="R6" s="211"/>
      <c r="S6" s="211"/>
      <c r="T6" s="211"/>
      <c r="U6" s="211"/>
      <c r="V6" s="211">
        <v>113197</v>
      </c>
      <c r="W6" s="211"/>
      <c r="X6" s="198">
        <f>(V6-P6)/P6</f>
        <v>0.13197</v>
      </c>
      <c r="Y6" s="198"/>
      <c r="Z6" s="198"/>
      <c r="AA6" s="206"/>
      <c r="AB6" s="212" t="s">
        <v>733</v>
      </c>
      <c r="AC6" s="209" t="s">
        <v>737</v>
      </c>
    </row>
    <row r="7" spans="1:31" ht="15">
      <c r="A7" s="206">
        <v>2</v>
      </c>
      <c r="B7" s="213" t="s">
        <v>736</v>
      </c>
      <c r="C7" s="208">
        <v>44197</v>
      </c>
      <c r="D7" s="209" t="s">
        <v>136</v>
      </c>
      <c r="E7" s="206" t="s">
        <v>416</v>
      </c>
      <c r="F7" s="226" t="s">
        <v>184</v>
      </c>
      <c r="G7" s="207" t="s">
        <v>58</v>
      </c>
      <c r="H7" s="209" t="s">
        <v>410</v>
      </c>
      <c r="I7" s="207" t="s">
        <v>735</v>
      </c>
      <c r="J7" s="207"/>
      <c r="K7" s="210">
        <v>43493</v>
      </c>
      <c r="L7" s="209" t="s">
        <v>182</v>
      </c>
      <c r="M7" s="209"/>
      <c r="N7" s="206">
        <v>10000</v>
      </c>
      <c r="O7" s="206">
        <v>11</v>
      </c>
      <c r="P7" s="211">
        <f>N7*O7</f>
        <v>110000</v>
      </c>
      <c r="Q7" s="211"/>
      <c r="R7" s="211"/>
      <c r="S7" s="211"/>
      <c r="T7" s="211"/>
      <c r="U7" s="211"/>
      <c r="V7" s="211">
        <v>147465</v>
      </c>
      <c r="W7" s="211"/>
      <c r="X7" s="197">
        <f>(V7-P7)/P7</f>
        <v>0.34059090909090911</v>
      </c>
      <c r="Y7" s="197"/>
      <c r="Z7" s="197"/>
      <c r="AA7" s="206"/>
      <c r="AB7" s="206"/>
      <c r="AC7" s="209" t="s">
        <v>737</v>
      </c>
      <c r="AD7" t="s">
        <v>756</v>
      </c>
    </row>
    <row r="8" spans="1:31" ht="15.75">
      <c r="A8" s="206">
        <v>3</v>
      </c>
      <c r="B8" s="213" t="s">
        <v>738</v>
      </c>
      <c r="C8" s="208">
        <v>44927</v>
      </c>
      <c r="D8" s="209" t="s">
        <v>136</v>
      </c>
      <c r="E8" s="206" t="s">
        <v>408</v>
      </c>
      <c r="F8" s="226" t="s">
        <v>14</v>
      </c>
      <c r="G8" s="207" t="s">
        <v>58</v>
      </c>
      <c r="H8" s="209" t="s">
        <v>410</v>
      </c>
      <c r="I8" s="290" t="s">
        <v>740</v>
      </c>
      <c r="J8" s="207"/>
      <c r="K8" s="210">
        <v>43493</v>
      </c>
      <c r="L8" s="209" t="s">
        <v>182</v>
      </c>
      <c r="M8" s="209"/>
      <c r="N8" s="206">
        <v>10000</v>
      </c>
      <c r="O8" s="206">
        <v>8</v>
      </c>
      <c r="P8" s="211">
        <f>N8*O8</f>
        <v>80000</v>
      </c>
      <c r="Q8" s="211"/>
      <c r="R8" s="211"/>
      <c r="S8" s="211"/>
      <c r="T8" s="211"/>
      <c r="U8" s="211"/>
      <c r="V8" s="211">
        <v>106507</v>
      </c>
      <c r="W8" s="205"/>
      <c r="X8" s="271">
        <v>0.34</v>
      </c>
      <c r="Y8" s="117"/>
      <c r="Z8" s="117"/>
      <c r="AA8" s="117"/>
      <c r="AB8" s="204" t="s">
        <v>742</v>
      </c>
      <c r="AC8" s="270" t="s">
        <v>1034</v>
      </c>
    </row>
    <row r="9" spans="1:31" ht="15">
      <c r="A9" s="206">
        <v>4</v>
      </c>
      <c r="B9" s="213" t="s">
        <v>739</v>
      </c>
      <c r="C9" s="208">
        <v>44805</v>
      </c>
      <c r="D9" s="209" t="s">
        <v>136</v>
      </c>
      <c r="E9" s="206" t="s">
        <v>408</v>
      </c>
      <c r="F9" s="226" t="s">
        <v>14</v>
      </c>
      <c r="G9" s="207" t="s">
        <v>58</v>
      </c>
      <c r="H9" s="209" t="s">
        <v>410</v>
      </c>
      <c r="I9" s="291" t="s">
        <v>741</v>
      </c>
      <c r="J9" s="207"/>
      <c r="K9" s="210">
        <v>43493</v>
      </c>
      <c r="L9" s="209" t="s">
        <v>182</v>
      </c>
      <c r="M9" s="209"/>
      <c r="N9" s="206">
        <v>10000</v>
      </c>
      <c r="O9" s="206">
        <v>8</v>
      </c>
      <c r="P9" s="211">
        <f>N9*O9</f>
        <v>80000</v>
      </c>
      <c r="Q9" s="211"/>
      <c r="R9" s="211"/>
      <c r="S9" s="211"/>
      <c r="T9" s="211"/>
      <c r="U9" s="211"/>
      <c r="V9" s="211">
        <v>116463</v>
      </c>
      <c r="W9" s="205"/>
      <c r="X9" s="271">
        <v>0.49</v>
      </c>
      <c r="Y9" s="117"/>
      <c r="Z9" s="117"/>
      <c r="AA9" s="117"/>
      <c r="AB9" s="117"/>
      <c r="AC9" s="270" t="s">
        <v>1033</v>
      </c>
      <c r="AD9" t="s">
        <v>756</v>
      </c>
    </row>
    <row r="10" spans="1:31" ht="15">
      <c r="A10" s="117">
        <v>5</v>
      </c>
      <c r="B10" s="360" t="s">
        <v>1338</v>
      </c>
      <c r="C10" s="356" t="s">
        <v>1335</v>
      </c>
      <c r="D10" s="356" t="s">
        <v>136</v>
      </c>
      <c r="E10" s="360" t="s">
        <v>1341</v>
      </c>
      <c r="F10" s="220"/>
      <c r="G10" s="220"/>
      <c r="H10" s="220"/>
      <c r="I10" s="220">
        <v>37949346</v>
      </c>
      <c r="J10" s="220"/>
      <c r="K10" s="356" t="s">
        <v>1328</v>
      </c>
      <c r="L10" s="220"/>
      <c r="M10" s="220"/>
      <c r="N10" s="220"/>
      <c r="O10" s="220"/>
      <c r="P10" s="220"/>
      <c r="Q10" s="220"/>
      <c r="R10" s="220"/>
      <c r="S10" s="220"/>
      <c r="T10" s="360"/>
      <c r="U10" s="220"/>
      <c r="V10" s="220"/>
      <c r="W10" s="220"/>
      <c r="X10" s="220"/>
      <c r="Y10" s="220"/>
      <c r="Z10" s="220"/>
      <c r="AA10" s="220"/>
      <c r="AB10" s="360" t="s">
        <v>419</v>
      </c>
      <c r="AC10" s="220" t="s">
        <v>1329</v>
      </c>
      <c r="AE10" t="s">
        <v>1339</v>
      </c>
    </row>
    <row r="11" spans="1:31" ht="15">
      <c r="A11" s="117">
        <v>6</v>
      </c>
      <c r="B11" s="356" t="s">
        <v>1081</v>
      </c>
      <c r="C11" s="356" t="s">
        <v>1336</v>
      </c>
      <c r="D11" s="356" t="s">
        <v>136</v>
      </c>
      <c r="E11" s="220"/>
      <c r="F11" s="220"/>
      <c r="G11" s="220"/>
      <c r="H11" s="220"/>
      <c r="I11" s="220"/>
      <c r="J11" s="220"/>
      <c r="K11" s="356" t="s">
        <v>1328</v>
      </c>
      <c r="L11" s="220"/>
      <c r="M11" s="220"/>
      <c r="N11" s="220"/>
      <c r="O11" s="220"/>
      <c r="P11" s="220"/>
      <c r="Q11" s="220"/>
      <c r="R11" s="220"/>
      <c r="S11" s="220"/>
      <c r="T11" s="220"/>
      <c r="U11" s="220"/>
      <c r="V11" s="220"/>
      <c r="W11" s="220"/>
      <c r="X11" s="220"/>
      <c r="Y11" s="220"/>
      <c r="Z11" s="220"/>
      <c r="AA11" s="220"/>
      <c r="AB11" s="356" t="s">
        <v>1334</v>
      </c>
      <c r="AC11" s="220" t="s">
        <v>1337</v>
      </c>
    </row>
    <row r="12" spans="1:31" ht="15">
      <c r="A12" s="117">
        <v>7</v>
      </c>
      <c r="B12" s="360" t="s">
        <v>1340</v>
      </c>
      <c r="C12" s="356" t="s">
        <v>1335</v>
      </c>
      <c r="D12" s="356" t="s">
        <v>136</v>
      </c>
      <c r="E12" s="220"/>
      <c r="F12" s="220"/>
      <c r="G12" s="220"/>
      <c r="H12" s="220"/>
      <c r="I12" s="220"/>
      <c r="J12" s="220"/>
      <c r="K12" s="356"/>
      <c r="L12" s="220"/>
      <c r="M12" s="220"/>
      <c r="N12" s="220"/>
      <c r="O12" s="220"/>
      <c r="P12" s="220"/>
      <c r="Q12" s="220"/>
      <c r="R12" s="220"/>
      <c r="S12" s="220"/>
      <c r="T12" s="220"/>
      <c r="U12" s="220"/>
      <c r="V12" s="220"/>
      <c r="W12" s="220"/>
      <c r="X12" s="220"/>
      <c r="Y12" s="220"/>
      <c r="Z12" s="220"/>
      <c r="AA12" s="220"/>
      <c r="AB12" s="356"/>
      <c r="AC12" s="220"/>
    </row>
    <row r="13" spans="1:31" ht="15">
      <c r="A13" s="220"/>
      <c r="B13" s="220"/>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row>
    <row r="14" spans="1:31" ht="15">
      <c r="A14" s="117"/>
      <c r="B14" s="283" t="s">
        <v>1057</v>
      </c>
      <c r="C14" s="117"/>
      <c r="D14" s="117"/>
      <c r="E14" s="117"/>
      <c r="F14" s="220"/>
      <c r="G14" s="220"/>
      <c r="H14" s="117"/>
      <c r="I14" s="117"/>
      <c r="J14" s="117"/>
      <c r="K14" s="117"/>
      <c r="L14" s="117"/>
      <c r="M14" s="117"/>
      <c r="N14" s="117">
        <v>7000</v>
      </c>
      <c r="O14" s="117">
        <v>24</v>
      </c>
      <c r="P14" s="117">
        <f>N14*O14</f>
        <v>168000</v>
      </c>
      <c r="Q14" s="117"/>
      <c r="R14" s="117"/>
      <c r="S14" s="205"/>
      <c r="T14" s="205"/>
      <c r="U14" s="205"/>
      <c r="V14" s="205"/>
      <c r="W14" s="205"/>
      <c r="X14" s="117"/>
      <c r="Y14" s="117"/>
      <c r="Z14" s="117"/>
      <c r="AA14" s="117"/>
      <c r="AB14" s="117"/>
      <c r="AC14" s="117"/>
    </row>
    <row r="15" spans="1:31" ht="15">
      <c r="A15" s="117"/>
      <c r="B15" s="283" t="s">
        <v>1058</v>
      </c>
      <c r="C15" s="117"/>
      <c r="D15" s="117"/>
      <c r="E15" s="117"/>
      <c r="F15" s="220"/>
      <c r="G15" s="220"/>
      <c r="H15" s="117"/>
      <c r="I15" s="117"/>
      <c r="J15" s="117"/>
      <c r="K15" s="117"/>
      <c r="L15" s="117"/>
      <c r="M15" s="117"/>
      <c r="N15" s="117"/>
      <c r="O15" s="117"/>
      <c r="P15" s="117"/>
      <c r="Q15" s="117"/>
      <c r="R15" s="117"/>
      <c r="S15" s="205"/>
      <c r="T15" s="205"/>
      <c r="U15" s="205"/>
      <c r="V15" s="205"/>
      <c r="W15" s="205"/>
      <c r="X15" s="117"/>
      <c r="Y15" s="117"/>
      <c r="Z15" s="117"/>
      <c r="AA15" s="117"/>
      <c r="AB15" s="117"/>
      <c r="AC15" s="117"/>
    </row>
    <row r="16" spans="1:31" ht="15">
      <c r="A16" s="117"/>
      <c r="B16" s="356" t="s">
        <v>759</v>
      </c>
      <c r="C16" s="117"/>
      <c r="D16" s="117"/>
      <c r="E16" s="117"/>
      <c r="F16" s="220"/>
      <c r="G16" s="220"/>
      <c r="H16" s="117"/>
      <c r="I16" s="117"/>
      <c r="J16" s="117"/>
      <c r="K16" s="117"/>
      <c r="L16" s="117"/>
      <c r="M16" s="117"/>
      <c r="N16" s="117"/>
      <c r="O16" s="117"/>
      <c r="P16" s="117"/>
      <c r="Q16" s="117"/>
      <c r="R16" s="117"/>
      <c r="S16" s="205"/>
      <c r="T16" s="205"/>
      <c r="U16" s="205"/>
      <c r="V16" s="205"/>
      <c r="W16" s="205"/>
      <c r="X16" s="117"/>
      <c r="Y16" s="117"/>
      <c r="Z16" s="117"/>
      <c r="AA16" s="117"/>
      <c r="AB16" s="117"/>
      <c r="AC16" s="117"/>
    </row>
    <row r="25" spans="2:9">
      <c r="B25" s="349" t="s">
        <v>1325</v>
      </c>
      <c r="C25" s="350" t="s">
        <v>1316</v>
      </c>
      <c r="D25" s="349"/>
      <c r="E25" s="353">
        <v>55</v>
      </c>
      <c r="F25" s="349">
        <v>0</v>
      </c>
      <c r="G25" s="349" t="s">
        <v>1321</v>
      </c>
      <c r="H25" s="87" t="s">
        <v>1326</v>
      </c>
    </row>
    <row r="26" spans="2:9">
      <c r="B26" s="349"/>
      <c r="C26" s="350" t="s">
        <v>1317</v>
      </c>
      <c r="D26" s="349"/>
      <c r="E26" s="349">
        <v>42</v>
      </c>
      <c r="F26" s="349">
        <v>24</v>
      </c>
      <c r="G26" s="349" t="s">
        <v>1321</v>
      </c>
      <c r="H26" s="87"/>
    </row>
    <row r="27" spans="2:9">
      <c r="B27" s="349"/>
      <c r="C27" s="350" t="s">
        <v>1318</v>
      </c>
      <c r="D27" s="349"/>
      <c r="E27" s="353">
        <v>70</v>
      </c>
      <c r="F27" s="349">
        <v>32</v>
      </c>
      <c r="G27" s="349" t="s">
        <v>1320</v>
      </c>
      <c r="H27" s="358" t="s">
        <v>1326</v>
      </c>
      <c r="I27" t="s">
        <v>1345</v>
      </c>
    </row>
    <row r="28" spans="2:9">
      <c r="B28" s="349"/>
      <c r="C28" s="350" t="s">
        <v>1319</v>
      </c>
      <c r="D28" s="349"/>
      <c r="E28" s="349">
        <v>55</v>
      </c>
      <c r="F28" s="349">
        <v>27</v>
      </c>
      <c r="G28" s="349" t="s">
        <v>1320</v>
      </c>
      <c r="H28" s="87"/>
    </row>
    <row r="29" spans="2:9">
      <c r="B29" s="349"/>
      <c r="C29" s="355" t="s">
        <v>1322</v>
      </c>
      <c r="D29" s="351"/>
      <c r="E29" s="349">
        <v>61</v>
      </c>
      <c r="F29" s="349">
        <v>26</v>
      </c>
      <c r="G29" s="349" t="s">
        <v>1323</v>
      </c>
      <c r="H29" s="358" t="s">
        <v>1326</v>
      </c>
      <c r="I29" t="s">
        <v>1345</v>
      </c>
    </row>
    <row r="30" spans="2:9">
      <c r="B30" s="349"/>
      <c r="C30" s="357" t="s">
        <v>1324</v>
      </c>
      <c r="D30" s="351"/>
      <c r="E30" s="354">
        <v>59</v>
      </c>
      <c r="F30" s="352">
        <v>30</v>
      </c>
      <c r="G30" s="352" t="s">
        <v>1323</v>
      </c>
      <c r="H30" s="359" t="s">
        <v>1327</v>
      </c>
      <c r="I30" t="s">
        <v>1344</v>
      </c>
    </row>
  </sheetData>
  <hyperlinks>
    <hyperlink ref="C30" r:id="rId1" xr:uid="{425AC3B3-2CDB-44F6-9F56-BE267C7DD37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0C9CE-5667-4D4B-93D3-1236D59E6B44}">
  <dimension ref="A1:O27"/>
  <sheetViews>
    <sheetView zoomScaleNormal="100" workbookViewId="0">
      <selection activeCell="E32" sqref="E32"/>
    </sheetView>
  </sheetViews>
  <sheetFormatPr defaultColWidth="10.625" defaultRowHeight="14.25"/>
  <cols>
    <col min="1" max="1" width="6" customWidth="1"/>
    <col min="2" max="2" width="12.375" customWidth="1"/>
    <col min="3" max="3" width="11.875" customWidth="1"/>
    <col min="4" max="4" width="6.5" customWidth="1"/>
    <col min="5" max="6" width="12.875" customWidth="1"/>
    <col min="7" max="7" width="9.5" customWidth="1"/>
    <col min="8" max="8" width="13" customWidth="1"/>
    <col min="9" max="9" width="11.75" customWidth="1"/>
    <col min="10" max="10" width="8.625" customWidth="1"/>
    <col min="11" max="11" width="17.75" customWidth="1"/>
    <col min="12" max="12" width="10.125" bestFit="1" customWidth="1"/>
    <col min="13" max="13" width="9.75" customWidth="1"/>
    <col min="14" max="14" width="17.375" customWidth="1"/>
    <col min="15" max="15" width="13.5" customWidth="1"/>
  </cols>
  <sheetData>
    <row r="1" spans="1:15" ht="15">
      <c r="A1" s="477" t="s">
        <v>979</v>
      </c>
    </row>
    <row r="2" spans="1:15" ht="15">
      <c r="F2" s="464" t="s">
        <v>1574</v>
      </c>
      <c r="H2" s="481" t="s">
        <v>1569</v>
      </c>
      <c r="J2" s="481" t="s">
        <v>1569</v>
      </c>
    </row>
    <row r="3" spans="1:15" ht="15">
      <c r="A3" s="376" t="s">
        <v>25</v>
      </c>
      <c r="B3" s="376" t="s">
        <v>985</v>
      </c>
      <c r="C3" s="376" t="s">
        <v>978</v>
      </c>
      <c r="D3" s="376" t="s">
        <v>977</v>
      </c>
      <c r="E3" s="376" t="s">
        <v>998</v>
      </c>
      <c r="F3" s="376" t="s">
        <v>1572</v>
      </c>
      <c r="G3" s="376" t="s">
        <v>1098</v>
      </c>
      <c r="H3" s="376" t="s">
        <v>1099</v>
      </c>
      <c r="I3" s="376" t="s">
        <v>1103</v>
      </c>
      <c r="J3" s="376" t="s">
        <v>1571</v>
      </c>
      <c r="K3" s="376" t="s">
        <v>1575</v>
      </c>
      <c r="L3" s="376" t="s">
        <v>1055</v>
      </c>
      <c r="M3" s="376" t="s">
        <v>1568</v>
      </c>
      <c r="N3" s="376" t="s">
        <v>1570</v>
      </c>
      <c r="O3" s="376" t="s">
        <v>308</v>
      </c>
    </row>
    <row r="4" spans="1:15" ht="15">
      <c r="A4" s="464">
        <v>1</v>
      </c>
      <c r="B4" s="464">
        <v>1</v>
      </c>
      <c r="C4" s="464" t="s">
        <v>967</v>
      </c>
      <c r="D4" s="464" t="s">
        <v>968</v>
      </c>
      <c r="E4" s="478">
        <v>1.2500000000000001E-2</v>
      </c>
      <c r="F4" s="483">
        <v>0</v>
      </c>
      <c r="G4" s="478">
        <v>19733</v>
      </c>
      <c r="H4" s="491">
        <v>49250</v>
      </c>
      <c r="I4" s="478">
        <v>250</v>
      </c>
      <c r="J4" s="478"/>
      <c r="K4" s="478"/>
      <c r="L4" s="478"/>
      <c r="M4" s="492">
        <f t="shared" ref="M4:M11" si="0">(H4-G4)/G4</f>
        <v>1.4958191861349008</v>
      </c>
      <c r="N4" s="63"/>
      <c r="O4" s="464" t="s">
        <v>1104</v>
      </c>
    </row>
    <row r="5" spans="1:15" ht="15">
      <c r="A5" s="464"/>
      <c r="B5" s="464"/>
      <c r="C5" s="464"/>
      <c r="D5" s="464"/>
      <c r="E5" s="478">
        <v>9.0999999999999998E-2</v>
      </c>
      <c r="F5" s="478"/>
      <c r="G5" s="478">
        <v>24430</v>
      </c>
      <c r="H5" s="491">
        <v>49250</v>
      </c>
      <c r="I5" s="478">
        <v>2250</v>
      </c>
      <c r="J5" s="478"/>
      <c r="K5" s="478"/>
      <c r="L5" s="478"/>
      <c r="M5" s="492">
        <f t="shared" si="0"/>
        <v>1.015963978714695</v>
      </c>
      <c r="N5" s="63"/>
      <c r="O5" s="464" t="s">
        <v>1100</v>
      </c>
    </row>
    <row r="6" spans="1:15" ht="15">
      <c r="A6" s="464">
        <f>A4+1</f>
        <v>2</v>
      </c>
      <c r="B6" s="464">
        <v>2</v>
      </c>
      <c r="C6" s="464" t="s">
        <v>975</v>
      </c>
      <c r="D6" s="464" t="s">
        <v>976</v>
      </c>
      <c r="E6" s="478">
        <v>0.185</v>
      </c>
      <c r="F6" s="483">
        <v>0</v>
      </c>
      <c r="G6" s="478">
        <v>1330</v>
      </c>
      <c r="H6" s="491">
        <v>2073</v>
      </c>
      <c r="I6" s="478">
        <v>250</v>
      </c>
      <c r="J6" s="478"/>
      <c r="K6" s="478"/>
      <c r="L6" s="478"/>
      <c r="M6" s="493">
        <f t="shared" si="0"/>
        <v>0.55864661654135339</v>
      </c>
      <c r="N6" s="63"/>
      <c r="O6" s="464" t="s">
        <v>1102</v>
      </c>
    </row>
    <row r="7" spans="1:15" ht="15">
      <c r="A7" s="464"/>
      <c r="B7" s="464"/>
      <c r="C7" s="464"/>
      <c r="D7" s="464"/>
      <c r="E7" s="478">
        <v>1.4330000000000001</v>
      </c>
      <c r="F7" s="478"/>
      <c r="G7" s="478">
        <v>1547</v>
      </c>
      <c r="H7" s="491">
        <v>2073</v>
      </c>
      <c r="I7" s="478">
        <v>2250</v>
      </c>
      <c r="J7" s="478"/>
      <c r="K7" s="478"/>
      <c r="L7" s="478"/>
      <c r="M7" s="493">
        <f t="shared" si="0"/>
        <v>0.34001292824822238</v>
      </c>
      <c r="N7" s="63"/>
      <c r="O7" s="464" t="s">
        <v>1101</v>
      </c>
    </row>
    <row r="8" spans="1:15" ht="15">
      <c r="A8" s="464">
        <f>A6+1</f>
        <v>3</v>
      </c>
      <c r="B8" s="464">
        <v>7</v>
      </c>
      <c r="C8" s="464" t="s">
        <v>969</v>
      </c>
      <c r="D8" s="464" t="s">
        <v>970</v>
      </c>
      <c r="E8" s="478">
        <v>5.7</v>
      </c>
      <c r="F8" s="483">
        <v>0.37</v>
      </c>
      <c r="G8" s="478">
        <v>34.64</v>
      </c>
      <c r="H8" s="491">
        <v>117</v>
      </c>
      <c r="I8" s="478">
        <v>200</v>
      </c>
      <c r="J8" s="478"/>
      <c r="K8" s="478"/>
      <c r="L8" s="478"/>
      <c r="M8" s="479">
        <f t="shared" si="0"/>
        <v>2.3775981524249423</v>
      </c>
      <c r="N8" s="63"/>
      <c r="O8" s="464" t="s">
        <v>1578</v>
      </c>
    </row>
    <row r="9" spans="1:15" ht="15">
      <c r="A9" s="464"/>
      <c r="B9" s="464"/>
      <c r="C9" s="464"/>
      <c r="D9" s="464"/>
      <c r="E9" s="478">
        <v>10.210000000000001</v>
      </c>
      <c r="F9" s="478"/>
      <c r="G9" s="478">
        <v>19.3</v>
      </c>
      <c r="H9" s="491">
        <v>117</v>
      </c>
      <c r="I9" s="478">
        <v>200</v>
      </c>
      <c r="J9" s="478"/>
      <c r="K9" s="478"/>
      <c r="L9" s="478"/>
      <c r="M9" s="479">
        <f t="shared" si="0"/>
        <v>5.062176165803109</v>
      </c>
      <c r="N9" s="63"/>
      <c r="O9" s="464" t="s">
        <v>1105</v>
      </c>
    </row>
    <row r="10" spans="1:15" ht="15">
      <c r="A10" s="464">
        <f>A11+1</f>
        <v>5</v>
      </c>
      <c r="B10" s="464">
        <v>6</v>
      </c>
      <c r="C10" s="464" t="s">
        <v>973</v>
      </c>
      <c r="D10" s="464" t="s">
        <v>974</v>
      </c>
      <c r="E10" s="478" t="s">
        <v>989</v>
      </c>
      <c r="F10" s="483">
        <v>0.99</v>
      </c>
      <c r="G10" s="478">
        <v>0.45</v>
      </c>
      <c r="H10" s="491">
        <v>0.31</v>
      </c>
      <c r="I10" s="478">
        <v>200</v>
      </c>
      <c r="J10" s="482">
        <f>H10*E10</f>
        <v>135.78</v>
      </c>
      <c r="K10" s="482"/>
      <c r="L10" s="478"/>
      <c r="M10" s="480">
        <f t="shared" si="0"/>
        <v>-0.31111111111111112</v>
      </c>
      <c r="N10" s="63"/>
      <c r="O10" s="464" t="s">
        <v>986</v>
      </c>
    </row>
    <row r="11" spans="1:15" ht="15">
      <c r="A11" s="484">
        <f>A8+1</f>
        <v>4</v>
      </c>
      <c r="B11" s="484">
        <v>13</v>
      </c>
      <c r="C11" s="484" t="s">
        <v>972</v>
      </c>
      <c r="D11" s="484" t="s">
        <v>971</v>
      </c>
      <c r="E11" s="485" t="s">
        <v>991</v>
      </c>
      <c r="F11" s="486">
        <v>0</v>
      </c>
      <c r="G11" s="485">
        <v>17.21</v>
      </c>
      <c r="H11" s="485">
        <v>20.6</v>
      </c>
      <c r="I11" s="485">
        <v>200</v>
      </c>
      <c r="J11" s="487">
        <f>H11*E11</f>
        <v>235.87</v>
      </c>
      <c r="K11" s="487">
        <v>232</v>
      </c>
      <c r="L11" s="487">
        <f>K11-I11</f>
        <v>32</v>
      </c>
      <c r="M11" s="488">
        <f t="shared" si="0"/>
        <v>0.1969785008715863</v>
      </c>
      <c r="N11" s="484" t="s">
        <v>1573</v>
      </c>
      <c r="O11" s="484" t="s">
        <v>990</v>
      </c>
    </row>
    <row r="12" spans="1:15" ht="15">
      <c r="A12" s="484"/>
      <c r="B12" s="484"/>
      <c r="C12" s="484" t="s">
        <v>975</v>
      </c>
      <c r="D12" s="484"/>
      <c r="E12" s="485"/>
      <c r="F12" s="486"/>
      <c r="G12" s="485"/>
      <c r="H12" s="485"/>
      <c r="I12" s="485"/>
      <c r="J12" s="487"/>
      <c r="K12" s="487">
        <v>2462</v>
      </c>
      <c r="L12" s="487"/>
      <c r="M12" s="488"/>
      <c r="N12" s="484"/>
      <c r="O12" s="484"/>
    </row>
    <row r="13" spans="1:15" ht="15">
      <c r="A13" s="464"/>
      <c r="B13" s="464"/>
      <c r="C13" s="464"/>
      <c r="D13" s="464"/>
      <c r="E13" s="478"/>
      <c r="F13" s="478"/>
      <c r="G13" s="478"/>
      <c r="H13" s="478"/>
      <c r="I13" s="489">
        <f>SUM(I4:I11)</f>
        <v>5800</v>
      </c>
      <c r="J13" s="478"/>
      <c r="K13" s="482">
        <f>SUM(K11:K12)</f>
        <v>2694</v>
      </c>
      <c r="L13" s="478">
        <f>L10+L11</f>
        <v>32</v>
      </c>
      <c r="M13" s="244"/>
      <c r="N13" s="464"/>
      <c r="O13" s="63"/>
    </row>
    <row r="14" spans="1:15" ht="15">
      <c r="A14" s="186"/>
    </row>
    <row r="16" spans="1:15" ht="15">
      <c r="B16" s="463" t="s">
        <v>1577</v>
      </c>
      <c r="C16" s="384"/>
      <c r="D16" s="590">
        <f>I13-K13</f>
        <v>3106</v>
      </c>
    </row>
    <row r="17" spans="1:10" ht="15">
      <c r="B17" s="463" t="s">
        <v>1846</v>
      </c>
      <c r="C17" s="63"/>
      <c r="D17" s="490" t="s">
        <v>1847</v>
      </c>
    </row>
    <row r="19" spans="1:10" ht="15">
      <c r="A19" s="376" t="s">
        <v>1670</v>
      </c>
    </row>
    <row r="20" spans="1:10" ht="15">
      <c r="A20" s="464" t="s">
        <v>1668</v>
      </c>
    </row>
    <row r="21" spans="1:10" ht="15">
      <c r="A21" s="464" t="s">
        <v>1669</v>
      </c>
    </row>
    <row r="23" spans="1:10" ht="15">
      <c r="A23" s="459" t="s">
        <v>1662</v>
      </c>
      <c r="B23" s="459"/>
    </row>
    <row r="24" spans="1:10" ht="15">
      <c r="A24" s="376" t="s">
        <v>25</v>
      </c>
      <c r="B24" s="376" t="s">
        <v>978</v>
      </c>
      <c r="C24" s="376" t="s">
        <v>1666</v>
      </c>
      <c r="D24" s="376" t="s">
        <v>308</v>
      </c>
      <c r="E24" s="63"/>
    </row>
    <row r="25" spans="1:10" ht="15">
      <c r="A25" s="464">
        <v>1</v>
      </c>
      <c r="B25" s="464" t="s">
        <v>972</v>
      </c>
      <c r="C25" s="464">
        <v>232.34</v>
      </c>
      <c r="D25" s="464" t="s">
        <v>1576</v>
      </c>
      <c r="E25" s="464"/>
      <c r="F25" s="519"/>
    </row>
    <row r="26" spans="1:10" ht="15">
      <c r="A26" s="464">
        <v>2</v>
      </c>
      <c r="B26" s="464" t="s">
        <v>1663</v>
      </c>
      <c r="C26" s="464">
        <v>2462</v>
      </c>
      <c r="D26" s="464" t="s">
        <v>1664</v>
      </c>
      <c r="E26" s="464"/>
      <c r="F26" s="519"/>
      <c r="J26" t="s">
        <v>1665</v>
      </c>
    </row>
    <row r="27" spans="1:10" ht="15">
      <c r="A27" s="63"/>
      <c r="B27" s="63"/>
      <c r="C27" s="464" t="s">
        <v>1667</v>
      </c>
      <c r="D27" s="63"/>
      <c r="E27" s="6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24"/>
  <sheetViews>
    <sheetView topLeftCell="A14" zoomScaleNormal="100" workbookViewId="0">
      <selection activeCell="B26" sqref="B26"/>
    </sheetView>
  </sheetViews>
  <sheetFormatPr defaultColWidth="8.875" defaultRowHeight="14.25"/>
  <cols>
    <col min="1" max="1" width="8" style="1" customWidth="1"/>
    <col min="2" max="2" width="16.5" style="1" bestFit="1" customWidth="1"/>
    <col min="3" max="3" width="22.5" style="1" customWidth="1"/>
    <col min="4" max="4" width="14.25" style="1" customWidth="1"/>
    <col min="5" max="5" width="11.875" style="1" customWidth="1"/>
    <col min="6" max="6" width="9.375" style="227" customWidth="1"/>
    <col min="7" max="7" width="9.625" style="1" customWidth="1"/>
    <col min="8" max="8" width="9.875" style="1" customWidth="1"/>
    <col min="9" max="9" width="18.125" style="1" customWidth="1"/>
    <col min="10" max="10" width="13.125" style="1" customWidth="1"/>
    <col min="11" max="11" width="14.875" style="1" customWidth="1"/>
    <col min="12" max="12" width="14" style="1" customWidth="1"/>
    <col min="13" max="13" width="16.125" style="1" customWidth="1"/>
    <col min="14" max="14" width="7" style="1" customWidth="1"/>
    <col min="15" max="15" width="16.375" style="1" customWidth="1"/>
    <col min="16" max="16" width="16.875" style="1" customWidth="1"/>
    <col min="17" max="1024" width="7" style="1" customWidth="1"/>
  </cols>
  <sheetData>
    <row r="1" spans="1:7" ht="15.75">
      <c r="A1" s="614" t="s">
        <v>1302</v>
      </c>
      <c r="B1" s="615"/>
    </row>
    <row r="2" spans="1:7">
      <c r="A2" s="1" t="s">
        <v>850</v>
      </c>
    </row>
    <row r="3" spans="1:7" ht="15.75">
      <c r="A3" s="335" t="s">
        <v>25</v>
      </c>
      <c r="B3" s="335" t="s">
        <v>19</v>
      </c>
      <c r="C3" s="335" t="s">
        <v>34</v>
      </c>
      <c r="D3" s="335" t="s">
        <v>308</v>
      </c>
    </row>
    <row r="4" spans="1:7" ht="15">
      <c r="A4" s="323">
        <v>1</v>
      </c>
      <c r="B4" s="323" t="s">
        <v>22</v>
      </c>
      <c r="C4" s="323">
        <v>40000</v>
      </c>
      <c r="D4" s="323" t="s">
        <v>1303</v>
      </c>
    </row>
    <row r="5" spans="1:7" ht="15">
      <c r="A5" s="339"/>
      <c r="B5" s="339"/>
      <c r="C5" s="339"/>
      <c r="D5" s="339"/>
    </row>
    <row r="6" spans="1:7" ht="15">
      <c r="A6" s="339"/>
      <c r="B6" s="339"/>
      <c r="C6" s="339"/>
      <c r="D6" s="339"/>
    </row>
    <row r="7" spans="1:7" ht="15">
      <c r="A7" s="339"/>
      <c r="B7" s="339"/>
      <c r="C7" s="339"/>
      <c r="D7" s="339"/>
    </row>
    <row r="8" spans="1:7" ht="15.75">
      <c r="A8" s="337" t="s">
        <v>1312</v>
      </c>
      <c r="B8" s="338"/>
      <c r="C8" s="345"/>
    </row>
    <row r="9" spans="1:7" s="11" customFormat="1" ht="15">
      <c r="A9" s="90" t="s">
        <v>49</v>
      </c>
      <c r="B9" s="133" t="s">
        <v>50</v>
      </c>
    </row>
    <row r="10" spans="1:7" s="11" customFormat="1" ht="15"/>
    <row r="11" spans="1:7" s="11" customFormat="1" ht="15.75">
      <c r="A11" s="335" t="s">
        <v>25</v>
      </c>
      <c r="B11" s="335" t="s">
        <v>19</v>
      </c>
      <c r="C11" s="335"/>
      <c r="D11" s="335" t="s">
        <v>57</v>
      </c>
      <c r="E11" s="335" t="s">
        <v>51</v>
      </c>
      <c r="F11" s="335" t="s">
        <v>53</v>
      </c>
      <c r="G11" s="335" t="s">
        <v>111</v>
      </c>
    </row>
    <row r="12" spans="1:7" s="11" customFormat="1" ht="15">
      <c r="A12" s="323">
        <v>1</v>
      </c>
      <c r="B12" s="323" t="s">
        <v>47</v>
      </c>
      <c r="C12" s="323">
        <v>50000</v>
      </c>
      <c r="D12" s="346">
        <v>42522</v>
      </c>
      <c r="E12" s="323" t="s">
        <v>52</v>
      </c>
      <c r="F12" s="323">
        <v>60000</v>
      </c>
      <c r="G12" s="323"/>
    </row>
    <row r="13" spans="1:7" s="11" customFormat="1" ht="15">
      <c r="A13" s="323">
        <v>2</v>
      </c>
      <c r="B13" s="323" t="s">
        <v>48</v>
      </c>
      <c r="C13" s="323">
        <v>1000</v>
      </c>
      <c r="D13" s="346">
        <v>43070</v>
      </c>
      <c r="E13" s="323" t="s">
        <v>52</v>
      </c>
      <c r="F13" s="323"/>
      <c r="G13" s="323"/>
    </row>
    <row r="14" spans="1:7" s="11" customFormat="1" ht="15">
      <c r="A14" s="323">
        <v>3</v>
      </c>
      <c r="B14" s="323" t="s">
        <v>299</v>
      </c>
      <c r="C14" s="323">
        <v>1000</v>
      </c>
      <c r="D14" s="346">
        <v>43435</v>
      </c>
      <c r="E14" s="323" t="s">
        <v>52</v>
      </c>
      <c r="F14" s="323">
        <v>70000</v>
      </c>
      <c r="G14" s="323" t="s">
        <v>305</v>
      </c>
    </row>
    <row r="15" spans="1:7" s="11" customFormat="1" ht="15">
      <c r="A15" s="323">
        <v>4</v>
      </c>
      <c r="B15" s="323" t="s">
        <v>363</v>
      </c>
      <c r="C15" s="323">
        <v>2000</v>
      </c>
      <c r="D15" s="347"/>
      <c r="E15" s="323"/>
      <c r="F15" s="323"/>
      <c r="G15" s="323"/>
    </row>
    <row r="16" spans="1:7" s="11" customFormat="1" ht="15">
      <c r="A16" s="323">
        <v>5</v>
      </c>
      <c r="B16" s="323" t="s">
        <v>653</v>
      </c>
      <c r="C16" s="323">
        <v>50000</v>
      </c>
      <c r="D16" s="346" t="s">
        <v>654</v>
      </c>
      <c r="E16" s="323" t="s">
        <v>52</v>
      </c>
      <c r="F16" s="323"/>
      <c r="G16" s="323"/>
    </row>
    <row r="17" spans="1:1024" s="11" customFormat="1" ht="15">
      <c r="A17" s="323"/>
      <c r="B17" s="323" t="s">
        <v>943</v>
      </c>
      <c r="C17" s="323">
        <v>0</v>
      </c>
      <c r="D17" s="347"/>
      <c r="E17" s="323"/>
      <c r="F17" s="323"/>
      <c r="G17" s="323"/>
    </row>
    <row r="18" spans="1:1024" s="11" customFormat="1" ht="15">
      <c r="A18" s="323">
        <v>6</v>
      </c>
      <c r="B18" s="323" t="s">
        <v>942</v>
      </c>
      <c r="C18" s="323">
        <v>50000</v>
      </c>
      <c r="D18" s="347" t="s">
        <v>944</v>
      </c>
      <c r="E18" s="323" t="s">
        <v>945</v>
      </c>
      <c r="F18" s="323"/>
      <c r="G18" s="323" t="s">
        <v>946</v>
      </c>
    </row>
    <row r="19" spans="1:1024" s="11" customFormat="1" ht="15">
      <c r="A19" s="323"/>
      <c r="B19" s="323"/>
      <c r="C19" s="348">
        <f>SUM(C12:C18)</f>
        <v>154000</v>
      </c>
      <c r="D19" s="347"/>
      <c r="E19" s="323"/>
      <c r="F19" s="323"/>
      <c r="G19" s="323"/>
    </row>
    <row r="20" spans="1:1024" ht="15">
      <c r="A20" s="339"/>
      <c r="B20" s="339"/>
      <c r="C20" s="339"/>
      <c r="D20" s="339"/>
    </row>
    <row r="21" spans="1:1024" ht="15">
      <c r="A21" s="339"/>
      <c r="B21" s="339"/>
      <c r="C21" s="339"/>
      <c r="D21" s="339"/>
    </row>
    <row r="23" spans="1:1024" s="11" customFormat="1" ht="15"/>
    <row r="25" spans="1:1024" ht="15.75">
      <c r="A25" s="614" t="s">
        <v>1305</v>
      </c>
      <c r="B25" s="616"/>
      <c r="C25" s="615"/>
    </row>
    <row r="26" spans="1:1024" ht="15">
      <c r="A26" s="323" t="s">
        <v>559</v>
      </c>
      <c r="B26" s="323" t="s">
        <v>558</v>
      </c>
      <c r="E26" s="8"/>
    </row>
    <row r="27" spans="1:1024" ht="15">
      <c r="A27" s="329" t="s">
        <v>1304</v>
      </c>
      <c r="E27" s="8"/>
    </row>
    <row r="28" spans="1:1024" s="87" customFormat="1" ht="15.75">
      <c r="A28" s="335" t="s">
        <v>487</v>
      </c>
      <c r="B28" s="335" t="s">
        <v>309</v>
      </c>
      <c r="C28" s="335" t="s">
        <v>488</v>
      </c>
      <c r="D28" s="335" t="s">
        <v>499</v>
      </c>
      <c r="E28" s="335" t="s">
        <v>500</v>
      </c>
      <c r="F28" s="335" t="s">
        <v>501</v>
      </c>
      <c r="G28" s="335" t="s">
        <v>628</v>
      </c>
      <c r="H28" s="335" t="s">
        <v>629</v>
      </c>
      <c r="I28" s="335" t="s">
        <v>285</v>
      </c>
      <c r="J28" s="335" t="s">
        <v>111</v>
      </c>
      <c r="K28" s="335" t="s">
        <v>506</v>
      </c>
      <c r="L28" s="335" t="s">
        <v>630</v>
      </c>
      <c r="M28" s="141"/>
      <c r="N28" s="141"/>
      <c r="O28" s="141"/>
      <c r="P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c r="BB28" s="141"/>
      <c r="BC28" s="141"/>
      <c r="BD28" s="141"/>
      <c r="BE28" s="141"/>
      <c r="BF28" s="141"/>
      <c r="BG28" s="141"/>
      <c r="BH28" s="141"/>
      <c r="BI28" s="141"/>
      <c r="BJ28" s="141"/>
      <c r="BK28" s="141"/>
      <c r="BL28" s="141"/>
      <c r="BM28" s="141"/>
      <c r="BN28" s="141"/>
      <c r="BO28" s="141"/>
      <c r="BP28" s="141"/>
      <c r="BQ28" s="141"/>
      <c r="BR28" s="141"/>
      <c r="BS28" s="141"/>
      <c r="BT28" s="141"/>
      <c r="BU28" s="141"/>
      <c r="BV28" s="141"/>
      <c r="BW28" s="141"/>
      <c r="BX28" s="141"/>
      <c r="BY28" s="141"/>
      <c r="BZ28" s="141"/>
      <c r="CA28" s="141"/>
      <c r="CB28" s="141"/>
      <c r="CC28" s="141"/>
      <c r="CD28" s="141"/>
      <c r="CE28" s="141"/>
      <c r="CF28" s="141"/>
      <c r="CG28" s="141"/>
      <c r="CH28" s="141"/>
      <c r="CI28" s="141"/>
      <c r="CJ28" s="141"/>
      <c r="CK28" s="141"/>
      <c r="CL28" s="141"/>
      <c r="CM28" s="141"/>
      <c r="CN28" s="141"/>
      <c r="CO28" s="141"/>
      <c r="CP28" s="141"/>
      <c r="CQ28" s="141"/>
      <c r="CR28" s="141"/>
      <c r="CS28" s="141"/>
      <c r="CT28" s="141"/>
      <c r="CU28" s="141"/>
      <c r="CV28" s="141"/>
      <c r="CW28" s="141"/>
      <c r="CX28" s="141"/>
      <c r="CY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DX28" s="141"/>
      <c r="DY28" s="141"/>
      <c r="DZ28" s="141"/>
      <c r="EA28" s="141"/>
      <c r="EB28" s="141"/>
      <c r="EC28" s="141"/>
      <c r="ED28" s="141"/>
      <c r="EE28" s="141"/>
      <c r="EF28" s="141"/>
      <c r="EG28" s="141"/>
      <c r="EH28" s="141"/>
      <c r="EI28" s="141"/>
      <c r="EJ28" s="141"/>
      <c r="EK28" s="141"/>
      <c r="EL28" s="141"/>
      <c r="EM28" s="141"/>
      <c r="EN28" s="141"/>
      <c r="EO28" s="141"/>
      <c r="EP28" s="141"/>
      <c r="EQ28" s="141"/>
      <c r="ER28" s="141"/>
      <c r="ES28" s="141"/>
      <c r="ET28" s="141"/>
      <c r="EU28" s="141"/>
      <c r="EV28" s="141"/>
      <c r="EW28" s="141"/>
      <c r="EX28" s="141"/>
      <c r="EY28" s="141"/>
      <c r="EZ28" s="141"/>
      <c r="FA28" s="141"/>
      <c r="FB28" s="141"/>
      <c r="FC28" s="141"/>
      <c r="FD28" s="141"/>
      <c r="FE28" s="141"/>
      <c r="FF28" s="141"/>
      <c r="FG28" s="141"/>
      <c r="FH28" s="141"/>
      <c r="FI28" s="141"/>
      <c r="FJ28" s="141"/>
      <c r="FK28" s="141"/>
      <c r="FL28" s="141"/>
      <c r="FM28" s="141"/>
      <c r="FN28" s="141"/>
      <c r="FO28" s="141"/>
      <c r="FP28" s="141"/>
      <c r="FQ28" s="141"/>
      <c r="FR28" s="141"/>
      <c r="FS28" s="141"/>
      <c r="FT28" s="141"/>
      <c r="FU28" s="141"/>
      <c r="FV28" s="141"/>
      <c r="FW28" s="141"/>
      <c r="FX28" s="141"/>
      <c r="FY28" s="141"/>
      <c r="FZ28" s="141"/>
      <c r="GA28" s="141"/>
      <c r="GB28" s="141"/>
      <c r="GC28" s="141"/>
      <c r="GD28" s="141"/>
      <c r="GE28" s="141"/>
      <c r="GF28" s="141"/>
      <c r="GG28" s="141"/>
      <c r="GH28" s="141"/>
      <c r="GI28" s="141"/>
      <c r="GJ28" s="141"/>
      <c r="GK28" s="141"/>
      <c r="GL28" s="141"/>
      <c r="GM28" s="141"/>
      <c r="GN28" s="141"/>
      <c r="GO28" s="141"/>
      <c r="GP28" s="141"/>
      <c r="GQ28" s="141"/>
      <c r="GR28" s="141"/>
      <c r="GS28" s="141"/>
      <c r="GT28" s="141"/>
      <c r="GU28" s="141"/>
      <c r="GV28" s="141"/>
      <c r="GW28" s="141"/>
      <c r="GX28" s="141"/>
      <c r="GY28" s="141"/>
      <c r="GZ28" s="141"/>
      <c r="HA28" s="141"/>
      <c r="HB28" s="141"/>
      <c r="HC28" s="141"/>
      <c r="HD28" s="141"/>
      <c r="HE28" s="141"/>
      <c r="HF28" s="141"/>
      <c r="HG28" s="141"/>
      <c r="HH28" s="141"/>
      <c r="HI28" s="141"/>
      <c r="HJ28" s="141"/>
      <c r="HK28" s="141"/>
      <c r="HL28" s="141"/>
      <c r="HM28" s="141"/>
      <c r="HN28" s="141"/>
      <c r="HO28" s="141"/>
      <c r="HP28" s="141"/>
      <c r="HQ28" s="141"/>
      <c r="HR28" s="141"/>
      <c r="HS28" s="141"/>
      <c r="HT28" s="141"/>
      <c r="HU28" s="141"/>
      <c r="HV28" s="141"/>
      <c r="HW28" s="141"/>
      <c r="HX28" s="141"/>
      <c r="HY28" s="141"/>
      <c r="HZ28" s="141"/>
      <c r="IA28" s="141"/>
      <c r="IB28" s="141"/>
      <c r="IC28" s="141"/>
      <c r="ID28" s="141"/>
      <c r="IE28" s="141"/>
      <c r="IF28" s="141"/>
      <c r="IG28" s="141"/>
      <c r="IH28" s="141"/>
      <c r="II28" s="141"/>
      <c r="IJ28" s="141"/>
      <c r="IK28" s="141"/>
      <c r="IL28" s="141"/>
      <c r="IM28" s="141"/>
      <c r="IN28" s="141"/>
      <c r="IO28" s="141"/>
      <c r="IP28" s="141"/>
      <c r="IQ28" s="141"/>
      <c r="IR28" s="141"/>
      <c r="IS28" s="141"/>
      <c r="IT28" s="141"/>
      <c r="IU28" s="141"/>
      <c r="IV28" s="141"/>
      <c r="IW28" s="141"/>
      <c r="IX28" s="141"/>
      <c r="IY28" s="141"/>
      <c r="IZ28" s="141"/>
      <c r="JA28" s="141"/>
      <c r="JB28" s="141"/>
      <c r="JC28" s="141"/>
      <c r="JD28" s="141"/>
      <c r="JE28" s="141"/>
      <c r="JF28" s="141"/>
      <c r="JG28" s="141"/>
      <c r="JH28" s="141"/>
      <c r="JI28" s="141"/>
      <c r="JJ28" s="141"/>
      <c r="JK28" s="141"/>
      <c r="JL28" s="141"/>
      <c r="JM28" s="141"/>
      <c r="JN28" s="141"/>
      <c r="JO28" s="141"/>
      <c r="JP28" s="141"/>
      <c r="JQ28" s="141"/>
      <c r="JR28" s="141"/>
      <c r="JS28" s="141"/>
      <c r="JT28" s="141"/>
      <c r="JU28" s="141"/>
      <c r="JV28" s="141"/>
      <c r="JW28" s="141"/>
      <c r="JX28" s="141"/>
      <c r="JY28" s="141"/>
      <c r="JZ28" s="141"/>
      <c r="KA28" s="141"/>
      <c r="KB28" s="141"/>
      <c r="KC28" s="141"/>
      <c r="KD28" s="141"/>
      <c r="KE28" s="141"/>
      <c r="KF28" s="141"/>
      <c r="KG28" s="141"/>
      <c r="KH28" s="141"/>
      <c r="KI28" s="141"/>
      <c r="KJ28" s="141"/>
      <c r="KK28" s="141"/>
      <c r="KL28" s="141"/>
      <c r="KM28" s="141"/>
      <c r="KN28" s="141"/>
      <c r="KO28" s="141"/>
      <c r="KP28" s="141"/>
      <c r="KQ28" s="141"/>
      <c r="KR28" s="141"/>
      <c r="KS28" s="141"/>
      <c r="KT28" s="141"/>
      <c r="KU28" s="141"/>
      <c r="KV28" s="141"/>
      <c r="KW28" s="141"/>
      <c r="KX28" s="141"/>
      <c r="KY28" s="141"/>
      <c r="KZ28" s="141"/>
      <c r="LA28" s="141"/>
      <c r="LB28" s="141"/>
      <c r="LC28" s="141"/>
      <c r="LD28" s="141"/>
      <c r="LE28" s="141"/>
      <c r="LF28" s="141"/>
      <c r="LG28" s="141"/>
      <c r="LH28" s="141"/>
      <c r="LI28" s="141"/>
      <c r="LJ28" s="141"/>
      <c r="LK28" s="141"/>
      <c r="LL28" s="141"/>
      <c r="LM28" s="141"/>
      <c r="LN28" s="141"/>
      <c r="LO28" s="141"/>
      <c r="LP28" s="141"/>
      <c r="LQ28" s="141"/>
      <c r="LR28" s="141"/>
      <c r="LS28" s="141"/>
      <c r="LT28" s="141"/>
      <c r="LU28" s="141"/>
      <c r="LV28" s="141"/>
      <c r="LW28" s="141"/>
      <c r="LX28" s="141"/>
      <c r="LY28" s="141"/>
      <c r="LZ28" s="141"/>
      <c r="MA28" s="141"/>
      <c r="MB28" s="141"/>
      <c r="MC28" s="141"/>
      <c r="MD28" s="141"/>
      <c r="ME28" s="141"/>
      <c r="MF28" s="141"/>
      <c r="MG28" s="141"/>
      <c r="MH28" s="141"/>
      <c r="MI28" s="141"/>
      <c r="MJ28" s="141"/>
      <c r="MK28" s="141"/>
      <c r="ML28" s="141"/>
      <c r="MM28" s="141"/>
      <c r="MN28" s="141"/>
      <c r="MO28" s="141"/>
      <c r="MP28" s="141"/>
      <c r="MQ28" s="141"/>
      <c r="MR28" s="141"/>
      <c r="MS28" s="141"/>
      <c r="MT28" s="141"/>
      <c r="MU28" s="141"/>
      <c r="MV28" s="141"/>
      <c r="MW28" s="141"/>
      <c r="MX28" s="141"/>
      <c r="MY28" s="141"/>
      <c r="MZ28" s="141"/>
      <c r="NA28" s="141"/>
      <c r="NB28" s="141"/>
      <c r="NC28" s="141"/>
      <c r="ND28" s="141"/>
      <c r="NE28" s="141"/>
      <c r="NF28" s="141"/>
      <c r="NG28" s="141"/>
      <c r="NH28" s="141"/>
      <c r="NI28" s="141"/>
      <c r="NJ28" s="141"/>
      <c r="NK28" s="141"/>
      <c r="NL28" s="141"/>
      <c r="NM28" s="141"/>
      <c r="NN28" s="141"/>
      <c r="NO28" s="141"/>
      <c r="NP28" s="141"/>
      <c r="NQ28" s="141"/>
      <c r="NR28" s="141"/>
      <c r="NS28" s="141"/>
      <c r="NT28" s="141"/>
      <c r="NU28" s="141"/>
      <c r="NV28" s="141"/>
      <c r="NW28" s="141"/>
      <c r="NX28" s="141"/>
      <c r="NY28" s="141"/>
      <c r="NZ28" s="141"/>
      <c r="OA28" s="141"/>
      <c r="OB28" s="141"/>
      <c r="OC28" s="141"/>
      <c r="OD28" s="141"/>
      <c r="OE28" s="141"/>
      <c r="OF28" s="141"/>
      <c r="OG28" s="141"/>
      <c r="OH28" s="141"/>
      <c r="OI28" s="141"/>
      <c r="OJ28" s="141"/>
      <c r="OK28" s="141"/>
      <c r="OL28" s="141"/>
      <c r="OM28" s="141"/>
      <c r="ON28" s="141"/>
      <c r="OO28" s="141"/>
      <c r="OP28" s="141"/>
      <c r="OQ28" s="141"/>
      <c r="OR28" s="141"/>
      <c r="OS28" s="141"/>
      <c r="OT28" s="141"/>
      <c r="OU28" s="141"/>
      <c r="OV28" s="141"/>
      <c r="OW28" s="141"/>
      <c r="OX28" s="141"/>
      <c r="OY28" s="141"/>
      <c r="OZ28" s="141"/>
      <c r="PA28" s="141"/>
      <c r="PB28" s="141"/>
      <c r="PC28" s="141"/>
      <c r="PD28" s="141"/>
      <c r="PE28" s="141"/>
      <c r="PF28" s="141"/>
      <c r="PG28" s="141"/>
      <c r="PH28" s="141"/>
      <c r="PI28" s="141"/>
      <c r="PJ28" s="141"/>
      <c r="PK28" s="141"/>
      <c r="PL28" s="141"/>
      <c r="PM28" s="141"/>
      <c r="PN28" s="141"/>
      <c r="PO28" s="141"/>
      <c r="PP28" s="141"/>
      <c r="PQ28" s="141"/>
      <c r="PR28" s="141"/>
      <c r="PS28" s="141"/>
      <c r="PT28" s="141"/>
      <c r="PU28" s="141"/>
      <c r="PV28" s="141"/>
      <c r="PW28" s="141"/>
      <c r="PX28" s="141"/>
      <c r="PY28" s="141"/>
      <c r="PZ28" s="141"/>
      <c r="QA28" s="141"/>
      <c r="QB28" s="141"/>
      <c r="QC28" s="141"/>
      <c r="QD28" s="141"/>
      <c r="QE28" s="141"/>
      <c r="QF28" s="141"/>
      <c r="QG28" s="141"/>
      <c r="QH28" s="141"/>
      <c r="QI28" s="141"/>
      <c r="QJ28" s="141"/>
      <c r="QK28" s="141"/>
      <c r="QL28" s="141"/>
      <c r="QM28" s="141"/>
      <c r="QN28" s="141"/>
      <c r="QO28" s="141"/>
      <c r="QP28" s="141"/>
      <c r="QQ28" s="141"/>
      <c r="QR28" s="141"/>
      <c r="QS28" s="141"/>
      <c r="QT28" s="141"/>
      <c r="QU28" s="141"/>
      <c r="QV28" s="141"/>
      <c r="QW28" s="141"/>
      <c r="QX28" s="141"/>
      <c r="QY28" s="141"/>
      <c r="QZ28" s="141"/>
      <c r="RA28" s="141"/>
      <c r="RB28" s="141"/>
      <c r="RC28" s="141"/>
      <c r="RD28" s="141"/>
      <c r="RE28" s="141"/>
      <c r="RF28" s="141"/>
      <c r="RG28" s="141"/>
      <c r="RH28" s="141"/>
      <c r="RI28" s="141"/>
      <c r="RJ28" s="141"/>
      <c r="RK28" s="141"/>
      <c r="RL28" s="141"/>
      <c r="RM28" s="141"/>
      <c r="RN28" s="141"/>
      <c r="RO28" s="141"/>
      <c r="RP28" s="141"/>
      <c r="RQ28" s="141"/>
      <c r="RR28" s="141"/>
      <c r="RS28" s="141"/>
      <c r="RT28" s="141"/>
      <c r="RU28" s="141"/>
      <c r="RV28" s="141"/>
      <c r="RW28" s="141"/>
      <c r="RX28" s="141"/>
      <c r="RY28" s="141"/>
      <c r="RZ28" s="141"/>
      <c r="SA28" s="141"/>
      <c r="SB28" s="141"/>
      <c r="SC28" s="141"/>
      <c r="SD28" s="141"/>
      <c r="SE28" s="141"/>
      <c r="SF28" s="141"/>
      <c r="SG28" s="141"/>
      <c r="SH28" s="141"/>
      <c r="SI28" s="141"/>
      <c r="SJ28" s="141"/>
      <c r="SK28" s="141"/>
      <c r="SL28" s="141"/>
      <c r="SM28" s="141"/>
      <c r="SN28" s="141"/>
      <c r="SO28" s="141"/>
      <c r="SP28" s="141"/>
      <c r="SQ28" s="141"/>
      <c r="SR28" s="141"/>
      <c r="SS28" s="141"/>
      <c r="ST28" s="141"/>
      <c r="SU28" s="141"/>
      <c r="SV28" s="141"/>
      <c r="SW28" s="141"/>
      <c r="SX28" s="141"/>
      <c r="SY28" s="141"/>
      <c r="SZ28" s="141"/>
      <c r="TA28" s="141"/>
      <c r="TB28" s="141"/>
      <c r="TC28" s="141"/>
      <c r="TD28" s="141"/>
      <c r="TE28" s="141"/>
      <c r="TF28" s="141"/>
      <c r="TG28" s="141"/>
      <c r="TH28" s="141"/>
      <c r="TI28" s="141"/>
      <c r="TJ28" s="141"/>
      <c r="TK28" s="141"/>
      <c r="TL28" s="141"/>
      <c r="TM28" s="141"/>
      <c r="TN28" s="141"/>
      <c r="TO28" s="141"/>
      <c r="TP28" s="141"/>
      <c r="TQ28" s="141"/>
      <c r="TR28" s="141"/>
      <c r="TS28" s="141"/>
      <c r="TT28" s="141"/>
      <c r="TU28" s="141"/>
      <c r="TV28" s="141"/>
      <c r="TW28" s="141"/>
      <c r="TX28" s="141"/>
      <c r="TY28" s="141"/>
      <c r="TZ28" s="141"/>
      <c r="UA28" s="141"/>
      <c r="UB28" s="141"/>
      <c r="UC28" s="141"/>
      <c r="UD28" s="141"/>
      <c r="UE28" s="141"/>
      <c r="UF28" s="141"/>
      <c r="UG28" s="141"/>
      <c r="UH28" s="141"/>
      <c r="UI28" s="141"/>
      <c r="UJ28" s="141"/>
      <c r="UK28" s="141"/>
      <c r="UL28" s="141"/>
      <c r="UM28" s="141"/>
      <c r="UN28" s="141"/>
      <c r="UO28" s="141"/>
      <c r="UP28" s="141"/>
      <c r="UQ28" s="141"/>
      <c r="UR28" s="141"/>
      <c r="US28" s="141"/>
      <c r="UT28" s="141"/>
      <c r="UU28" s="141"/>
      <c r="UV28" s="141"/>
      <c r="UW28" s="141"/>
      <c r="UX28" s="141"/>
      <c r="UY28" s="141"/>
      <c r="UZ28" s="141"/>
      <c r="VA28" s="141"/>
      <c r="VB28" s="141"/>
      <c r="VC28" s="141"/>
      <c r="VD28" s="141"/>
      <c r="VE28" s="141"/>
      <c r="VF28" s="141"/>
      <c r="VG28" s="141"/>
      <c r="VH28" s="141"/>
      <c r="VI28" s="141"/>
      <c r="VJ28" s="141"/>
      <c r="VK28" s="141"/>
      <c r="VL28" s="141"/>
      <c r="VM28" s="141"/>
      <c r="VN28" s="141"/>
      <c r="VO28" s="141"/>
      <c r="VP28" s="141"/>
      <c r="VQ28" s="141"/>
      <c r="VR28" s="141"/>
      <c r="VS28" s="141"/>
      <c r="VT28" s="141"/>
      <c r="VU28" s="141"/>
      <c r="VV28" s="141"/>
      <c r="VW28" s="141"/>
      <c r="VX28" s="141"/>
      <c r="VY28" s="141"/>
      <c r="VZ28" s="141"/>
      <c r="WA28" s="141"/>
      <c r="WB28" s="141"/>
      <c r="WC28" s="141"/>
      <c r="WD28" s="141"/>
      <c r="WE28" s="141"/>
      <c r="WF28" s="141"/>
      <c r="WG28" s="141"/>
      <c r="WH28" s="141"/>
      <c r="WI28" s="141"/>
      <c r="WJ28" s="141"/>
      <c r="WK28" s="141"/>
      <c r="WL28" s="141"/>
      <c r="WM28" s="141"/>
      <c r="WN28" s="141"/>
      <c r="WO28" s="141"/>
      <c r="WP28" s="141"/>
      <c r="WQ28" s="141"/>
      <c r="WR28" s="141"/>
      <c r="WS28" s="141"/>
      <c r="WT28" s="141"/>
      <c r="WU28" s="141"/>
      <c r="WV28" s="141"/>
      <c r="WW28" s="141"/>
      <c r="WX28" s="141"/>
      <c r="WY28" s="141"/>
      <c r="WZ28" s="141"/>
      <c r="XA28" s="141"/>
      <c r="XB28" s="141"/>
      <c r="XC28" s="141"/>
      <c r="XD28" s="141"/>
      <c r="XE28" s="141"/>
      <c r="XF28" s="141"/>
      <c r="XG28" s="141"/>
      <c r="XH28" s="141"/>
      <c r="XI28" s="141"/>
      <c r="XJ28" s="141"/>
      <c r="XK28" s="141"/>
      <c r="XL28" s="141"/>
      <c r="XM28" s="141"/>
      <c r="XN28" s="141"/>
      <c r="XO28" s="141"/>
      <c r="XP28" s="141"/>
      <c r="XQ28" s="141"/>
      <c r="XR28" s="141"/>
      <c r="XS28" s="141"/>
      <c r="XT28" s="141"/>
      <c r="XU28" s="141"/>
      <c r="XV28" s="141"/>
      <c r="XW28" s="141"/>
      <c r="XX28" s="141"/>
      <c r="XY28" s="141"/>
      <c r="XZ28" s="141"/>
      <c r="YA28" s="141"/>
      <c r="YB28" s="141"/>
      <c r="YC28" s="141"/>
      <c r="YD28" s="141"/>
      <c r="YE28" s="141"/>
      <c r="YF28" s="141"/>
      <c r="YG28" s="141"/>
      <c r="YH28" s="141"/>
      <c r="YI28" s="141"/>
      <c r="YJ28" s="141"/>
      <c r="YK28" s="141"/>
      <c r="YL28" s="141"/>
      <c r="YM28" s="141"/>
      <c r="YN28" s="141"/>
      <c r="YO28" s="141"/>
      <c r="YP28" s="141"/>
      <c r="YQ28" s="141"/>
      <c r="YR28" s="141"/>
      <c r="YS28" s="141"/>
      <c r="YT28" s="141"/>
      <c r="YU28" s="141"/>
      <c r="YV28" s="141"/>
      <c r="YW28" s="141"/>
      <c r="YX28" s="141"/>
      <c r="YY28" s="141"/>
      <c r="YZ28" s="141"/>
      <c r="ZA28" s="141"/>
      <c r="ZB28" s="141"/>
      <c r="ZC28" s="141"/>
      <c r="ZD28" s="141"/>
      <c r="ZE28" s="141"/>
      <c r="ZF28" s="141"/>
      <c r="ZG28" s="141"/>
      <c r="ZH28" s="141"/>
      <c r="ZI28" s="141"/>
      <c r="ZJ28" s="141"/>
      <c r="ZK28" s="141"/>
      <c r="ZL28" s="141"/>
      <c r="ZM28" s="141"/>
      <c r="ZN28" s="141"/>
      <c r="ZO28" s="141"/>
      <c r="ZP28" s="141"/>
      <c r="ZQ28" s="141"/>
      <c r="ZR28" s="141"/>
      <c r="ZS28" s="141"/>
      <c r="ZT28" s="141"/>
      <c r="ZU28" s="141"/>
      <c r="ZV28" s="141"/>
      <c r="ZW28" s="141"/>
      <c r="ZX28" s="141"/>
      <c r="ZY28" s="141"/>
      <c r="ZZ28" s="141"/>
      <c r="AAA28" s="141"/>
      <c r="AAB28" s="141"/>
      <c r="AAC28" s="141"/>
      <c r="AAD28" s="141"/>
      <c r="AAE28" s="141"/>
      <c r="AAF28" s="141"/>
      <c r="AAG28" s="141"/>
      <c r="AAH28" s="141"/>
      <c r="AAI28" s="141"/>
      <c r="AAJ28" s="141"/>
      <c r="AAK28" s="141"/>
      <c r="AAL28" s="141"/>
      <c r="AAM28" s="141"/>
      <c r="AAN28" s="141"/>
      <c r="AAO28" s="141"/>
      <c r="AAP28" s="141"/>
      <c r="AAQ28" s="141"/>
      <c r="AAR28" s="141"/>
      <c r="AAS28" s="141"/>
      <c r="AAT28" s="141"/>
      <c r="AAU28" s="141"/>
      <c r="AAV28" s="141"/>
      <c r="AAW28" s="141"/>
      <c r="AAX28" s="141"/>
      <c r="AAY28" s="141"/>
      <c r="AAZ28" s="141"/>
      <c r="ABA28" s="141"/>
      <c r="ABB28" s="141"/>
      <c r="ABC28" s="141"/>
      <c r="ABD28" s="141"/>
      <c r="ABE28" s="141"/>
      <c r="ABF28" s="141"/>
      <c r="ABG28" s="141"/>
      <c r="ABH28" s="141"/>
      <c r="ABI28" s="141"/>
      <c r="ABJ28" s="141"/>
      <c r="ABK28" s="141"/>
      <c r="ABL28" s="141"/>
      <c r="ABM28" s="141"/>
      <c r="ABN28" s="141"/>
      <c r="ABO28" s="141"/>
      <c r="ABP28" s="141"/>
      <c r="ABQ28" s="141"/>
      <c r="ABR28" s="141"/>
      <c r="ABS28" s="141"/>
      <c r="ABT28" s="141"/>
      <c r="ABU28" s="141"/>
      <c r="ABV28" s="141"/>
      <c r="ABW28" s="141"/>
      <c r="ABX28" s="141"/>
      <c r="ABY28" s="141"/>
      <c r="ABZ28" s="141"/>
      <c r="ACA28" s="141"/>
      <c r="ACB28" s="141"/>
      <c r="ACC28" s="141"/>
      <c r="ACD28" s="141"/>
      <c r="ACE28" s="141"/>
      <c r="ACF28" s="141"/>
      <c r="ACG28" s="141"/>
      <c r="ACH28" s="141"/>
      <c r="ACI28" s="141"/>
      <c r="ACJ28" s="141"/>
      <c r="ACK28" s="141"/>
      <c r="ACL28" s="141"/>
      <c r="ACM28" s="141"/>
      <c r="ACN28" s="141"/>
      <c r="ACO28" s="141"/>
      <c r="ACP28" s="141"/>
      <c r="ACQ28" s="141"/>
      <c r="ACR28" s="141"/>
      <c r="ACS28" s="141"/>
      <c r="ACT28" s="141"/>
      <c r="ACU28" s="141"/>
      <c r="ACV28" s="141"/>
      <c r="ACW28" s="141"/>
      <c r="ACX28" s="141"/>
      <c r="ACY28" s="141"/>
      <c r="ACZ28" s="141"/>
      <c r="ADA28" s="141"/>
      <c r="ADB28" s="141"/>
      <c r="ADC28" s="141"/>
      <c r="ADD28" s="141"/>
      <c r="ADE28" s="141"/>
      <c r="ADF28" s="141"/>
      <c r="ADG28" s="141"/>
      <c r="ADH28" s="141"/>
      <c r="ADI28" s="141"/>
      <c r="ADJ28" s="141"/>
      <c r="ADK28" s="141"/>
      <c r="ADL28" s="141"/>
      <c r="ADM28" s="141"/>
      <c r="ADN28" s="141"/>
      <c r="ADO28" s="141"/>
      <c r="ADP28" s="141"/>
      <c r="ADQ28" s="141"/>
      <c r="ADR28" s="141"/>
      <c r="ADS28" s="141"/>
      <c r="ADT28" s="141"/>
      <c r="ADU28" s="141"/>
      <c r="ADV28" s="141"/>
      <c r="ADW28" s="141"/>
      <c r="ADX28" s="141"/>
      <c r="ADY28" s="141"/>
      <c r="ADZ28" s="141"/>
      <c r="AEA28" s="141"/>
      <c r="AEB28" s="141"/>
      <c r="AEC28" s="141"/>
      <c r="AED28" s="141"/>
      <c r="AEE28" s="141"/>
      <c r="AEF28" s="141"/>
      <c r="AEG28" s="141"/>
      <c r="AEH28" s="141"/>
      <c r="AEI28" s="141"/>
      <c r="AEJ28" s="141"/>
      <c r="AEK28" s="141"/>
      <c r="AEL28" s="141"/>
      <c r="AEM28" s="141"/>
      <c r="AEN28" s="141"/>
      <c r="AEO28" s="141"/>
      <c r="AEP28" s="141"/>
      <c r="AEQ28" s="141"/>
      <c r="AER28" s="141"/>
      <c r="AES28" s="141"/>
      <c r="AET28" s="141"/>
      <c r="AEU28" s="141"/>
      <c r="AEV28" s="141"/>
      <c r="AEW28" s="141"/>
      <c r="AEX28" s="141"/>
      <c r="AEY28" s="141"/>
      <c r="AEZ28" s="141"/>
      <c r="AFA28" s="141"/>
      <c r="AFB28" s="141"/>
      <c r="AFC28" s="141"/>
      <c r="AFD28" s="141"/>
      <c r="AFE28" s="141"/>
      <c r="AFF28" s="141"/>
      <c r="AFG28" s="141"/>
      <c r="AFH28" s="141"/>
      <c r="AFI28" s="141"/>
      <c r="AFJ28" s="141"/>
      <c r="AFK28" s="141"/>
      <c r="AFL28" s="141"/>
      <c r="AFM28" s="141"/>
      <c r="AFN28" s="141"/>
      <c r="AFO28" s="141"/>
      <c r="AFP28" s="141"/>
      <c r="AFQ28" s="141"/>
      <c r="AFR28" s="141"/>
      <c r="AFS28" s="141"/>
      <c r="AFT28" s="141"/>
      <c r="AFU28" s="141"/>
      <c r="AFV28" s="141"/>
      <c r="AFW28" s="141"/>
      <c r="AFX28" s="141"/>
      <c r="AFY28" s="141"/>
      <c r="AFZ28" s="141"/>
      <c r="AGA28" s="141"/>
      <c r="AGB28" s="141"/>
      <c r="AGC28" s="141"/>
      <c r="AGD28" s="141"/>
      <c r="AGE28" s="141"/>
      <c r="AGF28" s="141"/>
      <c r="AGG28" s="141"/>
      <c r="AGH28" s="141"/>
      <c r="AGI28" s="141"/>
      <c r="AGJ28" s="141"/>
      <c r="AGK28" s="141"/>
      <c r="AGL28" s="141"/>
      <c r="AGM28" s="141"/>
      <c r="AGN28" s="141"/>
      <c r="AGO28" s="141"/>
      <c r="AGP28" s="141"/>
      <c r="AGQ28" s="141"/>
      <c r="AGR28" s="141"/>
      <c r="AGS28" s="141"/>
      <c r="AGT28" s="141"/>
      <c r="AGU28" s="141"/>
      <c r="AGV28" s="141"/>
      <c r="AGW28" s="141"/>
      <c r="AGX28" s="141"/>
      <c r="AGY28" s="141"/>
      <c r="AGZ28" s="141"/>
      <c r="AHA28" s="141"/>
      <c r="AHB28" s="141"/>
      <c r="AHC28" s="141"/>
      <c r="AHD28" s="141"/>
      <c r="AHE28" s="141"/>
      <c r="AHF28" s="141"/>
      <c r="AHG28" s="141"/>
      <c r="AHH28" s="141"/>
      <c r="AHI28" s="141"/>
      <c r="AHJ28" s="141"/>
      <c r="AHK28" s="141"/>
      <c r="AHL28" s="141"/>
      <c r="AHM28" s="141"/>
      <c r="AHN28" s="141"/>
      <c r="AHO28" s="141"/>
      <c r="AHP28" s="141"/>
      <c r="AHQ28" s="141"/>
      <c r="AHR28" s="141"/>
      <c r="AHS28" s="141"/>
      <c r="AHT28" s="141"/>
      <c r="AHU28" s="141"/>
      <c r="AHV28" s="141"/>
      <c r="AHW28" s="141"/>
      <c r="AHX28" s="141"/>
      <c r="AHY28" s="141"/>
      <c r="AHZ28" s="141"/>
      <c r="AIA28" s="141"/>
      <c r="AIB28" s="141"/>
      <c r="AIC28" s="141"/>
      <c r="AID28" s="141"/>
      <c r="AIE28" s="141"/>
      <c r="AIF28" s="141"/>
      <c r="AIG28" s="141"/>
      <c r="AIH28" s="141"/>
      <c r="AII28" s="141"/>
      <c r="AIJ28" s="141"/>
      <c r="AIK28" s="141"/>
      <c r="AIL28" s="141"/>
      <c r="AIM28" s="141"/>
      <c r="AIN28" s="141"/>
      <c r="AIO28" s="141"/>
      <c r="AIP28" s="141"/>
      <c r="AIQ28" s="141"/>
      <c r="AIR28" s="141"/>
      <c r="AIS28" s="141"/>
      <c r="AIT28" s="141"/>
      <c r="AIU28" s="141"/>
      <c r="AIV28" s="141"/>
      <c r="AIW28" s="141"/>
      <c r="AIX28" s="141"/>
      <c r="AIY28" s="141"/>
      <c r="AIZ28" s="141"/>
      <c r="AJA28" s="141"/>
      <c r="AJB28" s="141"/>
      <c r="AJC28" s="141"/>
      <c r="AJD28" s="141"/>
      <c r="AJE28" s="141"/>
      <c r="AJF28" s="141"/>
      <c r="AJG28" s="141"/>
      <c r="AJH28" s="141"/>
      <c r="AJI28" s="141"/>
      <c r="AJJ28" s="141"/>
      <c r="AJK28" s="141"/>
      <c r="AJL28" s="141"/>
      <c r="AJM28" s="141"/>
      <c r="AJN28" s="141"/>
      <c r="AJO28" s="141"/>
      <c r="AJP28" s="141"/>
      <c r="AJQ28" s="141"/>
      <c r="AJR28" s="141"/>
      <c r="AJS28" s="141"/>
      <c r="AJT28" s="141"/>
      <c r="AJU28" s="141"/>
      <c r="AJV28" s="141"/>
      <c r="AJW28" s="141"/>
      <c r="AJX28" s="141"/>
      <c r="AJY28" s="141"/>
      <c r="AJZ28" s="141"/>
      <c r="AKA28" s="141"/>
      <c r="AKB28" s="141"/>
      <c r="AKC28" s="141"/>
      <c r="AKD28" s="141"/>
      <c r="AKE28" s="141"/>
      <c r="AKF28" s="141"/>
      <c r="AKG28" s="141"/>
      <c r="AKH28" s="141"/>
      <c r="AKI28" s="141"/>
      <c r="AKJ28" s="141"/>
      <c r="AKK28" s="141"/>
      <c r="AKL28" s="141"/>
      <c r="AKM28" s="141"/>
      <c r="AKN28" s="141"/>
      <c r="AKO28" s="141"/>
      <c r="AKP28" s="141"/>
      <c r="AKQ28" s="141"/>
      <c r="AKR28" s="141"/>
      <c r="AKS28" s="141"/>
      <c r="AKT28" s="141"/>
      <c r="AKU28" s="141"/>
      <c r="AKV28" s="141"/>
      <c r="AKW28" s="141"/>
      <c r="AKX28" s="141"/>
      <c r="AKY28" s="141"/>
      <c r="AKZ28" s="141"/>
      <c r="ALA28" s="141"/>
      <c r="ALB28" s="141"/>
      <c r="ALC28" s="141"/>
      <c r="ALD28" s="141"/>
      <c r="ALE28" s="141"/>
      <c r="ALF28" s="141"/>
      <c r="ALG28" s="141"/>
      <c r="ALH28" s="141"/>
      <c r="ALI28" s="141"/>
      <c r="ALJ28" s="141"/>
      <c r="ALK28" s="141"/>
      <c r="ALL28" s="141"/>
      <c r="ALM28" s="141"/>
      <c r="ALN28" s="141"/>
      <c r="ALO28" s="141"/>
      <c r="ALP28" s="141"/>
      <c r="ALQ28" s="141"/>
      <c r="ALR28" s="141"/>
      <c r="ALS28" s="141"/>
      <c r="ALT28" s="141"/>
      <c r="ALU28" s="141"/>
      <c r="ALV28" s="141"/>
      <c r="ALW28" s="141"/>
      <c r="ALX28" s="141"/>
      <c r="ALY28" s="141"/>
      <c r="ALZ28" s="141"/>
      <c r="AMA28" s="141"/>
      <c r="AMB28" s="141"/>
      <c r="AMC28" s="141"/>
      <c r="AMD28" s="141"/>
      <c r="AME28" s="141"/>
      <c r="AMF28" s="141"/>
      <c r="AMG28" s="141"/>
      <c r="AMH28" s="141"/>
      <c r="AMI28" s="141"/>
      <c r="AMJ28" s="141"/>
    </row>
    <row r="29" spans="1:1024" ht="15">
      <c r="A29" s="323">
        <v>1</v>
      </c>
      <c r="B29" s="323" t="s">
        <v>486</v>
      </c>
      <c r="C29" s="323" t="s">
        <v>485</v>
      </c>
      <c r="D29" s="323">
        <v>25477</v>
      </c>
      <c r="E29" s="323">
        <v>10717</v>
      </c>
      <c r="F29" s="323">
        <v>14760</v>
      </c>
      <c r="G29" s="323"/>
      <c r="H29" s="323">
        <v>0</v>
      </c>
      <c r="I29" s="323" t="s">
        <v>502</v>
      </c>
      <c r="J29" s="323" t="s">
        <v>503</v>
      </c>
      <c r="K29" s="323"/>
      <c r="L29" s="323"/>
    </row>
    <row r="30" spans="1:1024" ht="15">
      <c r="A30" s="323">
        <f t="shared" ref="A30:A35" si="0">A29+1</f>
        <v>2</v>
      </c>
      <c r="B30" s="323" t="s">
        <v>490</v>
      </c>
      <c r="C30" s="323" t="s">
        <v>489</v>
      </c>
      <c r="D30" s="323">
        <v>12488</v>
      </c>
      <c r="E30" s="323">
        <v>6630</v>
      </c>
      <c r="F30" s="323">
        <f>D30-E30</f>
        <v>5858</v>
      </c>
      <c r="G30" s="323"/>
      <c r="H30" s="323">
        <v>0</v>
      </c>
      <c r="I30" s="323" t="s">
        <v>504</v>
      </c>
      <c r="J30" s="323" t="s">
        <v>507</v>
      </c>
      <c r="K30" s="323" t="s">
        <v>505</v>
      </c>
      <c r="L30" s="323"/>
    </row>
    <row r="31" spans="1:1024" ht="15">
      <c r="A31" s="323">
        <f t="shared" si="0"/>
        <v>3</v>
      </c>
      <c r="B31" s="323" t="s">
        <v>492</v>
      </c>
      <c r="C31" s="323" t="s">
        <v>491</v>
      </c>
      <c r="D31" s="323">
        <f>780*5</f>
        <v>3900</v>
      </c>
      <c r="E31" s="323">
        <v>3900</v>
      </c>
      <c r="F31" s="323">
        <v>0</v>
      </c>
      <c r="G31" s="323"/>
      <c r="H31" s="323">
        <v>7800</v>
      </c>
      <c r="I31" s="323" t="s">
        <v>509</v>
      </c>
      <c r="J31" s="323"/>
      <c r="K31" s="323" t="s">
        <v>508</v>
      </c>
      <c r="L31" s="323"/>
    </row>
    <row r="32" spans="1:1024" ht="15">
      <c r="A32" s="323">
        <f t="shared" si="0"/>
        <v>4</v>
      </c>
      <c r="B32" s="323" t="s">
        <v>494</v>
      </c>
      <c r="C32" s="323" t="s">
        <v>493</v>
      </c>
      <c r="D32" s="323">
        <v>7763</v>
      </c>
      <c r="E32" s="323">
        <v>2379</v>
      </c>
      <c r="F32" s="323">
        <f>D32-E32</f>
        <v>5384</v>
      </c>
      <c r="G32" s="323"/>
      <c r="H32" s="323">
        <v>0</v>
      </c>
      <c r="I32" s="323" t="s">
        <v>502</v>
      </c>
      <c r="J32" s="323" t="s">
        <v>503</v>
      </c>
      <c r="K32" s="323"/>
      <c r="L32" s="323"/>
    </row>
    <row r="33" spans="1:16" ht="15">
      <c r="A33" s="323">
        <f t="shared" si="0"/>
        <v>5</v>
      </c>
      <c r="B33" s="323" t="s">
        <v>496</v>
      </c>
      <c r="C33" s="323" t="s">
        <v>495</v>
      </c>
      <c r="D33" s="323">
        <v>126592</v>
      </c>
      <c r="E33" s="323">
        <v>44021</v>
      </c>
      <c r="F33" s="323">
        <v>27107</v>
      </c>
      <c r="G33" s="323">
        <f>D33+E33</f>
        <v>170613</v>
      </c>
      <c r="H33" s="323">
        <f>D33+E33+F33</f>
        <v>197720</v>
      </c>
      <c r="I33" s="323" t="s">
        <v>631</v>
      </c>
      <c r="J33" s="323" t="s">
        <v>510</v>
      </c>
      <c r="K33" s="323"/>
      <c r="L33" s="323"/>
    </row>
    <row r="34" spans="1:16" ht="15">
      <c r="A34" s="323">
        <f t="shared" si="0"/>
        <v>6</v>
      </c>
      <c r="B34" s="323" t="s">
        <v>174</v>
      </c>
      <c r="C34" s="323" t="s">
        <v>497</v>
      </c>
      <c r="D34" s="323">
        <v>62154</v>
      </c>
      <c r="E34" s="323">
        <v>18992</v>
      </c>
      <c r="F34" s="323">
        <v>31024</v>
      </c>
      <c r="G34" s="323">
        <f>D34+E34</f>
        <v>81146</v>
      </c>
      <c r="H34" s="323">
        <f>D34+E34+F34</f>
        <v>112170</v>
      </c>
      <c r="I34" s="323" t="s">
        <v>631</v>
      </c>
      <c r="J34" s="323"/>
      <c r="K34" s="323"/>
      <c r="L34" s="323"/>
    </row>
    <row r="35" spans="1:16" ht="15">
      <c r="A35" s="323">
        <f t="shared" si="0"/>
        <v>7</v>
      </c>
      <c r="B35" s="323" t="s">
        <v>63</v>
      </c>
      <c r="C35" s="323" t="s">
        <v>498</v>
      </c>
      <c r="D35" s="323">
        <v>225195</v>
      </c>
      <c r="E35" s="323">
        <v>180964</v>
      </c>
      <c r="F35" s="323">
        <v>42500</v>
      </c>
      <c r="G35" s="323"/>
      <c r="H35" s="323">
        <f>D35+E35+F35</f>
        <v>448659</v>
      </c>
      <c r="I35" s="323" t="s">
        <v>511</v>
      </c>
      <c r="J35" s="323"/>
      <c r="K35" s="323" t="s">
        <v>766</v>
      </c>
      <c r="L35" s="323"/>
    </row>
    <row r="36" spans="1:16" ht="15">
      <c r="A36" s="323"/>
      <c r="B36" s="323"/>
      <c r="C36" s="323"/>
      <c r="D36" s="323"/>
      <c r="E36" s="323"/>
      <c r="F36" s="323">
        <f>SUM(F29:F35)</f>
        <v>126633</v>
      </c>
      <c r="G36" s="323"/>
      <c r="H36" s="336">
        <f>SUM(H29:H35)</f>
        <v>766349</v>
      </c>
      <c r="I36" s="323" t="s">
        <v>560</v>
      </c>
      <c r="J36" s="323"/>
      <c r="K36" s="323"/>
      <c r="L36" s="323"/>
    </row>
    <row r="37" spans="1:16">
      <c r="A37" s="175" t="s">
        <v>634</v>
      </c>
      <c r="B37" s="176" t="s">
        <v>632</v>
      </c>
      <c r="C37" s="176" t="s">
        <v>633</v>
      </c>
      <c r="D37" s="175" t="s">
        <v>635</v>
      </c>
    </row>
    <row r="41" spans="1:16" ht="15.75">
      <c r="A41" s="614" t="s">
        <v>1306</v>
      </c>
      <c r="B41" s="616"/>
      <c r="C41" s="615"/>
    </row>
    <row r="42" spans="1:16" ht="15">
      <c r="A42" s="323" t="s">
        <v>24</v>
      </c>
      <c r="B42" s="323" t="s">
        <v>307</v>
      </c>
      <c r="F42" s="1"/>
      <c r="K42" s="4"/>
    </row>
    <row r="43" spans="1:16" ht="15.75">
      <c r="A43" s="335" t="s">
        <v>25</v>
      </c>
      <c r="B43" s="335" t="s">
        <v>765</v>
      </c>
      <c r="C43" s="335" t="s">
        <v>26</v>
      </c>
      <c r="D43" s="335" t="s">
        <v>1307</v>
      </c>
      <c r="E43" s="335" t="s">
        <v>28</v>
      </c>
      <c r="F43" s="335" t="s">
        <v>29</v>
      </c>
      <c r="G43" s="335" t="s">
        <v>30</v>
      </c>
      <c r="H43" s="335" t="s">
        <v>31</v>
      </c>
      <c r="I43" s="7"/>
      <c r="K43" s="6"/>
    </row>
    <row r="44" spans="1:16" ht="15">
      <c r="A44" s="340">
        <v>1</v>
      </c>
      <c r="B44" s="340" t="s">
        <v>32</v>
      </c>
      <c r="C44" s="329">
        <v>26000</v>
      </c>
      <c r="D44" s="341">
        <v>0</v>
      </c>
      <c r="E44" s="341">
        <f t="shared" ref="E44:E58" si="1">C44+D44</f>
        <v>26000</v>
      </c>
      <c r="F44" s="342">
        <v>8.6999999999999993</v>
      </c>
      <c r="G44" s="341">
        <v>986</v>
      </c>
      <c r="H44" s="341">
        <f t="shared" ref="H44:H57" si="2">E44+G44</f>
        <v>26986</v>
      </c>
      <c r="I44" s="7"/>
      <c r="K44" s="6"/>
    </row>
    <row r="45" spans="1:16" ht="15">
      <c r="A45" s="340">
        <f t="shared" ref="A45:A58" si="3">A44+1</f>
        <v>2</v>
      </c>
      <c r="B45" s="340" t="s">
        <v>33</v>
      </c>
      <c r="C45" s="329">
        <v>150000</v>
      </c>
      <c r="D45" s="341">
        <f t="shared" ref="D45:D58" si="4">H44</f>
        <v>26986</v>
      </c>
      <c r="E45" s="341">
        <f>C45+D45</f>
        <v>176986</v>
      </c>
      <c r="F45" s="342">
        <f t="shared" ref="F45:F58" si="5">F44</f>
        <v>8.6999999999999993</v>
      </c>
      <c r="G45" s="341">
        <f t="shared" ref="G45:G58" si="6">E45*F45/100</f>
        <v>15397.781999999999</v>
      </c>
      <c r="H45" s="341">
        <f t="shared" si="2"/>
        <v>192383.78200000001</v>
      </c>
      <c r="I45" s="7"/>
      <c r="J45" s="7"/>
      <c r="K45" s="7"/>
      <c r="L45" s="7"/>
      <c r="M45" s="7"/>
      <c r="N45" s="7"/>
      <c r="O45" s="7"/>
      <c r="P45" s="7"/>
    </row>
    <row r="46" spans="1:16" ht="15">
      <c r="A46" s="340">
        <f t="shared" si="3"/>
        <v>3</v>
      </c>
      <c r="B46" s="340" t="s">
        <v>22</v>
      </c>
      <c r="C46" s="329">
        <v>60000</v>
      </c>
      <c r="D46" s="341">
        <f>H45</f>
        <v>192383.78200000001</v>
      </c>
      <c r="E46" s="341">
        <f t="shared" si="1"/>
        <v>252383.78200000001</v>
      </c>
      <c r="F46" s="342">
        <v>8.1</v>
      </c>
      <c r="G46" s="341">
        <f t="shared" si="6"/>
        <v>20443.086341999999</v>
      </c>
      <c r="H46" s="341">
        <f t="shared" si="2"/>
        <v>272826.868342</v>
      </c>
      <c r="I46" s="7"/>
      <c r="J46" s="7"/>
      <c r="K46" s="7"/>
      <c r="L46" s="7"/>
      <c r="M46" s="7"/>
      <c r="N46" s="7"/>
      <c r="O46" s="7"/>
      <c r="P46" s="7"/>
    </row>
    <row r="47" spans="1:16" ht="15">
      <c r="A47" s="340">
        <f t="shared" si="3"/>
        <v>4</v>
      </c>
      <c r="B47" s="340" t="s">
        <v>23</v>
      </c>
      <c r="C47" s="329">
        <v>1500</v>
      </c>
      <c r="D47" s="341">
        <f t="shared" si="4"/>
        <v>272826.868342</v>
      </c>
      <c r="E47" s="341">
        <f t="shared" si="1"/>
        <v>274326.868342</v>
      </c>
      <c r="F47" s="342">
        <v>8</v>
      </c>
      <c r="G47" s="341">
        <f t="shared" si="6"/>
        <v>21946.149467359999</v>
      </c>
      <c r="H47" s="341">
        <f>E47+G47</f>
        <v>296273.01780936</v>
      </c>
      <c r="I47" s="7"/>
      <c r="J47" s="7"/>
      <c r="K47" s="7"/>
      <c r="L47" s="7"/>
      <c r="M47" s="7"/>
      <c r="N47" s="7"/>
      <c r="O47" s="7"/>
      <c r="P47" s="7"/>
    </row>
    <row r="48" spans="1:16" ht="15">
      <c r="A48" s="340">
        <f t="shared" si="3"/>
        <v>5</v>
      </c>
      <c r="B48" s="340" t="s">
        <v>46</v>
      </c>
      <c r="C48" s="329">
        <v>1000</v>
      </c>
      <c r="D48" s="341">
        <f t="shared" si="4"/>
        <v>296273.01780936</v>
      </c>
      <c r="E48" s="341">
        <f t="shared" si="1"/>
        <v>297273.01780936</v>
      </c>
      <c r="F48" s="342">
        <v>8</v>
      </c>
      <c r="G48" s="341">
        <f>E48*F48/100</f>
        <v>23781.8414247488</v>
      </c>
      <c r="H48" s="341">
        <f t="shared" si="2"/>
        <v>321054.85923410882</v>
      </c>
      <c r="I48" s="7"/>
      <c r="J48" s="7"/>
      <c r="K48" s="7"/>
      <c r="L48" s="7"/>
      <c r="M48" s="7"/>
      <c r="N48" s="7"/>
      <c r="O48" s="7"/>
      <c r="P48" s="7"/>
    </row>
    <row r="49" spans="1:16" ht="15">
      <c r="A49" s="340">
        <f t="shared" si="3"/>
        <v>6</v>
      </c>
      <c r="B49" s="340" t="s">
        <v>62</v>
      </c>
      <c r="C49" s="329">
        <v>2000</v>
      </c>
      <c r="D49" s="341">
        <f t="shared" si="4"/>
        <v>321054.85923410882</v>
      </c>
      <c r="E49" s="341">
        <f t="shared" si="1"/>
        <v>323054.85923410882</v>
      </c>
      <c r="F49" s="342">
        <f t="shared" si="5"/>
        <v>8</v>
      </c>
      <c r="G49" s="341">
        <f t="shared" si="6"/>
        <v>25844.388738728707</v>
      </c>
      <c r="H49" s="341">
        <f t="shared" si="2"/>
        <v>348899.24797283753</v>
      </c>
      <c r="I49" s="7"/>
      <c r="J49" s="7"/>
      <c r="K49" s="7"/>
      <c r="L49" s="7"/>
      <c r="M49" s="7"/>
      <c r="N49" s="7"/>
      <c r="O49" s="7"/>
      <c r="P49" s="7"/>
    </row>
    <row r="50" spans="1:16" ht="15">
      <c r="A50" s="340">
        <f t="shared" si="3"/>
        <v>7</v>
      </c>
      <c r="B50" s="340" t="s">
        <v>368</v>
      </c>
      <c r="C50" s="329">
        <v>16000</v>
      </c>
      <c r="D50" s="341">
        <f t="shared" si="4"/>
        <v>348899.24797283753</v>
      </c>
      <c r="E50" s="341">
        <f t="shared" si="1"/>
        <v>364899.24797283753</v>
      </c>
      <c r="F50" s="342">
        <v>7.9</v>
      </c>
      <c r="G50" s="341">
        <f t="shared" si="6"/>
        <v>28827.040589854169</v>
      </c>
      <c r="H50" s="341">
        <f t="shared" si="2"/>
        <v>393726.28856269171</v>
      </c>
      <c r="I50" s="7"/>
      <c r="J50" s="7"/>
      <c r="K50" s="7"/>
      <c r="L50" s="7"/>
      <c r="M50" s="7"/>
      <c r="N50" s="7"/>
      <c r="O50" s="7"/>
      <c r="P50" s="7"/>
    </row>
    <row r="51" spans="1:16" ht="15">
      <c r="A51" s="340">
        <f t="shared" si="3"/>
        <v>8</v>
      </c>
      <c r="B51" s="340" t="s">
        <v>650</v>
      </c>
      <c r="C51" s="329">
        <v>150000</v>
      </c>
      <c r="D51" s="341">
        <f t="shared" si="4"/>
        <v>393726.28856269171</v>
      </c>
      <c r="E51" s="341">
        <f t="shared" si="1"/>
        <v>543726.28856269177</v>
      </c>
      <c r="F51" s="342">
        <v>7.1</v>
      </c>
      <c r="G51" s="341">
        <f t="shared" si="6"/>
        <v>38604.566487951117</v>
      </c>
      <c r="H51" s="341">
        <f t="shared" si="2"/>
        <v>582330.85505064286</v>
      </c>
      <c r="I51" s="7"/>
      <c r="J51" s="7"/>
      <c r="K51" s="7"/>
      <c r="L51" s="7"/>
      <c r="M51" s="7"/>
      <c r="N51" s="7"/>
      <c r="O51" s="7"/>
      <c r="P51" s="7"/>
    </row>
    <row r="52" spans="1:16" ht="15">
      <c r="A52" s="340">
        <f t="shared" si="3"/>
        <v>9</v>
      </c>
      <c r="B52" s="340"/>
      <c r="C52" s="329">
        <v>0</v>
      </c>
      <c r="D52" s="341">
        <f t="shared" si="4"/>
        <v>582330.85505064286</v>
      </c>
      <c r="E52" s="341">
        <f t="shared" si="1"/>
        <v>582330.85505064286</v>
      </c>
      <c r="F52" s="342">
        <f t="shared" si="5"/>
        <v>7.1</v>
      </c>
      <c r="G52" s="341">
        <f t="shared" si="6"/>
        <v>41345.490708595637</v>
      </c>
      <c r="H52" s="341">
        <f t="shared" si="2"/>
        <v>623676.34575923847</v>
      </c>
      <c r="I52" s="7"/>
      <c r="J52" s="7"/>
      <c r="K52" s="7"/>
      <c r="L52" s="7"/>
      <c r="M52" s="7"/>
      <c r="N52" s="7"/>
      <c r="O52" s="7"/>
      <c r="P52" s="7"/>
    </row>
    <row r="53" spans="1:16" ht="15">
      <c r="A53" s="340">
        <f t="shared" si="3"/>
        <v>10</v>
      </c>
      <c r="B53" s="340"/>
      <c r="C53" s="329">
        <v>0</v>
      </c>
      <c r="D53" s="341">
        <f t="shared" si="4"/>
        <v>623676.34575923847</v>
      </c>
      <c r="E53" s="341">
        <f t="shared" si="1"/>
        <v>623676.34575923847</v>
      </c>
      <c r="F53" s="342">
        <f t="shared" si="5"/>
        <v>7.1</v>
      </c>
      <c r="G53" s="341">
        <f t="shared" si="6"/>
        <v>44281.020548905923</v>
      </c>
      <c r="H53" s="341">
        <f t="shared" si="2"/>
        <v>667957.36630814441</v>
      </c>
      <c r="I53" s="7"/>
      <c r="J53" s="7"/>
      <c r="K53" s="7"/>
      <c r="L53" s="7"/>
      <c r="M53" s="7"/>
      <c r="N53" s="7"/>
      <c r="O53" s="7"/>
      <c r="P53" s="7"/>
    </row>
    <row r="54" spans="1:16" ht="15">
      <c r="A54" s="340">
        <f t="shared" si="3"/>
        <v>11</v>
      </c>
      <c r="B54" s="340"/>
      <c r="C54" s="329">
        <v>0</v>
      </c>
      <c r="D54" s="341">
        <f t="shared" si="4"/>
        <v>667957.36630814441</v>
      </c>
      <c r="E54" s="341">
        <f t="shared" si="1"/>
        <v>667957.36630814441</v>
      </c>
      <c r="F54" s="342">
        <f t="shared" si="5"/>
        <v>7.1</v>
      </c>
      <c r="G54" s="341">
        <f t="shared" si="6"/>
        <v>47424.973007878252</v>
      </c>
      <c r="H54" s="341">
        <f t="shared" si="2"/>
        <v>715382.3393160227</v>
      </c>
      <c r="I54" s="7"/>
      <c r="J54" s="7"/>
      <c r="K54" s="7"/>
      <c r="L54" s="7"/>
      <c r="M54" s="7"/>
      <c r="N54" s="7"/>
      <c r="O54" s="7"/>
      <c r="P54" s="7"/>
    </row>
    <row r="55" spans="1:16" ht="15">
      <c r="A55" s="340">
        <f t="shared" si="3"/>
        <v>12</v>
      </c>
      <c r="B55" s="340"/>
      <c r="C55" s="329">
        <v>0</v>
      </c>
      <c r="D55" s="341">
        <f t="shared" si="4"/>
        <v>715382.3393160227</v>
      </c>
      <c r="E55" s="341">
        <f t="shared" si="1"/>
        <v>715382.3393160227</v>
      </c>
      <c r="F55" s="342">
        <f t="shared" si="5"/>
        <v>7.1</v>
      </c>
      <c r="G55" s="341">
        <f t="shared" si="6"/>
        <v>50792.146091437608</v>
      </c>
      <c r="H55" s="341">
        <f t="shared" si="2"/>
        <v>766174.48540746025</v>
      </c>
      <c r="I55" s="7"/>
      <c r="J55" s="7"/>
      <c r="K55" s="7"/>
      <c r="L55" s="7"/>
      <c r="M55" s="7"/>
      <c r="N55" s="7"/>
      <c r="O55" s="7"/>
      <c r="P55" s="7"/>
    </row>
    <row r="56" spans="1:16" ht="15">
      <c r="A56" s="340">
        <f t="shared" si="3"/>
        <v>13</v>
      </c>
      <c r="B56" s="340"/>
      <c r="C56" s="329">
        <v>0</v>
      </c>
      <c r="D56" s="341">
        <f t="shared" si="4"/>
        <v>766174.48540746025</v>
      </c>
      <c r="E56" s="341">
        <f t="shared" si="1"/>
        <v>766174.48540746025</v>
      </c>
      <c r="F56" s="342">
        <f t="shared" si="5"/>
        <v>7.1</v>
      </c>
      <c r="G56" s="341">
        <f t="shared" si="6"/>
        <v>54398.388463929674</v>
      </c>
      <c r="H56" s="341">
        <f t="shared" si="2"/>
        <v>820572.87387138989</v>
      </c>
      <c r="I56" s="7"/>
      <c r="J56" s="7"/>
      <c r="K56" s="7"/>
      <c r="L56" s="7"/>
      <c r="M56" s="7"/>
      <c r="N56" s="7"/>
      <c r="O56" s="7"/>
      <c r="P56" s="7"/>
    </row>
    <row r="57" spans="1:16" ht="15">
      <c r="A57" s="340">
        <f t="shared" si="3"/>
        <v>14</v>
      </c>
      <c r="B57" s="340"/>
      <c r="C57" s="329">
        <v>0</v>
      </c>
      <c r="D57" s="341">
        <f t="shared" si="4"/>
        <v>820572.87387138989</v>
      </c>
      <c r="E57" s="341">
        <f t="shared" si="1"/>
        <v>820572.87387138989</v>
      </c>
      <c r="F57" s="342">
        <f t="shared" si="5"/>
        <v>7.1</v>
      </c>
      <c r="G57" s="341">
        <f t="shared" si="6"/>
        <v>58260.674044868676</v>
      </c>
      <c r="H57" s="341">
        <f t="shared" si="2"/>
        <v>878833.54791625857</v>
      </c>
      <c r="I57" s="7"/>
      <c r="J57" s="7"/>
      <c r="K57" s="7"/>
      <c r="L57" s="7"/>
      <c r="M57" s="7"/>
      <c r="N57" s="7"/>
      <c r="O57" s="7"/>
      <c r="P57" s="7"/>
    </row>
    <row r="58" spans="1:16" ht="15">
      <c r="A58" s="340">
        <f t="shared" si="3"/>
        <v>15</v>
      </c>
      <c r="B58" s="340"/>
      <c r="C58" s="329">
        <v>0</v>
      </c>
      <c r="D58" s="341">
        <f t="shared" si="4"/>
        <v>878833.54791625857</v>
      </c>
      <c r="E58" s="341">
        <f t="shared" si="1"/>
        <v>878833.54791625857</v>
      </c>
      <c r="F58" s="342">
        <f t="shared" si="5"/>
        <v>7.1</v>
      </c>
      <c r="G58" s="341">
        <f t="shared" si="6"/>
        <v>62397.181902054355</v>
      </c>
      <c r="H58" s="341">
        <f>E58+G58</f>
        <v>941230.72981831292</v>
      </c>
      <c r="I58" s="7"/>
      <c r="J58" s="7"/>
      <c r="K58" s="7"/>
      <c r="L58" s="7"/>
      <c r="M58" s="7"/>
      <c r="N58" s="7"/>
      <c r="O58" s="7"/>
      <c r="P58" s="7"/>
    </row>
    <row r="59" spans="1:16" ht="15">
      <c r="A59" s="340"/>
      <c r="B59" s="340"/>
      <c r="C59" s="340"/>
      <c r="D59" s="341"/>
      <c r="E59" s="341"/>
      <c r="F59" s="342"/>
      <c r="G59" s="341"/>
      <c r="H59" s="341"/>
      <c r="I59" s="7"/>
      <c r="J59" s="7"/>
      <c r="K59" s="7"/>
      <c r="L59" s="7"/>
      <c r="M59" s="7"/>
      <c r="N59" s="7"/>
      <c r="O59" s="7"/>
      <c r="P59" s="7"/>
    </row>
    <row r="60" spans="1:16" ht="15">
      <c r="A60" s="340"/>
      <c r="B60" s="340"/>
      <c r="C60" s="340"/>
      <c r="D60" s="341"/>
      <c r="E60" s="341"/>
      <c r="F60" s="342"/>
      <c r="G60" s="341"/>
      <c r="H60" s="341"/>
      <c r="I60" s="7"/>
      <c r="J60" s="7"/>
      <c r="K60" s="7"/>
      <c r="L60" s="7"/>
      <c r="M60" s="7"/>
      <c r="N60" s="7"/>
      <c r="O60" s="7"/>
      <c r="P60" s="7"/>
    </row>
    <row r="61" spans="1:16" ht="15">
      <c r="A61" s="340"/>
      <c r="B61" s="340"/>
      <c r="C61" s="340"/>
      <c r="D61" s="341"/>
      <c r="E61" s="341"/>
      <c r="F61" s="342"/>
      <c r="G61" s="341"/>
      <c r="H61" s="341"/>
      <c r="I61" s="7"/>
      <c r="J61" s="7"/>
      <c r="K61" s="7"/>
      <c r="L61" s="7"/>
      <c r="M61" s="7"/>
      <c r="N61" s="7"/>
      <c r="O61" s="7"/>
      <c r="P61" s="7"/>
    </row>
    <row r="62" spans="1:16" ht="15">
      <c r="A62" s="340"/>
      <c r="B62" s="340" t="s">
        <v>34</v>
      </c>
      <c r="C62" s="343">
        <f>SUM(C44:C58)</f>
        <v>406500</v>
      </c>
      <c r="D62" s="341"/>
      <c r="E62" s="341"/>
      <c r="F62" s="342"/>
      <c r="G62" s="341"/>
      <c r="H62" s="341"/>
      <c r="I62" s="7"/>
      <c r="J62" s="7"/>
      <c r="K62" s="7"/>
      <c r="L62" s="7"/>
      <c r="M62" s="7"/>
      <c r="N62" s="7"/>
      <c r="O62" s="7"/>
      <c r="P62" s="7"/>
    </row>
    <row r="63" spans="1:16" ht="15">
      <c r="A63" s="340"/>
      <c r="B63" s="340" t="s">
        <v>35</v>
      </c>
      <c r="C63" s="344">
        <f>H58</f>
        <v>941230.72981831292</v>
      </c>
      <c r="D63" s="341">
        <f>(C63-C62)/C62*100</f>
        <v>131.54507498605483</v>
      </c>
      <c r="E63" s="341"/>
      <c r="F63" s="342"/>
      <c r="G63" s="341"/>
      <c r="H63" s="341"/>
      <c r="I63" s="7"/>
    </row>
    <row r="64" spans="1:16">
      <c r="B64" s="4"/>
    </row>
    <row r="66" spans="2:5">
      <c r="E66" s="8"/>
    </row>
    <row r="80" spans="2:5">
      <c r="B80" s="4"/>
    </row>
    <row r="83" spans="1:16">
      <c r="A83" s="4" t="s">
        <v>1308</v>
      </c>
      <c r="J83" s="4" t="s">
        <v>1309</v>
      </c>
      <c r="K83" s="4"/>
    </row>
    <row r="84" spans="1:16">
      <c r="A84" s="5" t="s">
        <v>19</v>
      </c>
      <c r="B84" s="5" t="s">
        <v>36</v>
      </c>
      <c r="C84" s="5" t="s">
        <v>27</v>
      </c>
      <c r="D84" s="5" t="s">
        <v>28</v>
      </c>
      <c r="E84" s="5" t="s">
        <v>29</v>
      </c>
      <c r="F84" s="228" t="s">
        <v>30</v>
      </c>
      <c r="G84" s="5" t="s">
        <v>31</v>
      </c>
      <c r="J84" s="5" t="s">
        <v>19</v>
      </c>
      <c r="K84" s="5" t="s">
        <v>36</v>
      </c>
      <c r="L84" s="5" t="s">
        <v>27</v>
      </c>
      <c r="M84" s="5" t="s">
        <v>28</v>
      </c>
      <c r="N84" s="5" t="s">
        <v>29</v>
      </c>
      <c r="O84" s="5" t="s">
        <v>30</v>
      </c>
      <c r="P84" s="5" t="s">
        <v>31</v>
      </c>
    </row>
    <row r="85" spans="1:16">
      <c r="A85" s="1">
        <v>1</v>
      </c>
      <c r="B85" s="8">
        <v>150000</v>
      </c>
      <c r="C85" s="8">
        <v>0</v>
      </c>
      <c r="D85" s="8">
        <f t="shared" ref="D85:D99" si="7">B85+C85</f>
        <v>150000</v>
      </c>
      <c r="E85" s="1">
        <v>9</v>
      </c>
      <c r="F85" s="227">
        <f t="shared" ref="F85:F99" si="8">D85*E85/100</f>
        <v>13500</v>
      </c>
      <c r="G85" s="8">
        <f t="shared" ref="G85:G99" si="9">D85+F85</f>
        <v>163500</v>
      </c>
      <c r="J85" s="1">
        <v>1</v>
      </c>
      <c r="K85" s="8">
        <v>50000</v>
      </c>
      <c r="L85" s="8">
        <v>0</v>
      </c>
      <c r="M85" s="8">
        <f t="shared" ref="M85:M99" si="10">K85+L85</f>
        <v>50000</v>
      </c>
      <c r="N85" s="1">
        <v>9</v>
      </c>
      <c r="O85" s="8">
        <f t="shared" ref="O85:O99" si="11">M85*N85/100</f>
        <v>4500</v>
      </c>
      <c r="P85" s="8">
        <f t="shared" ref="P85:P99" si="12">M85+O85</f>
        <v>54500</v>
      </c>
    </row>
    <row r="86" spans="1:16">
      <c r="A86" s="1">
        <f t="shared" ref="A86:A99" si="13">A85+1</f>
        <v>2</v>
      </c>
      <c r="B86" s="8">
        <f t="shared" ref="B86:B99" si="14">B85</f>
        <v>150000</v>
      </c>
      <c r="C86" s="8">
        <f t="shared" ref="C86:C99" si="15">G85</f>
        <v>163500</v>
      </c>
      <c r="D86" s="8">
        <f t="shared" si="7"/>
        <v>313500</v>
      </c>
      <c r="E86" s="1">
        <f t="shared" ref="E86:E99" si="16">E85</f>
        <v>9</v>
      </c>
      <c r="F86" s="227">
        <f t="shared" si="8"/>
        <v>28215</v>
      </c>
      <c r="G86" s="8">
        <f t="shared" si="9"/>
        <v>341715</v>
      </c>
      <c r="J86" s="1">
        <f t="shared" ref="J86:J99" si="17">J85+1</f>
        <v>2</v>
      </c>
      <c r="K86" s="8">
        <v>50000</v>
      </c>
      <c r="L86" s="8">
        <f t="shared" ref="L86:L99" si="18">P85</f>
        <v>54500</v>
      </c>
      <c r="M86" s="8">
        <f t="shared" si="10"/>
        <v>104500</v>
      </c>
      <c r="N86" s="1">
        <f t="shared" ref="N86:N99" si="19">N85</f>
        <v>9</v>
      </c>
      <c r="O86" s="8">
        <f t="shared" si="11"/>
        <v>9405</v>
      </c>
      <c r="P86" s="8">
        <f t="shared" si="12"/>
        <v>113905</v>
      </c>
    </row>
    <row r="87" spans="1:16">
      <c r="A87" s="1">
        <f t="shared" si="13"/>
        <v>3</v>
      </c>
      <c r="B87" s="8">
        <f t="shared" si="14"/>
        <v>150000</v>
      </c>
      <c r="C87" s="8">
        <f t="shared" si="15"/>
        <v>341715</v>
      </c>
      <c r="D87" s="8">
        <f t="shared" si="7"/>
        <v>491715</v>
      </c>
      <c r="E87" s="1">
        <f t="shared" si="16"/>
        <v>9</v>
      </c>
      <c r="F87" s="227">
        <f t="shared" si="8"/>
        <v>44254.35</v>
      </c>
      <c r="G87" s="8">
        <f t="shared" si="9"/>
        <v>535969.35</v>
      </c>
      <c r="J87" s="1">
        <f t="shared" si="17"/>
        <v>3</v>
      </c>
      <c r="K87" s="8">
        <v>50000</v>
      </c>
      <c r="L87" s="8">
        <f t="shared" si="18"/>
        <v>113905</v>
      </c>
      <c r="M87" s="8">
        <f t="shared" si="10"/>
        <v>163905</v>
      </c>
      <c r="N87" s="1">
        <f t="shared" si="19"/>
        <v>9</v>
      </c>
      <c r="O87" s="8">
        <f t="shared" si="11"/>
        <v>14751.45</v>
      </c>
      <c r="P87" s="8">
        <f t="shared" si="12"/>
        <v>178656.45</v>
      </c>
    </row>
    <row r="88" spans="1:16">
      <c r="A88" s="1">
        <f t="shared" si="13"/>
        <v>4</v>
      </c>
      <c r="B88" s="8">
        <f t="shared" si="14"/>
        <v>150000</v>
      </c>
      <c r="C88" s="8">
        <f t="shared" si="15"/>
        <v>535969.35</v>
      </c>
      <c r="D88" s="8">
        <f t="shared" si="7"/>
        <v>685969.35</v>
      </c>
      <c r="E88" s="1">
        <f t="shared" si="16"/>
        <v>9</v>
      </c>
      <c r="F88" s="227">
        <f t="shared" si="8"/>
        <v>61737.241499999996</v>
      </c>
      <c r="G88" s="8">
        <f t="shared" si="9"/>
        <v>747706.59149999998</v>
      </c>
      <c r="J88" s="1">
        <f t="shared" si="17"/>
        <v>4</v>
      </c>
      <c r="K88" s="8">
        <v>50000</v>
      </c>
      <c r="L88" s="8">
        <f t="shared" si="18"/>
        <v>178656.45</v>
      </c>
      <c r="M88" s="8">
        <f t="shared" si="10"/>
        <v>228656.45</v>
      </c>
      <c r="N88" s="1">
        <f t="shared" si="19"/>
        <v>9</v>
      </c>
      <c r="O88" s="8">
        <f t="shared" si="11"/>
        <v>20579.0805</v>
      </c>
      <c r="P88" s="8">
        <f t="shared" si="12"/>
        <v>249235.53050000002</v>
      </c>
    </row>
    <row r="89" spans="1:16">
      <c r="A89" s="1">
        <f t="shared" si="13"/>
        <v>5</v>
      </c>
      <c r="B89" s="8">
        <f t="shared" si="14"/>
        <v>150000</v>
      </c>
      <c r="C89" s="8">
        <f t="shared" si="15"/>
        <v>747706.59149999998</v>
      </c>
      <c r="D89" s="8">
        <f t="shared" si="7"/>
        <v>897706.59149999998</v>
      </c>
      <c r="E89" s="1">
        <f t="shared" si="16"/>
        <v>9</v>
      </c>
      <c r="F89" s="227">
        <f t="shared" si="8"/>
        <v>80793.593234999993</v>
      </c>
      <c r="G89" s="8">
        <f t="shared" si="9"/>
        <v>978500.18473500002</v>
      </c>
      <c r="J89" s="1">
        <f t="shared" si="17"/>
        <v>5</v>
      </c>
      <c r="K89" s="8">
        <v>50000</v>
      </c>
      <c r="L89" s="8">
        <f t="shared" si="18"/>
        <v>249235.53050000002</v>
      </c>
      <c r="M89" s="8">
        <f t="shared" si="10"/>
        <v>299235.53049999999</v>
      </c>
      <c r="N89" s="1">
        <f t="shared" si="19"/>
        <v>9</v>
      </c>
      <c r="O89" s="8">
        <f t="shared" si="11"/>
        <v>26931.197744999998</v>
      </c>
      <c r="P89" s="8">
        <f t="shared" si="12"/>
        <v>326166.72824500001</v>
      </c>
    </row>
    <row r="90" spans="1:16">
      <c r="A90" s="1">
        <f t="shared" si="13"/>
        <v>6</v>
      </c>
      <c r="B90" s="8">
        <f t="shared" si="14"/>
        <v>150000</v>
      </c>
      <c r="C90" s="8">
        <f t="shared" si="15"/>
        <v>978500.18473500002</v>
      </c>
      <c r="D90" s="8">
        <f t="shared" si="7"/>
        <v>1128500.1847350001</v>
      </c>
      <c r="E90" s="1">
        <f t="shared" si="16"/>
        <v>9</v>
      </c>
      <c r="F90" s="227">
        <f t="shared" si="8"/>
        <v>101565.01662615001</v>
      </c>
      <c r="G90" s="8">
        <f t="shared" si="9"/>
        <v>1230065.2013611502</v>
      </c>
      <c r="J90" s="1">
        <f t="shared" si="17"/>
        <v>6</v>
      </c>
      <c r="K90" s="8">
        <v>50000</v>
      </c>
      <c r="L90" s="8">
        <f t="shared" si="18"/>
        <v>326166.72824500001</v>
      </c>
      <c r="M90" s="8">
        <f t="shared" si="10"/>
        <v>376166.72824500001</v>
      </c>
      <c r="N90" s="1">
        <f t="shared" si="19"/>
        <v>9</v>
      </c>
      <c r="O90" s="8">
        <f t="shared" si="11"/>
        <v>33855.005542049999</v>
      </c>
      <c r="P90" s="8">
        <f t="shared" si="12"/>
        <v>410021.73378705001</v>
      </c>
    </row>
    <row r="91" spans="1:16">
      <c r="A91" s="1">
        <f t="shared" si="13"/>
        <v>7</v>
      </c>
      <c r="B91" s="8">
        <f t="shared" si="14"/>
        <v>150000</v>
      </c>
      <c r="C91" s="8">
        <f t="shared" si="15"/>
        <v>1230065.2013611502</v>
      </c>
      <c r="D91" s="8">
        <f t="shared" si="7"/>
        <v>1380065.2013611502</v>
      </c>
      <c r="E91" s="1">
        <f t="shared" si="16"/>
        <v>9</v>
      </c>
      <c r="F91" s="227">
        <f t="shared" si="8"/>
        <v>124205.86812250351</v>
      </c>
      <c r="G91" s="8">
        <f t="shared" si="9"/>
        <v>1504271.0694836536</v>
      </c>
      <c r="J91" s="1">
        <f t="shared" si="17"/>
        <v>7</v>
      </c>
      <c r="K91" s="8">
        <v>50000</v>
      </c>
      <c r="L91" s="8">
        <f t="shared" si="18"/>
        <v>410021.73378705001</v>
      </c>
      <c r="M91" s="8">
        <f t="shared" si="10"/>
        <v>460021.73378705001</v>
      </c>
      <c r="N91" s="1">
        <f t="shared" si="19"/>
        <v>9</v>
      </c>
      <c r="O91" s="8">
        <f t="shared" si="11"/>
        <v>41401.956040834499</v>
      </c>
      <c r="P91" s="8">
        <f t="shared" si="12"/>
        <v>501423.68982788449</v>
      </c>
    </row>
    <row r="92" spans="1:16">
      <c r="A92" s="1">
        <f t="shared" si="13"/>
        <v>8</v>
      </c>
      <c r="B92" s="8">
        <f t="shared" si="14"/>
        <v>150000</v>
      </c>
      <c r="C92" s="8">
        <f t="shared" si="15"/>
        <v>1504271.0694836536</v>
      </c>
      <c r="D92" s="8">
        <f t="shared" si="7"/>
        <v>1654271.0694836536</v>
      </c>
      <c r="E92" s="1">
        <f t="shared" si="16"/>
        <v>9</v>
      </c>
      <c r="F92" s="227">
        <f t="shared" si="8"/>
        <v>148884.39625352883</v>
      </c>
      <c r="G92" s="8">
        <f t="shared" si="9"/>
        <v>1803155.4657371824</v>
      </c>
      <c r="J92" s="1">
        <f t="shared" si="17"/>
        <v>8</v>
      </c>
      <c r="K92" s="8">
        <v>50000</v>
      </c>
      <c r="L92" s="8">
        <f t="shared" si="18"/>
        <v>501423.68982788449</v>
      </c>
      <c r="M92" s="8">
        <f t="shared" si="10"/>
        <v>551423.68982788455</v>
      </c>
      <c r="N92" s="1">
        <f t="shared" si="19"/>
        <v>9</v>
      </c>
      <c r="O92" s="8">
        <f t="shared" si="11"/>
        <v>49628.132084509612</v>
      </c>
      <c r="P92" s="8">
        <f t="shared" si="12"/>
        <v>601051.82191239414</v>
      </c>
    </row>
    <row r="93" spans="1:16">
      <c r="A93" s="1">
        <f t="shared" si="13"/>
        <v>9</v>
      </c>
      <c r="B93" s="8">
        <f t="shared" si="14"/>
        <v>150000</v>
      </c>
      <c r="C93" s="8">
        <f t="shared" si="15"/>
        <v>1803155.4657371824</v>
      </c>
      <c r="D93" s="8">
        <f t="shared" si="7"/>
        <v>1953155.4657371824</v>
      </c>
      <c r="E93" s="1">
        <f t="shared" si="16"/>
        <v>9</v>
      </c>
      <c r="F93" s="227">
        <f t="shared" si="8"/>
        <v>175783.99191634639</v>
      </c>
      <c r="G93" s="8">
        <f t="shared" si="9"/>
        <v>2128939.457653529</v>
      </c>
      <c r="J93" s="1">
        <f t="shared" si="17"/>
        <v>9</v>
      </c>
      <c r="K93" s="8">
        <v>50000</v>
      </c>
      <c r="L93" s="8">
        <f t="shared" si="18"/>
        <v>601051.82191239414</v>
      </c>
      <c r="M93" s="8">
        <f t="shared" si="10"/>
        <v>651051.82191239414</v>
      </c>
      <c r="N93" s="1">
        <f t="shared" si="19"/>
        <v>9</v>
      </c>
      <c r="O93" s="8">
        <f t="shared" si="11"/>
        <v>58594.663972115472</v>
      </c>
      <c r="P93" s="8">
        <f t="shared" si="12"/>
        <v>709646.48588450963</v>
      </c>
    </row>
    <row r="94" spans="1:16">
      <c r="A94" s="1">
        <f t="shared" si="13"/>
        <v>10</v>
      </c>
      <c r="B94" s="8">
        <f t="shared" si="14"/>
        <v>150000</v>
      </c>
      <c r="C94" s="8">
        <f t="shared" si="15"/>
        <v>2128939.457653529</v>
      </c>
      <c r="D94" s="8">
        <f t="shared" si="7"/>
        <v>2278939.457653529</v>
      </c>
      <c r="E94" s="1">
        <f t="shared" si="16"/>
        <v>9</v>
      </c>
      <c r="F94" s="227">
        <f t="shared" si="8"/>
        <v>205104.55118881763</v>
      </c>
      <c r="G94" s="8">
        <f t="shared" si="9"/>
        <v>2484044.0088423467</v>
      </c>
      <c r="J94" s="1">
        <f t="shared" si="17"/>
        <v>10</v>
      </c>
      <c r="K94" s="8">
        <v>50000</v>
      </c>
      <c r="L94" s="8">
        <f t="shared" si="18"/>
        <v>709646.48588450963</v>
      </c>
      <c r="M94" s="8">
        <f t="shared" si="10"/>
        <v>759646.48588450963</v>
      </c>
      <c r="N94" s="1">
        <f t="shared" si="19"/>
        <v>9</v>
      </c>
      <c r="O94" s="8">
        <f t="shared" si="11"/>
        <v>68368.183729605866</v>
      </c>
      <c r="P94" s="8">
        <f t="shared" si="12"/>
        <v>828014.6696141155</v>
      </c>
    </row>
    <row r="95" spans="1:16">
      <c r="A95" s="1">
        <f t="shared" si="13"/>
        <v>11</v>
      </c>
      <c r="B95" s="8">
        <f t="shared" si="14"/>
        <v>150000</v>
      </c>
      <c r="C95" s="8">
        <f t="shared" si="15"/>
        <v>2484044.0088423467</v>
      </c>
      <c r="D95" s="8">
        <f t="shared" si="7"/>
        <v>2634044.0088423467</v>
      </c>
      <c r="E95" s="1">
        <f t="shared" si="16"/>
        <v>9</v>
      </c>
      <c r="F95" s="227">
        <f t="shared" si="8"/>
        <v>237063.9607958112</v>
      </c>
      <c r="G95" s="8">
        <f t="shared" si="9"/>
        <v>2871107.9696381581</v>
      </c>
      <c r="J95" s="1">
        <f t="shared" si="17"/>
        <v>11</v>
      </c>
      <c r="K95" s="8">
        <v>50000</v>
      </c>
      <c r="L95" s="8">
        <f t="shared" si="18"/>
        <v>828014.6696141155</v>
      </c>
      <c r="M95" s="8">
        <f t="shared" si="10"/>
        <v>878014.6696141155</v>
      </c>
      <c r="N95" s="1">
        <f t="shared" si="19"/>
        <v>9</v>
      </c>
      <c r="O95" s="8">
        <f t="shared" si="11"/>
        <v>79021.320265270391</v>
      </c>
      <c r="P95" s="8">
        <f t="shared" si="12"/>
        <v>957035.98987938592</v>
      </c>
    </row>
    <row r="96" spans="1:16">
      <c r="A96" s="1">
        <f t="shared" si="13"/>
        <v>12</v>
      </c>
      <c r="B96" s="8">
        <f t="shared" si="14"/>
        <v>150000</v>
      </c>
      <c r="C96" s="8">
        <f t="shared" si="15"/>
        <v>2871107.9696381581</v>
      </c>
      <c r="D96" s="8">
        <f t="shared" si="7"/>
        <v>3021107.9696381581</v>
      </c>
      <c r="E96" s="1">
        <f t="shared" si="16"/>
        <v>9</v>
      </c>
      <c r="F96" s="227">
        <f t="shared" si="8"/>
        <v>271899.71726743423</v>
      </c>
      <c r="G96" s="8">
        <f t="shared" si="9"/>
        <v>3293007.6869055922</v>
      </c>
      <c r="J96" s="1">
        <f t="shared" si="17"/>
        <v>12</v>
      </c>
      <c r="K96" s="8">
        <v>50000</v>
      </c>
      <c r="L96" s="8">
        <f t="shared" si="18"/>
        <v>957035.98987938592</v>
      </c>
      <c r="M96" s="8">
        <f t="shared" si="10"/>
        <v>1007035.9898793859</v>
      </c>
      <c r="N96" s="1">
        <f t="shared" si="19"/>
        <v>9</v>
      </c>
      <c r="O96" s="8">
        <f t="shared" si="11"/>
        <v>90633.239089144728</v>
      </c>
      <c r="P96" s="8">
        <f t="shared" si="12"/>
        <v>1097669.2289685307</v>
      </c>
    </row>
    <row r="97" spans="1:16">
      <c r="A97" s="1">
        <f t="shared" si="13"/>
        <v>13</v>
      </c>
      <c r="B97" s="8">
        <f t="shared" si="14"/>
        <v>150000</v>
      </c>
      <c r="C97" s="8">
        <f t="shared" si="15"/>
        <v>3293007.6869055922</v>
      </c>
      <c r="D97" s="8">
        <f t="shared" si="7"/>
        <v>3443007.6869055922</v>
      </c>
      <c r="E97" s="1">
        <f t="shared" si="16"/>
        <v>9</v>
      </c>
      <c r="F97" s="227">
        <f t="shared" si="8"/>
        <v>309870.69182150328</v>
      </c>
      <c r="G97" s="8">
        <f t="shared" si="9"/>
        <v>3752878.3787270957</v>
      </c>
      <c r="J97" s="1">
        <f t="shared" si="17"/>
        <v>13</v>
      </c>
      <c r="K97" s="8">
        <v>50000</v>
      </c>
      <c r="L97" s="8">
        <f t="shared" si="18"/>
        <v>1097669.2289685307</v>
      </c>
      <c r="M97" s="8">
        <f t="shared" si="10"/>
        <v>1147669.2289685307</v>
      </c>
      <c r="N97" s="1">
        <f t="shared" si="19"/>
        <v>9</v>
      </c>
      <c r="O97" s="8">
        <f t="shared" si="11"/>
        <v>103290.23060716776</v>
      </c>
      <c r="P97" s="8">
        <f t="shared" si="12"/>
        <v>1250959.4595756985</v>
      </c>
    </row>
    <row r="98" spans="1:16">
      <c r="A98" s="1">
        <f t="shared" si="13"/>
        <v>14</v>
      </c>
      <c r="B98" s="8">
        <f t="shared" si="14"/>
        <v>150000</v>
      </c>
      <c r="C98" s="8">
        <f t="shared" si="15"/>
        <v>3752878.3787270957</v>
      </c>
      <c r="D98" s="8">
        <f t="shared" si="7"/>
        <v>3902878.3787270957</v>
      </c>
      <c r="E98" s="1">
        <f t="shared" si="16"/>
        <v>9</v>
      </c>
      <c r="F98" s="227">
        <f t="shared" si="8"/>
        <v>351259.05408543861</v>
      </c>
      <c r="G98" s="8">
        <f t="shared" si="9"/>
        <v>4254137.4328125343</v>
      </c>
      <c r="J98" s="1">
        <f t="shared" si="17"/>
        <v>14</v>
      </c>
      <c r="K98" s="8">
        <v>50000</v>
      </c>
      <c r="L98" s="8">
        <f t="shared" si="18"/>
        <v>1250959.4595756985</v>
      </c>
      <c r="M98" s="8">
        <f t="shared" si="10"/>
        <v>1300959.4595756985</v>
      </c>
      <c r="N98" s="1">
        <f t="shared" si="19"/>
        <v>9</v>
      </c>
      <c r="O98" s="8">
        <f t="shared" si="11"/>
        <v>117086.35136181285</v>
      </c>
      <c r="P98" s="8">
        <f t="shared" si="12"/>
        <v>1418045.8109375113</v>
      </c>
    </row>
    <row r="99" spans="1:16">
      <c r="A99" s="1">
        <f t="shared" si="13"/>
        <v>15</v>
      </c>
      <c r="B99" s="8">
        <f t="shared" si="14"/>
        <v>150000</v>
      </c>
      <c r="C99" s="8">
        <f t="shared" si="15"/>
        <v>4254137.4328125343</v>
      </c>
      <c r="D99" s="8">
        <f t="shared" si="7"/>
        <v>4404137.4328125343</v>
      </c>
      <c r="E99" s="1">
        <f t="shared" si="16"/>
        <v>9</v>
      </c>
      <c r="F99" s="227">
        <f t="shared" si="8"/>
        <v>396372.36895312811</v>
      </c>
      <c r="G99" s="8">
        <f t="shared" si="9"/>
        <v>4800509.8017656626</v>
      </c>
      <c r="J99" s="1">
        <f t="shared" si="17"/>
        <v>15</v>
      </c>
      <c r="K99" s="8">
        <v>50000</v>
      </c>
      <c r="L99" s="8">
        <f t="shared" si="18"/>
        <v>1418045.8109375113</v>
      </c>
      <c r="M99" s="8">
        <f t="shared" si="10"/>
        <v>1468045.8109375113</v>
      </c>
      <c r="N99" s="1">
        <f t="shared" si="19"/>
        <v>9</v>
      </c>
      <c r="O99" s="8">
        <f t="shared" si="11"/>
        <v>132124.12298437601</v>
      </c>
      <c r="P99" s="8">
        <f t="shared" si="12"/>
        <v>1600169.9339218873</v>
      </c>
    </row>
    <row r="100" spans="1:16">
      <c r="F100" s="227">
        <f>SUM(F85:F99)</f>
        <v>2550509.8017656617</v>
      </c>
      <c r="G100" s="8"/>
      <c r="O100" s="8">
        <f>SUM(O85:O99)</f>
        <v>850169.93392188707</v>
      </c>
      <c r="P100" s="8"/>
    </row>
    <row r="101" spans="1:16">
      <c r="A101" s="1" t="s">
        <v>37</v>
      </c>
      <c r="B101" s="8">
        <f>SUM(B85:B99)</f>
        <v>2250000</v>
      </c>
      <c r="J101" s="1" t="s">
        <v>37</v>
      </c>
      <c r="K101" s="8">
        <f>SUM(K85:K99)</f>
        <v>750000</v>
      </c>
    </row>
    <row r="102" spans="1:16">
      <c r="A102" s="1" t="s">
        <v>38</v>
      </c>
      <c r="B102" s="8">
        <f>G99</f>
        <v>4800509.8017656626</v>
      </c>
      <c r="C102" s="8">
        <f>B101*0.2</f>
        <v>450000</v>
      </c>
      <c r="D102" s="1" t="s">
        <v>39</v>
      </c>
      <c r="J102" s="1" t="s">
        <v>38</v>
      </c>
      <c r="K102" s="8">
        <f>P99</f>
        <v>1600169.9339218873</v>
      </c>
    </row>
    <row r="103" spans="1:16">
      <c r="A103" s="1" t="s">
        <v>40</v>
      </c>
      <c r="B103" s="9">
        <f>(B102+C102-B101)/B101</f>
        <v>1.3335599118958501</v>
      </c>
      <c r="D103" s="8"/>
      <c r="J103" s="1" t="s">
        <v>40</v>
      </c>
      <c r="K103" s="9">
        <f>(K102-K101)/K101</f>
        <v>1.1335599118958497</v>
      </c>
    </row>
    <row r="104" spans="1:16">
      <c r="A104" s="1" t="s">
        <v>41</v>
      </c>
      <c r="B104" s="9">
        <f>(B102+C102-B101)/(B101*15)</f>
        <v>8.890399412639001E-2</v>
      </c>
    </row>
    <row r="105" spans="1:16">
      <c r="B105" s="8">
        <f>B102+K102</f>
        <v>6400679.7356875502</v>
      </c>
    </row>
    <row r="108" spans="1:16">
      <c r="E108" s="8"/>
    </row>
    <row r="123" spans="2:2">
      <c r="B123" s="94"/>
    </row>
    <row r="124" spans="2:2">
      <c r="B124" s="94"/>
    </row>
  </sheetData>
  <mergeCells count="3">
    <mergeCell ref="A1:B1"/>
    <mergeCell ref="A25:C25"/>
    <mergeCell ref="A41:C41"/>
  </mergeCells>
  <pageMargins left="0.70000000000000007" right="0.70000000000000007" top="1.1437007874015745" bottom="1.1437007874015745" header="0.74999999999999989" footer="0.74999999999999989"/>
  <pageSetup paperSize="9" fitToWidth="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0C1A2-73A6-492D-940C-3F9C477B7D82}">
  <dimension ref="B1:M90"/>
  <sheetViews>
    <sheetView topLeftCell="A17" workbookViewId="0">
      <selection activeCell="E32" sqref="E32"/>
    </sheetView>
  </sheetViews>
  <sheetFormatPr defaultRowHeight="14.25"/>
  <cols>
    <col min="1" max="1" width="0.625" customWidth="1"/>
    <col min="3" max="3" width="21" customWidth="1"/>
    <col min="4" max="4" width="19.625" bestFit="1" customWidth="1"/>
    <col min="5" max="5" width="21.75" bestFit="1" customWidth="1"/>
    <col min="6" max="6" width="13.125" bestFit="1" customWidth="1"/>
    <col min="7" max="7" width="18.625" bestFit="1" customWidth="1"/>
    <col min="8" max="8" width="17.625" customWidth="1"/>
    <col min="9" max="9" width="16.125" customWidth="1"/>
    <col min="10" max="10" width="15.875" customWidth="1"/>
    <col min="11" max="11" width="30.75" customWidth="1"/>
    <col min="12" max="12" width="24.875" customWidth="1"/>
    <col min="13" max="13" width="21.5" customWidth="1"/>
    <col min="14" max="14" width="13.5" customWidth="1"/>
    <col min="15" max="15" width="9.25" bestFit="1" customWidth="1"/>
  </cols>
  <sheetData>
    <row r="1" spans="2:13" ht="3" customHeight="1" thickBot="1"/>
    <row r="2" spans="2:13" ht="15.75" thickBot="1">
      <c r="B2" s="397" t="s">
        <v>1448</v>
      </c>
    </row>
    <row r="4" spans="2:13" ht="18.75">
      <c r="C4" s="388" t="s">
        <v>1449</v>
      </c>
      <c r="I4" s="388" t="s">
        <v>1452</v>
      </c>
    </row>
    <row r="5" spans="2:13" ht="15">
      <c r="C5" s="620"/>
      <c r="D5" s="621"/>
      <c r="E5" s="621"/>
      <c r="F5" s="621"/>
      <c r="G5" s="622"/>
      <c r="I5" s="425" t="s">
        <v>1494</v>
      </c>
      <c r="J5" s="307" t="s">
        <v>1451</v>
      </c>
      <c r="K5" s="307" t="s">
        <v>1450</v>
      </c>
      <c r="M5" t="s">
        <v>1563</v>
      </c>
    </row>
    <row r="6" spans="2:13" ht="15">
      <c r="C6" s="390"/>
      <c r="D6" s="391"/>
      <c r="E6" s="391"/>
      <c r="F6" s="87"/>
      <c r="I6" s="396" t="s">
        <v>1469</v>
      </c>
      <c r="J6" s="400" t="s">
        <v>1468</v>
      </c>
      <c r="K6" s="307" t="s">
        <v>1450</v>
      </c>
    </row>
    <row r="7" spans="2:13" ht="15">
      <c r="C7" s="390"/>
      <c r="D7" s="391"/>
      <c r="E7" s="391"/>
      <c r="F7" s="87"/>
      <c r="I7" s="498"/>
      <c r="J7" s="499"/>
      <c r="K7" s="390"/>
    </row>
    <row r="8" spans="2:13" ht="15">
      <c r="C8" s="390"/>
      <c r="D8" s="391"/>
      <c r="E8" s="391"/>
      <c r="F8" s="87"/>
    </row>
    <row r="9" spans="2:13" ht="18.75">
      <c r="C9" s="388" t="s">
        <v>1447</v>
      </c>
      <c r="G9" s="619" t="s">
        <v>1453</v>
      </c>
      <c r="H9" s="619"/>
    </row>
    <row r="10" spans="2:13" ht="15">
      <c r="B10" s="401"/>
      <c r="C10" s="387" t="s">
        <v>25</v>
      </c>
      <c r="D10" s="387" t="s">
        <v>1444</v>
      </c>
      <c r="E10" s="387" t="s">
        <v>1445</v>
      </c>
      <c r="F10" s="387" t="s">
        <v>1446</v>
      </c>
      <c r="G10" s="387" t="s">
        <v>1852</v>
      </c>
      <c r="H10" s="387" t="s">
        <v>1161</v>
      </c>
      <c r="I10" s="387" t="s">
        <v>1085</v>
      </c>
      <c r="J10" s="387" t="s">
        <v>308</v>
      </c>
      <c r="K10" s="387"/>
      <c r="L10" s="387" t="s">
        <v>308</v>
      </c>
      <c r="M10" s="387"/>
    </row>
    <row r="11" spans="2:13" ht="15">
      <c r="C11" s="63">
        <v>1</v>
      </c>
      <c r="D11" s="476" t="s">
        <v>1439</v>
      </c>
      <c r="E11" s="307" t="s">
        <v>1454</v>
      </c>
      <c r="F11" s="395" t="s">
        <v>1440</v>
      </c>
      <c r="G11" s="423" t="s">
        <v>416</v>
      </c>
      <c r="H11" s="63"/>
      <c r="I11" s="423">
        <v>7011448640</v>
      </c>
      <c r="J11" s="311" t="s">
        <v>1186</v>
      </c>
      <c r="L11" s="466" t="s">
        <v>1551</v>
      </c>
      <c r="M11" s="63"/>
    </row>
    <row r="12" spans="2:13" ht="15">
      <c r="C12" s="63">
        <f>C11+1</f>
        <v>2</v>
      </c>
      <c r="D12" s="307" t="s">
        <v>186</v>
      </c>
      <c r="E12" s="307"/>
      <c r="F12" s="386">
        <v>20488223</v>
      </c>
      <c r="G12" s="423" t="s">
        <v>416</v>
      </c>
      <c r="H12" s="63"/>
      <c r="I12" s="423"/>
      <c r="J12" s="63"/>
      <c r="K12" s="63"/>
      <c r="L12" s="307"/>
      <c r="M12" s="466" t="s">
        <v>1552</v>
      </c>
    </row>
    <row r="13" spans="2:13" ht="15">
      <c r="C13" s="63">
        <f t="shared" ref="C13:C14" si="0">C12+1</f>
        <v>3</v>
      </c>
      <c r="D13" s="476" t="s">
        <v>1189</v>
      </c>
      <c r="E13" s="307"/>
      <c r="F13" s="386" t="s">
        <v>1441</v>
      </c>
      <c r="G13" s="423" t="s">
        <v>416</v>
      </c>
      <c r="H13" s="392"/>
      <c r="I13" s="423">
        <v>7011448640</v>
      </c>
      <c r="J13" s="307" t="s">
        <v>1442</v>
      </c>
      <c r="K13" s="307" t="s">
        <v>1187</v>
      </c>
      <c r="L13" s="307" t="s">
        <v>1465</v>
      </c>
      <c r="M13" s="307" t="s">
        <v>1188</v>
      </c>
    </row>
    <row r="14" spans="2:13" ht="15">
      <c r="C14" s="63">
        <f t="shared" si="0"/>
        <v>4</v>
      </c>
      <c r="D14" s="307" t="s">
        <v>1156</v>
      </c>
      <c r="E14" s="307" t="s">
        <v>1158</v>
      </c>
      <c r="F14" s="400" t="s">
        <v>1167</v>
      </c>
      <c r="G14" s="423" t="s">
        <v>416</v>
      </c>
      <c r="H14" s="392"/>
      <c r="I14" s="423">
        <v>7011448640</v>
      </c>
      <c r="J14" s="307" t="s">
        <v>1159</v>
      </c>
      <c r="K14" s="475" t="s">
        <v>1567</v>
      </c>
      <c r="L14" s="307" t="s">
        <v>1466</v>
      </c>
      <c r="M14" s="466" t="s">
        <v>1552</v>
      </c>
    </row>
    <row r="15" spans="2:13" ht="15">
      <c r="G15" s="389">
        <f>SUM(G11:G14)</f>
        <v>0</v>
      </c>
    </row>
    <row r="16" spans="2:13" ht="15">
      <c r="C16" s="390"/>
      <c r="D16" s="391"/>
      <c r="E16" s="391"/>
      <c r="F16" s="87"/>
    </row>
    <row r="17" spans="3:13" ht="15">
      <c r="C17" s="390"/>
      <c r="D17" s="391"/>
      <c r="E17" s="391"/>
      <c r="F17" s="87"/>
    </row>
    <row r="19" spans="3:13" ht="18.75">
      <c r="C19" s="388" t="s">
        <v>1165</v>
      </c>
      <c r="D19" t="s">
        <v>1582</v>
      </c>
    </row>
    <row r="20" spans="3:13" ht="15">
      <c r="C20" s="387" t="s">
        <v>25</v>
      </c>
      <c r="D20" s="387" t="s">
        <v>1444</v>
      </c>
      <c r="E20" s="387" t="s">
        <v>1445</v>
      </c>
      <c r="F20" s="387" t="s">
        <v>1446</v>
      </c>
      <c r="G20" s="387" t="s">
        <v>34</v>
      </c>
      <c r="H20" s="387" t="s">
        <v>1831</v>
      </c>
      <c r="I20" s="496" t="s">
        <v>1583</v>
      </c>
      <c r="J20" s="500" t="s">
        <v>1562</v>
      </c>
      <c r="K20" s="387" t="s">
        <v>308</v>
      </c>
      <c r="L20" s="387" t="s">
        <v>1135</v>
      </c>
      <c r="M20" s="387" t="s">
        <v>308</v>
      </c>
    </row>
    <row r="21" spans="3:13" ht="15">
      <c r="C21" s="63">
        <v>1</v>
      </c>
      <c r="D21" s="294" t="s">
        <v>1493</v>
      </c>
      <c r="E21" s="294" t="s">
        <v>1153</v>
      </c>
      <c r="F21" s="294" t="s">
        <v>755</v>
      </c>
      <c r="G21" s="294">
        <v>1930000</v>
      </c>
      <c r="H21" s="294">
        <v>3682000</v>
      </c>
      <c r="I21" s="495">
        <f>(H21-G21)/G21</f>
        <v>0.90777202072538865</v>
      </c>
      <c r="J21" s="304">
        <v>7011448640</v>
      </c>
      <c r="K21" s="294" t="s">
        <v>1345</v>
      </c>
      <c r="L21" s="294" t="s">
        <v>1134</v>
      </c>
      <c r="M21" s="294"/>
    </row>
    <row r="22" spans="3:13" ht="15">
      <c r="C22" s="63">
        <f>C21+1</f>
        <v>2</v>
      </c>
      <c r="D22" s="294" t="s">
        <v>1156</v>
      </c>
      <c r="E22" s="294" t="s">
        <v>1160</v>
      </c>
      <c r="F22" s="294" t="s">
        <v>744</v>
      </c>
      <c r="G22" s="294">
        <v>290000</v>
      </c>
      <c r="H22" s="294">
        <v>526150</v>
      </c>
      <c r="I22" s="495">
        <f t="shared" ref="I22:I23" si="1">(H22-G22)/G22</f>
        <v>0.81431034482758624</v>
      </c>
      <c r="J22" s="304">
        <v>7011448640</v>
      </c>
      <c r="K22" s="304" t="s">
        <v>1159</v>
      </c>
      <c r="L22" s="294" t="s">
        <v>1177</v>
      </c>
      <c r="M22" s="294"/>
    </row>
    <row r="23" spans="3:13" ht="15">
      <c r="C23" s="63">
        <f t="shared" ref="C23:C28" si="2">C22+1</f>
        <v>3</v>
      </c>
      <c r="D23" s="294" t="s">
        <v>1492</v>
      </c>
      <c r="E23" s="294"/>
      <c r="F23" s="294" t="s">
        <v>748</v>
      </c>
      <c r="G23" s="294">
        <v>260000</v>
      </c>
      <c r="H23" s="294">
        <v>437700</v>
      </c>
      <c r="I23" s="495">
        <f t="shared" si="1"/>
        <v>0.68346153846153845</v>
      </c>
      <c r="J23" s="304">
        <v>7011448640</v>
      </c>
      <c r="K23" s="294"/>
      <c r="L23" s="294" t="s">
        <v>1134</v>
      </c>
      <c r="M23" s="294"/>
    </row>
    <row r="24" spans="3:13" ht="15">
      <c r="C24" s="63">
        <f t="shared" si="2"/>
        <v>4</v>
      </c>
      <c r="D24" s="294" t="s">
        <v>1164</v>
      </c>
      <c r="E24" s="294"/>
      <c r="F24" s="294" t="s">
        <v>760</v>
      </c>
      <c r="G24" s="294"/>
      <c r="H24" s="423" t="s">
        <v>416</v>
      </c>
      <c r="I24" s="466"/>
      <c r="J24" s="304">
        <v>7011448640</v>
      </c>
      <c r="K24" s="294"/>
      <c r="L24" s="294" t="s">
        <v>1134</v>
      </c>
      <c r="M24" s="294"/>
    </row>
    <row r="25" spans="3:13" ht="15">
      <c r="C25" s="63">
        <f t="shared" si="2"/>
        <v>5</v>
      </c>
      <c r="D25" s="294" t="s">
        <v>1163</v>
      </c>
      <c r="E25" s="294"/>
      <c r="F25" s="294" t="s">
        <v>761</v>
      </c>
      <c r="G25" s="294"/>
      <c r="H25" s="423" t="s">
        <v>416</v>
      </c>
      <c r="I25" s="466"/>
      <c r="J25" s="304">
        <v>7011448640</v>
      </c>
      <c r="K25" s="294"/>
      <c r="L25" s="294" t="s">
        <v>1134</v>
      </c>
      <c r="M25" s="294"/>
    </row>
    <row r="26" spans="3:13" ht="15">
      <c r="C26" s="63">
        <f t="shared" si="2"/>
        <v>6</v>
      </c>
      <c r="D26" s="294" t="s">
        <v>1162</v>
      </c>
      <c r="E26" s="294"/>
      <c r="F26" s="294" t="s">
        <v>1561</v>
      </c>
      <c r="G26" s="294"/>
      <c r="H26" s="423" t="s">
        <v>416</v>
      </c>
      <c r="I26" s="466"/>
      <c r="J26" s="304">
        <v>7011448640</v>
      </c>
      <c r="K26" s="294" t="s">
        <v>1490</v>
      </c>
      <c r="L26" s="294" t="s">
        <v>1134</v>
      </c>
      <c r="M26" s="294"/>
    </row>
    <row r="27" spans="3:13" ht="15">
      <c r="C27" s="63">
        <f t="shared" si="2"/>
        <v>7</v>
      </c>
      <c r="D27" s="294" t="s">
        <v>1077</v>
      </c>
      <c r="E27" s="294"/>
      <c r="F27" s="294" t="s">
        <v>1559</v>
      </c>
      <c r="G27" s="294"/>
      <c r="H27" s="423" t="s">
        <v>416</v>
      </c>
      <c r="I27" s="466"/>
      <c r="J27" s="304">
        <v>7011448640</v>
      </c>
      <c r="K27" s="294"/>
      <c r="L27" s="294" t="s">
        <v>1177</v>
      </c>
      <c r="M27" s="294"/>
    </row>
    <row r="28" spans="3:13" ht="15">
      <c r="C28" s="63">
        <f t="shared" si="2"/>
        <v>8</v>
      </c>
      <c r="D28" s="294" t="s">
        <v>1178</v>
      </c>
      <c r="E28" s="294"/>
      <c r="F28" s="294" t="s">
        <v>1560</v>
      </c>
      <c r="G28" s="294"/>
      <c r="H28" s="423" t="s">
        <v>416</v>
      </c>
      <c r="I28" s="466"/>
      <c r="J28" s="294"/>
      <c r="K28" s="294"/>
      <c r="L28" s="294" t="s">
        <v>1177</v>
      </c>
      <c r="M28" s="294"/>
    </row>
    <row r="29" spans="3:13" ht="15">
      <c r="C29" s="320" t="s">
        <v>1584</v>
      </c>
      <c r="G29" s="389">
        <f>SUM(G21:G28)</f>
        <v>2480000</v>
      </c>
      <c r="H29" s="389">
        <f>SUM(H21:H28)</f>
        <v>4645850</v>
      </c>
    </row>
    <row r="34" spans="2:13" ht="18.75">
      <c r="C34" s="388" t="s">
        <v>1166</v>
      </c>
      <c r="G34" s="617" t="s">
        <v>1453</v>
      </c>
      <c r="H34" s="618"/>
    </row>
    <row r="35" spans="2:13" ht="15">
      <c r="C35" s="387" t="s">
        <v>25</v>
      </c>
      <c r="D35" s="387" t="s">
        <v>1444</v>
      </c>
      <c r="E35" s="387" t="s">
        <v>1445</v>
      </c>
      <c r="F35" s="387" t="s">
        <v>1446</v>
      </c>
      <c r="G35" s="387" t="s">
        <v>34</v>
      </c>
      <c r="H35" s="387" t="s">
        <v>1831</v>
      </c>
      <c r="I35" s="496" t="s">
        <v>1583</v>
      </c>
      <c r="J35" s="500" t="s">
        <v>1581</v>
      </c>
      <c r="K35" s="387" t="s">
        <v>308</v>
      </c>
      <c r="L35" s="387"/>
      <c r="M35" s="387" t="s">
        <v>1135</v>
      </c>
    </row>
    <row r="36" spans="2:13" ht="15">
      <c r="C36" s="422"/>
      <c r="D36" s="476" t="s">
        <v>1154</v>
      </c>
      <c r="E36" s="307" t="s">
        <v>1155</v>
      </c>
      <c r="F36" s="475" t="s">
        <v>1565</v>
      </c>
      <c r="G36" s="392">
        <v>1035000</v>
      </c>
      <c r="H36" s="392">
        <v>1645000</v>
      </c>
      <c r="I36" s="63"/>
      <c r="J36" s="583">
        <v>7011448640</v>
      </c>
      <c r="K36" s="122" t="s">
        <v>1835</v>
      </c>
      <c r="L36" s="307" t="s">
        <v>1637</v>
      </c>
      <c r="M36" s="578" t="s">
        <v>1830</v>
      </c>
    </row>
    <row r="37" spans="2:13" ht="15" customHeight="1">
      <c r="C37" s="422"/>
      <c r="D37" s="476" t="s">
        <v>1084</v>
      </c>
      <c r="E37" s="578" t="s">
        <v>516</v>
      </c>
      <c r="F37" s="579" t="s">
        <v>1169</v>
      </c>
      <c r="G37" s="392"/>
      <c r="H37" s="392">
        <v>0</v>
      </c>
      <c r="I37" s="63"/>
      <c r="J37" s="394">
        <v>7011448640</v>
      </c>
      <c r="K37" s="63"/>
      <c r="L37" s="505"/>
      <c r="M37" s="307"/>
    </row>
    <row r="38" spans="2:13" ht="15">
      <c r="C38" s="307"/>
      <c r="D38" s="476" t="s">
        <v>1467</v>
      </c>
      <c r="F38" s="400" t="s">
        <v>405</v>
      </c>
      <c r="G38" s="63"/>
      <c r="H38" s="392">
        <v>0</v>
      </c>
      <c r="I38" s="392"/>
      <c r="J38" s="394">
        <v>7011448640</v>
      </c>
      <c r="K38" s="63"/>
      <c r="L38" s="307"/>
      <c r="M38" s="63"/>
    </row>
    <row r="39" spans="2:13" ht="15">
      <c r="C39" s="307"/>
      <c r="D39" s="476" t="s">
        <v>1443</v>
      </c>
      <c r="E39" s="307" t="s">
        <v>1172</v>
      </c>
      <c r="F39" s="309" t="s">
        <v>1171</v>
      </c>
      <c r="G39" s="63"/>
      <c r="H39" s="392">
        <v>0</v>
      </c>
      <c r="I39" s="392"/>
      <c r="J39" s="394">
        <v>7011448640</v>
      </c>
      <c r="K39" s="63"/>
      <c r="L39" s="307"/>
      <c r="M39" s="63"/>
    </row>
    <row r="40" spans="2:13" ht="15">
      <c r="C40" s="307"/>
      <c r="D40" s="476" t="s">
        <v>1175</v>
      </c>
      <c r="E40" s="307" t="s">
        <v>662</v>
      </c>
      <c r="F40" s="307" t="s">
        <v>1168</v>
      </c>
      <c r="G40" s="63"/>
      <c r="H40" s="392">
        <v>0</v>
      </c>
      <c r="I40" s="63"/>
      <c r="J40" s="394">
        <v>7011448640</v>
      </c>
      <c r="K40" s="63"/>
      <c r="L40" s="312"/>
      <c r="M40" s="63"/>
    </row>
    <row r="41" spans="2:13" ht="15">
      <c r="C41" s="63"/>
      <c r="D41" s="476" t="s">
        <v>1174</v>
      </c>
      <c r="E41" s="307" t="s">
        <v>773</v>
      </c>
      <c r="F41" s="310" t="s">
        <v>1170</v>
      </c>
      <c r="G41" s="63"/>
      <c r="H41" s="392">
        <v>0</v>
      </c>
      <c r="I41" s="63"/>
      <c r="J41" s="394">
        <v>7011448640</v>
      </c>
      <c r="K41" s="63"/>
      <c r="L41" s="312"/>
      <c r="M41" s="63"/>
    </row>
    <row r="42" spans="2:13" ht="15">
      <c r="C42" s="63"/>
      <c r="D42" s="476" t="s">
        <v>1173</v>
      </c>
      <c r="E42" s="307" t="s">
        <v>1176</v>
      </c>
      <c r="F42" s="305" t="s">
        <v>269</v>
      </c>
      <c r="G42" s="63"/>
      <c r="H42" s="392">
        <v>0</v>
      </c>
      <c r="I42" s="63"/>
      <c r="J42" s="63"/>
      <c r="K42" s="63"/>
      <c r="L42" s="312"/>
      <c r="M42" s="63"/>
    </row>
    <row r="43" spans="2:13" ht="15">
      <c r="B43" s="424" t="s">
        <v>1484</v>
      </c>
      <c r="C43" s="63"/>
      <c r="D43" s="471" t="s">
        <v>1435</v>
      </c>
      <c r="E43" s="142"/>
      <c r="F43" s="386" t="s">
        <v>1436</v>
      </c>
      <c r="G43" s="63"/>
      <c r="H43" s="392">
        <v>0</v>
      </c>
      <c r="I43" s="63"/>
      <c r="J43" s="411" t="s">
        <v>1585</v>
      </c>
      <c r="K43" s="501" t="s">
        <v>1586</v>
      </c>
      <c r="L43" s="312"/>
      <c r="M43" s="63"/>
    </row>
    <row r="44" spans="2:13" ht="15">
      <c r="C44" s="63"/>
      <c r="D44" s="472" t="s">
        <v>1438</v>
      </c>
      <c r="E44" s="310"/>
      <c r="F44" s="310" t="s">
        <v>1437</v>
      </c>
      <c r="G44" s="63"/>
      <c r="H44" s="392">
        <v>0</v>
      </c>
      <c r="I44" s="310"/>
      <c r="J44" s="394">
        <v>7011448640</v>
      </c>
      <c r="K44" s="310"/>
      <c r="L44" s="310"/>
      <c r="M44" s="310"/>
    </row>
    <row r="45" spans="2:13" ht="15">
      <c r="C45" s="63"/>
      <c r="D45" s="474" t="s">
        <v>1564</v>
      </c>
      <c r="E45" s="310"/>
      <c r="F45" s="310">
        <v>5334524</v>
      </c>
      <c r="G45" s="63"/>
      <c r="H45" s="392">
        <v>0</v>
      </c>
      <c r="I45" s="310"/>
      <c r="J45" s="310"/>
      <c r="K45" s="310"/>
      <c r="L45" s="310"/>
      <c r="M45" s="310"/>
    </row>
    <row r="46" spans="2:13" ht="15">
      <c r="C46" s="63"/>
      <c r="D46" s="310" t="s">
        <v>52</v>
      </c>
      <c r="E46" s="310"/>
      <c r="F46" s="468" t="s">
        <v>1553</v>
      </c>
      <c r="G46" s="63"/>
      <c r="H46" s="392">
        <v>0</v>
      </c>
      <c r="I46" s="310"/>
      <c r="J46" s="310"/>
      <c r="K46" s="473" t="s">
        <v>1566</v>
      </c>
      <c r="L46" s="469" t="s">
        <v>1557</v>
      </c>
      <c r="M46" s="310"/>
    </row>
    <row r="47" spans="2:13" ht="15">
      <c r="C47" s="63"/>
      <c r="D47" s="310" t="s">
        <v>1327</v>
      </c>
      <c r="E47" s="310"/>
      <c r="F47" s="310">
        <v>20488223</v>
      </c>
      <c r="G47" s="63"/>
      <c r="H47" s="392">
        <v>0</v>
      </c>
      <c r="I47" s="310"/>
      <c r="J47" s="310"/>
      <c r="K47" s="473" t="s">
        <v>1566</v>
      </c>
      <c r="L47" s="310"/>
      <c r="M47" s="310"/>
    </row>
    <row r="48" spans="2:13" ht="15">
      <c r="C48" s="63"/>
      <c r="D48" s="310" t="s">
        <v>1554</v>
      </c>
      <c r="E48" s="310"/>
      <c r="F48" s="310">
        <v>1017714175</v>
      </c>
      <c r="G48" s="63"/>
      <c r="H48" s="392">
        <v>0</v>
      </c>
      <c r="I48" s="310"/>
      <c r="J48" s="310"/>
      <c r="K48" s="473" t="s">
        <v>1566</v>
      </c>
      <c r="L48" s="502" t="s">
        <v>1587</v>
      </c>
      <c r="M48" s="310"/>
    </row>
    <row r="49" spans="3:13" ht="15">
      <c r="C49" s="63"/>
      <c r="D49" s="310" t="s">
        <v>1555</v>
      </c>
      <c r="E49" s="310"/>
      <c r="F49" s="310">
        <v>1000083715</v>
      </c>
      <c r="G49" s="63"/>
      <c r="H49" s="392">
        <v>0</v>
      </c>
      <c r="I49" s="310"/>
      <c r="J49" s="310"/>
      <c r="K49" s="473" t="s">
        <v>1566</v>
      </c>
      <c r="L49" s="310"/>
      <c r="M49" s="310"/>
    </row>
    <row r="50" spans="3:13" ht="15">
      <c r="C50" s="63"/>
      <c r="D50" s="310" t="s">
        <v>1556</v>
      </c>
      <c r="E50" s="310"/>
      <c r="F50" s="310" t="s">
        <v>56</v>
      </c>
      <c r="G50" s="63"/>
      <c r="H50" s="392">
        <v>0</v>
      </c>
      <c r="I50" s="310"/>
      <c r="J50" s="310"/>
      <c r="K50" s="473" t="s">
        <v>1566</v>
      </c>
      <c r="L50" s="310"/>
      <c r="M50" s="310"/>
    </row>
    <row r="51" spans="3:13" ht="15">
      <c r="H51" s="497">
        <f>SUM(H36:H46)</f>
        <v>1645000</v>
      </c>
    </row>
    <row r="53" spans="3:13" ht="15">
      <c r="G53" s="393" t="s">
        <v>1832</v>
      </c>
      <c r="H53" s="393">
        <f>H29+H51+G15</f>
        <v>6290850</v>
      </c>
    </row>
    <row r="54" spans="3:13" ht="15">
      <c r="G54" s="393" t="s">
        <v>1833</v>
      </c>
      <c r="H54" s="393">
        <f>H53/90</f>
        <v>69898.333333333328</v>
      </c>
    </row>
    <row r="57" spans="3:13" ht="18.75">
      <c r="C57" s="388" t="s">
        <v>1478</v>
      </c>
    </row>
    <row r="58" spans="3:13" ht="15">
      <c r="C58" s="385" t="s">
        <v>850</v>
      </c>
      <c r="D58" s="535">
        <v>206085</v>
      </c>
      <c r="E58" s="580">
        <v>45646</v>
      </c>
    </row>
    <row r="59" spans="3:13" ht="15">
      <c r="C59" s="385" t="s">
        <v>854</v>
      </c>
      <c r="D59" s="535">
        <v>174586</v>
      </c>
      <c r="E59" s="580">
        <v>45646</v>
      </c>
    </row>
    <row r="60" spans="3:13" ht="15">
      <c r="C60" s="534" t="s">
        <v>1367</v>
      </c>
      <c r="D60" s="535">
        <v>495132</v>
      </c>
      <c r="E60" s="580">
        <v>45646</v>
      </c>
    </row>
    <row r="61" spans="3:13" ht="15">
      <c r="C61" s="405" t="s">
        <v>945</v>
      </c>
      <c r="D61" s="535">
        <v>100000</v>
      </c>
      <c r="E61" s="580">
        <v>45646</v>
      </c>
    </row>
    <row r="62" spans="3:13" ht="15">
      <c r="C62" s="581" t="s">
        <v>1834</v>
      </c>
      <c r="D62" s="385">
        <f>D58+D59+D60</f>
        <v>875803</v>
      </c>
      <c r="E62" s="582">
        <f>1000000-D62</f>
        <v>124197</v>
      </c>
    </row>
    <row r="63" spans="3:13" ht="15">
      <c r="C63" s="405" t="s">
        <v>1479</v>
      </c>
      <c r="D63" s="385">
        <f>SUM(D58:D61)</f>
        <v>975803</v>
      </c>
    </row>
    <row r="67" spans="3:13" ht="18.75">
      <c r="C67" s="388" t="s">
        <v>1482</v>
      </c>
      <c r="D67" s="424" t="s">
        <v>1484</v>
      </c>
      <c r="K67" t="s">
        <v>1076</v>
      </c>
    </row>
    <row r="68" spans="3:13" ht="18" customHeight="1">
      <c r="C68" s="385" t="s">
        <v>1076</v>
      </c>
      <c r="D68" s="385" t="s">
        <v>1711</v>
      </c>
      <c r="F68" s="385" t="s">
        <v>403</v>
      </c>
      <c r="G68" s="385" t="s">
        <v>1797</v>
      </c>
      <c r="K68" s="577" t="s">
        <v>1824</v>
      </c>
      <c r="L68" s="577"/>
      <c r="M68" t="s">
        <v>1825</v>
      </c>
    </row>
    <row r="69" spans="3:13" ht="43.5">
      <c r="C69" s="385" t="s">
        <v>1483</v>
      </c>
      <c r="D69" s="385" t="s">
        <v>1712</v>
      </c>
      <c r="F69" s="385" t="s">
        <v>1793</v>
      </c>
      <c r="G69" s="385" t="s">
        <v>1792</v>
      </c>
      <c r="K69" s="577" t="s">
        <v>1827</v>
      </c>
      <c r="M69" t="s">
        <v>1826</v>
      </c>
    </row>
    <row r="70" spans="3:13" ht="15">
      <c r="F70" s="385" t="s">
        <v>1794</v>
      </c>
      <c r="G70" s="385" t="s">
        <v>1795</v>
      </c>
      <c r="K70" t="s">
        <v>1828</v>
      </c>
      <c r="M70" t="s">
        <v>1829</v>
      </c>
    </row>
    <row r="71" spans="3:13" ht="18.75">
      <c r="C71" s="388" t="s">
        <v>1518</v>
      </c>
      <c r="D71" s="424" t="s">
        <v>1484</v>
      </c>
      <c r="F71" s="385" t="s">
        <v>1796</v>
      </c>
      <c r="G71" s="385">
        <v>45296588</v>
      </c>
    </row>
    <row r="72" spans="3:13" ht="15">
      <c r="C72" s="385" t="s">
        <v>1183</v>
      </c>
      <c r="D72" s="385"/>
    </row>
    <row r="76" spans="3:13" ht="18.75">
      <c r="C76" s="388" t="s">
        <v>1608</v>
      </c>
    </row>
    <row r="77" spans="3:13" ht="4.5" customHeight="1"/>
    <row r="78" spans="3:13" ht="15">
      <c r="C78" s="286" t="s">
        <v>1116</v>
      </c>
      <c r="D78" s="87"/>
      <c r="E78" s="87"/>
      <c r="F78" s="504" t="s">
        <v>1605</v>
      </c>
      <c r="H78" s="286" t="s">
        <v>1612</v>
      </c>
      <c r="I78" s="87"/>
    </row>
    <row r="79" spans="3:13" ht="15">
      <c r="C79" s="363" t="s">
        <v>1113</v>
      </c>
      <c r="D79" s="87"/>
      <c r="E79" s="87"/>
      <c r="F79" s="504" t="s">
        <v>1606</v>
      </c>
      <c r="G79" s="87"/>
      <c r="H79" s="303" t="s">
        <v>1145</v>
      </c>
      <c r="I79" s="87"/>
    </row>
    <row r="80" spans="3:13" ht="15">
      <c r="C80" s="363" t="s">
        <v>1114</v>
      </c>
      <c r="D80" s="87"/>
      <c r="E80" s="87"/>
      <c r="F80" s="504">
        <v>7011448640</v>
      </c>
      <c r="G80" s="87"/>
      <c r="H80" s="375" t="s">
        <v>1611</v>
      </c>
      <c r="I80" s="87"/>
      <c r="M80">
        <v>1400</v>
      </c>
    </row>
    <row r="81" spans="3:13" ht="15">
      <c r="C81" s="244"/>
      <c r="D81" s="87"/>
      <c r="E81" s="87"/>
      <c r="F81" s="87"/>
      <c r="G81" s="121"/>
      <c r="I81" s="121"/>
    </row>
    <row r="82" spans="3:13" ht="15">
      <c r="C82" s="286" t="s">
        <v>1117</v>
      </c>
      <c r="D82" s="87"/>
      <c r="E82" s="87"/>
      <c r="F82" s="87"/>
      <c r="G82" s="73"/>
      <c r="H82" s="424" t="s">
        <v>1484</v>
      </c>
      <c r="I82" s="87"/>
      <c r="M82">
        <v>3400</v>
      </c>
    </row>
    <row r="83" spans="3:13" ht="15">
      <c r="C83" s="503" t="s">
        <v>1115</v>
      </c>
      <c r="D83" s="87"/>
      <c r="E83" s="375" t="s">
        <v>1607</v>
      </c>
      <c r="F83" s="87"/>
      <c r="G83" s="73"/>
      <c r="H83" s="375" t="s">
        <v>1609</v>
      </c>
      <c r="I83" s="87"/>
      <c r="M83">
        <v>2000</v>
      </c>
    </row>
    <row r="84" spans="3:13" ht="15">
      <c r="C84" s="375" t="s">
        <v>1381</v>
      </c>
      <c r="D84" s="87"/>
      <c r="E84" s="87"/>
      <c r="F84" s="87"/>
      <c r="G84" s="73"/>
      <c r="H84" s="375" t="s">
        <v>1610</v>
      </c>
      <c r="I84" s="87"/>
    </row>
    <row r="85" spans="3:13">
      <c r="C85" s="87"/>
      <c r="D85" s="87"/>
      <c r="E85" s="87"/>
      <c r="F85" s="87"/>
      <c r="G85" s="73"/>
      <c r="H85" s="73"/>
      <c r="I85" s="87"/>
    </row>
    <row r="86" spans="3:13">
      <c r="C86" s="107"/>
      <c r="D86" s="87"/>
      <c r="E86" s="87"/>
      <c r="F86" s="87"/>
      <c r="G86" s="73"/>
      <c r="H86" s="73"/>
      <c r="I86" s="87"/>
    </row>
    <row r="87" spans="3:13">
      <c r="D87" s="87"/>
      <c r="E87" s="87"/>
      <c r="F87" s="87"/>
      <c r="G87" s="73"/>
      <c r="I87" s="87"/>
    </row>
    <row r="88" spans="3:13" ht="18.75">
      <c r="C88" s="388" t="s">
        <v>1482</v>
      </c>
      <c r="D88" s="107"/>
      <c r="E88" s="87"/>
      <c r="F88" s="87"/>
      <c r="G88" s="73"/>
      <c r="H88" s="73"/>
      <c r="I88" s="87"/>
    </row>
    <row r="89" spans="3:13" ht="15">
      <c r="C89" s="584" t="s">
        <v>1836</v>
      </c>
      <c r="D89" t="s">
        <v>1838</v>
      </c>
    </row>
    <row r="90" spans="3:13" ht="15">
      <c r="C90" s="584" t="s">
        <v>1837</v>
      </c>
    </row>
  </sheetData>
  <mergeCells count="3">
    <mergeCell ref="G34:H34"/>
    <mergeCell ref="G9:H9"/>
    <mergeCell ref="C5:G5"/>
  </mergeCells>
  <hyperlinks>
    <hyperlink ref="K5" r:id="rId1" xr:uid="{7ABBCE1A-21A8-498B-8F81-F750BB5C03A1}"/>
    <hyperlink ref="K6" r:id="rId2" xr:uid="{C6B3645A-0FAB-4AE3-AF6E-281A56742D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70E97-3D6D-469B-983A-83A27680B47D}">
  <sheetPr codeName="Sheet1"/>
  <dimension ref="A1:AG80"/>
  <sheetViews>
    <sheetView zoomScaleNormal="100" workbookViewId="0">
      <pane xSplit="3" ySplit="1" topLeftCell="Q26" activePane="bottomRight" state="frozen"/>
      <selection pane="topRight" activeCell="D1" sqref="D1"/>
      <selection pane="bottomLeft" activeCell="A2" sqref="A2"/>
      <selection pane="bottomRight" activeCell="AA32" sqref="AA32"/>
    </sheetView>
  </sheetViews>
  <sheetFormatPr defaultColWidth="8.875" defaultRowHeight="14.25"/>
  <cols>
    <col min="1" max="1" width="4.375" customWidth="1"/>
    <col min="2" max="2" width="41.75" customWidth="1"/>
    <col min="3" max="3" width="12.5" style="87" customWidth="1"/>
    <col min="4" max="4" width="9.5" style="87" customWidth="1"/>
    <col min="5" max="5" width="12.625" style="87" bestFit="1" customWidth="1"/>
    <col min="6" max="6" width="8.875" style="73" customWidth="1"/>
    <col min="7" max="7" width="7.875" style="73" customWidth="1"/>
    <col min="8" max="8" width="10.875" style="87" customWidth="1"/>
    <col min="9" max="9" width="14.5" style="107" customWidth="1"/>
    <col min="10" max="10" width="16.75" style="107" customWidth="1"/>
    <col min="11" max="11" width="11" style="87" customWidth="1"/>
    <col min="12" max="12" width="13.25" style="87" customWidth="1"/>
    <col min="13" max="13" width="14.25" style="87" customWidth="1"/>
    <col min="14" max="14" width="15.5" style="87" customWidth="1"/>
    <col min="15" max="15" width="25.625" style="87" customWidth="1"/>
    <col min="16" max="16" width="11.125" style="121" customWidth="1"/>
    <col min="17" max="17" width="10.375" style="121" customWidth="1"/>
    <col min="18" max="18" width="12.25" style="121" customWidth="1"/>
    <col min="19" max="19" width="8.625" style="121" customWidth="1"/>
    <col min="20" max="20" width="12.5" style="233" bestFit="1" customWidth="1"/>
    <col min="21" max="21" width="10.75" style="233" customWidth="1"/>
    <col min="22" max="22" width="9.125" style="233" customWidth="1"/>
    <col min="23" max="23" width="13.5" style="233" customWidth="1"/>
    <col min="24" max="24" width="10.875" style="191" customWidth="1"/>
    <col min="25" max="25" width="9.125" style="191" customWidth="1"/>
    <col min="26" max="26" width="13.75" style="191" customWidth="1"/>
    <col min="27" max="27" width="11" style="87" customWidth="1"/>
    <col min="28" max="28" width="23.5" customWidth="1"/>
    <col min="29" max="29" width="25.5" customWidth="1"/>
    <col min="30" max="30" width="28.5" bestFit="1" customWidth="1"/>
  </cols>
  <sheetData>
    <row r="1" spans="1:33" s="429" customFormat="1" ht="15">
      <c r="A1" s="221" t="s">
        <v>25</v>
      </c>
      <c r="B1" s="221" t="s">
        <v>407</v>
      </c>
      <c r="C1" s="221" t="s">
        <v>400</v>
      </c>
      <c r="D1" s="221" t="s">
        <v>411</v>
      </c>
      <c r="E1" s="221" t="s">
        <v>285</v>
      </c>
      <c r="F1" s="428" t="s">
        <v>778</v>
      </c>
      <c r="G1" s="221" t="s">
        <v>394</v>
      </c>
      <c r="H1" s="221" t="s">
        <v>406</v>
      </c>
      <c r="I1" s="221" t="s">
        <v>181</v>
      </c>
      <c r="J1" s="426" t="s">
        <v>1</v>
      </c>
      <c r="K1" s="426" t="s">
        <v>1044</v>
      </c>
      <c r="L1" s="221" t="s">
        <v>399</v>
      </c>
      <c r="M1" s="221" t="s">
        <v>395</v>
      </c>
      <c r="N1" s="221" t="s">
        <v>780</v>
      </c>
      <c r="O1" s="221" t="s">
        <v>402</v>
      </c>
      <c r="P1" s="221" t="s">
        <v>415</v>
      </c>
      <c r="Q1" s="427" t="s">
        <v>396</v>
      </c>
      <c r="R1" s="427" t="s">
        <v>397</v>
      </c>
      <c r="S1" s="221" t="s">
        <v>768</v>
      </c>
      <c r="T1" s="221" t="s">
        <v>769</v>
      </c>
      <c r="U1" s="221" t="s">
        <v>770</v>
      </c>
      <c r="V1" s="221" t="s">
        <v>771</v>
      </c>
      <c r="W1" s="428" t="s">
        <v>778</v>
      </c>
      <c r="X1" s="428" t="s">
        <v>776</v>
      </c>
      <c r="Y1" s="428" t="s">
        <v>777</v>
      </c>
      <c r="Z1" s="221" t="s">
        <v>792</v>
      </c>
      <c r="AA1" s="221" t="s">
        <v>404</v>
      </c>
      <c r="AB1" s="221" t="s">
        <v>544</v>
      </c>
      <c r="AC1" s="221" t="s">
        <v>543</v>
      </c>
    </row>
    <row r="2" spans="1:33" s="106" customFormat="1" ht="15">
      <c r="A2" s="111">
        <v>1</v>
      </c>
      <c r="B2" s="201" t="s">
        <v>0</v>
      </c>
      <c r="C2" s="114" t="s">
        <v>314</v>
      </c>
      <c r="D2" s="116" t="s">
        <v>136</v>
      </c>
      <c r="E2" s="114" t="s">
        <v>416</v>
      </c>
      <c r="F2" s="455">
        <f>W2</f>
        <v>0.6428571428571429</v>
      </c>
      <c r="G2" s="222" t="s">
        <v>14</v>
      </c>
      <c r="H2" s="222" t="s">
        <v>58</v>
      </c>
      <c r="I2" s="114" t="s">
        <v>410</v>
      </c>
      <c r="J2" s="112">
        <v>7889578</v>
      </c>
      <c r="K2" s="112"/>
      <c r="L2" s="116">
        <v>40725</v>
      </c>
      <c r="M2" s="114" t="s">
        <v>182</v>
      </c>
      <c r="N2" s="114"/>
      <c r="O2" s="114">
        <v>4000</v>
      </c>
      <c r="P2" s="114">
        <v>14</v>
      </c>
      <c r="Q2" s="119">
        <f>O2*P2</f>
        <v>56000</v>
      </c>
      <c r="R2" s="119"/>
      <c r="S2" s="232"/>
      <c r="T2" s="232"/>
      <c r="U2" s="232">
        <v>92000</v>
      </c>
      <c r="V2" s="403">
        <f t="shared" ref="V2:V27" si="0">U2-Q2</f>
        <v>36000</v>
      </c>
      <c r="W2" s="197">
        <f t="shared" ref="W2:W19" si="1">(U2-Q2)/Q2</f>
        <v>0.6428571428571429</v>
      </c>
      <c r="X2" s="190"/>
      <c r="Y2" s="190"/>
      <c r="Z2" s="116">
        <v>42278</v>
      </c>
      <c r="AA2" s="111"/>
      <c r="AB2" s="111"/>
      <c r="AC2" s="111"/>
    </row>
    <row r="3" spans="1:33" s="106" customFormat="1" ht="15">
      <c r="A3" s="111">
        <f>A2+1</f>
        <v>2</v>
      </c>
      <c r="B3" s="201" t="s">
        <v>3</v>
      </c>
      <c r="C3" s="114" t="s">
        <v>314</v>
      </c>
      <c r="D3" s="116" t="s">
        <v>136</v>
      </c>
      <c r="E3" s="114" t="s">
        <v>416</v>
      </c>
      <c r="F3" s="455">
        <f t="shared" ref="F3:F32" si="2">W3</f>
        <v>0.6785714285714286</v>
      </c>
      <c r="G3" s="222" t="s">
        <v>14</v>
      </c>
      <c r="H3" s="223" t="s">
        <v>730</v>
      </c>
      <c r="I3" s="114" t="s">
        <v>410</v>
      </c>
      <c r="J3" s="467" t="s">
        <v>4</v>
      </c>
      <c r="K3" s="112"/>
      <c r="L3" s="116">
        <v>40725</v>
      </c>
      <c r="M3" s="114" t="s">
        <v>182</v>
      </c>
      <c r="N3" s="114"/>
      <c r="O3" s="114">
        <v>2000</v>
      </c>
      <c r="P3" s="114">
        <v>14</v>
      </c>
      <c r="Q3" s="119">
        <f>O3*P3</f>
        <v>28000</v>
      </c>
      <c r="R3" s="119"/>
      <c r="S3" s="232"/>
      <c r="T3" s="232"/>
      <c r="U3" s="232">
        <v>47000</v>
      </c>
      <c r="V3" s="403">
        <f t="shared" si="0"/>
        <v>19000</v>
      </c>
      <c r="W3" s="197">
        <f t="shared" si="1"/>
        <v>0.6785714285714286</v>
      </c>
      <c r="X3" s="190"/>
      <c r="Y3" s="190"/>
      <c r="Z3" s="116">
        <v>42278</v>
      </c>
      <c r="AA3" s="111"/>
      <c r="AB3" s="111"/>
      <c r="AC3" s="111"/>
    </row>
    <row r="4" spans="1:33" s="106" customFormat="1" ht="15">
      <c r="A4" s="111">
        <f t="shared" ref="A4:A32" si="3">A3+1</f>
        <v>3</v>
      </c>
      <c r="B4" s="201" t="s">
        <v>8</v>
      </c>
      <c r="C4" s="114" t="s">
        <v>314</v>
      </c>
      <c r="D4" s="116" t="s">
        <v>136</v>
      </c>
      <c r="E4" s="114" t="s">
        <v>416</v>
      </c>
      <c r="F4" s="455">
        <f t="shared" si="2"/>
        <v>0.67708333333333337</v>
      </c>
      <c r="G4" s="222" t="s">
        <v>14</v>
      </c>
      <c r="H4" s="223" t="s">
        <v>59</v>
      </c>
      <c r="I4" s="114" t="s">
        <v>410</v>
      </c>
      <c r="J4" s="112" t="s">
        <v>269</v>
      </c>
      <c r="K4" s="112"/>
      <c r="L4" s="116">
        <v>42036</v>
      </c>
      <c r="M4" s="114" t="s">
        <v>182</v>
      </c>
      <c r="N4" s="114"/>
      <c r="O4" s="114">
        <v>4000</v>
      </c>
      <c r="P4" s="114">
        <v>24</v>
      </c>
      <c r="Q4" s="119">
        <f>O4*P4</f>
        <v>96000</v>
      </c>
      <c r="R4" s="119">
        <v>24.39</v>
      </c>
      <c r="S4" s="232">
        <v>44.33</v>
      </c>
      <c r="T4" s="232">
        <v>3667</v>
      </c>
      <c r="U4" s="232">
        <v>161000</v>
      </c>
      <c r="V4" s="403">
        <f>U4-Q4</f>
        <v>65000</v>
      </c>
      <c r="W4" s="197">
        <f t="shared" ref="W4:W9" si="4">(U4-Q4)/Q4</f>
        <v>0.67708333333333337</v>
      </c>
      <c r="X4" s="190"/>
      <c r="Y4" s="190"/>
      <c r="Z4" s="116">
        <v>43132</v>
      </c>
      <c r="AA4" s="111"/>
      <c r="AB4" s="111"/>
      <c r="AC4" s="111"/>
    </row>
    <row r="5" spans="1:33" s="114" customFormat="1" ht="15">
      <c r="A5" s="111">
        <f t="shared" si="3"/>
        <v>4</v>
      </c>
      <c r="B5" s="201" t="s">
        <v>61</v>
      </c>
      <c r="C5" s="114" t="s">
        <v>314</v>
      </c>
      <c r="D5" s="114" t="s">
        <v>136</v>
      </c>
      <c r="E5" s="114" t="s">
        <v>416</v>
      </c>
      <c r="F5" s="455">
        <f t="shared" si="2"/>
        <v>0.73297500000000004</v>
      </c>
      <c r="G5" s="222" t="s">
        <v>14</v>
      </c>
      <c r="H5" s="224" t="s">
        <v>59</v>
      </c>
      <c r="I5" s="114" t="s">
        <v>414</v>
      </c>
      <c r="J5" s="222">
        <v>9102970414</v>
      </c>
      <c r="K5" s="222"/>
      <c r="L5" s="114">
        <v>43220</v>
      </c>
      <c r="M5" s="114" t="s">
        <v>409</v>
      </c>
      <c r="O5" s="114" t="s">
        <v>314</v>
      </c>
      <c r="P5" s="114" t="s">
        <v>314</v>
      </c>
      <c r="Q5" s="114">
        <v>40000</v>
      </c>
      <c r="R5" s="114">
        <v>63.1</v>
      </c>
      <c r="S5" s="261" t="s">
        <v>992</v>
      </c>
      <c r="T5" s="114">
        <v>634</v>
      </c>
      <c r="U5" s="232">
        <v>69319</v>
      </c>
      <c r="V5" s="403">
        <f>U5-Q5</f>
        <v>29319</v>
      </c>
      <c r="W5" s="197">
        <f t="shared" si="4"/>
        <v>0.73297500000000004</v>
      </c>
      <c r="Z5" s="259">
        <v>44834</v>
      </c>
      <c r="AA5" s="114" t="s">
        <v>662</v>
      </c>
      <c r="AB5" s="282" t="s">
        <v>729</v>
      </c>
    </row>
    <row r="6" spans="1:33" s="106" customFormat="1" ht="15">
      <c r="A6" s="111">
        <f t="shared" si="3"/>
        <v>5</v>
      </c>
      <c r="B6" s="201" t="s">
        <v>1477</v>
      </c>
      <c r="C6" s="114" t="s">
        <v>314</v>
      </c>
      <c r="D6" s="402" t="s">
        <v>413</v>
      </c>
      <c r="E6" s="114" t="s">
        <v>416</v>
      </c>
      <c r="F6" s="455">
        <f t="shared" si="2"/>
        <v>1.6052631578947369</v>
      </c>
      <c r="G6" s="222" t="s">
        <v>14</v>
      </c>
      <c r="H6" s="222" t="s">
        <v>58</v>
      </c>
      <c r="I6" s="183" t="s">
        <v>410</v>
      </c>
      <c r="J6" s="112" t="s">
        <v>18</v>
      </c>
      <c r="K6" s="398"/>
      <c r="L6" s="116">
        <v>42614</v>
      </c>
      <c r="M6" s="114" t="s">
        <v>182</v>
      </c>
      <c r="N6" s="114"/>
      <c r="O6" s="114">
        <v>1000</v>
      </c>
      <c r="P6" s="114">
        <v>19</v>
      </c>
      <c r="Q6" s="119">
        <f>O6*P6</f>
        <v>19000</v>
      </c>
      <c r="R6" s="119">
        <v>42.5</v>
      </c>
      <c r="S6" s="232">
        <v>55</v>
      </c>
      <c r="T6" s="232">
        <v>389</v>
      </c>
      <c r="U6" s="232">
        <v>49500</v>
      </c>
      <c r="V6" s="403">
        <f>U6-Q6</f>
        <v>30500</v>
      </c>
      <c r="W6" s="197">
        <f t="shared" si="4"/>
        <v>1.6052631578947369</v>
      </c>
      <c r="X6" s="190"/>
      <c r="Y6" s="190"/>
      <c r="Z6" s="114"/>
      <c r="AA6" s="131" t="s">
        <v>963</v>
      </c>
      <c r="AB6" s="399"/>
      <c r="AC6" s="410" t="s">
        <v>1480</v>
      </c>
    </row>
    <row r="7" spans="1:33" s="106" customFormat="1" ht="15">
      <c r="A7" s="111">
        <f t="shared" si="3"/>
        <v>6</v>
      </c>
      <c r="B7" s="201" t="s">
        <v>16</v>
      </c>
      <c r="C7" s="114" t="s">
        <v>314</v>
      </c>
      <c r="D7" s="402" t="s">
        <v>412</v>
      </c>
      <c r="E7" s="114" t="s">
        <v>416</v>
      </c>
      <c r="F7" s="455">
        <f t="shared" si="2"/>
        <v>1.7260205555555552</v>
      </c>
      <c r="G7" s="222" t="s">
        <v>14</v>
      </c>
      <c r="H7" s="222" t="s">
        <v>59</v>
      </c>
      <c r="I7" s="183" t="s">
        <v>410</v>
      </c>
      <c r="J7" s="112" t="s">
        <v>17</v>
      </c>
      <c r="K7" s="398"/>
      <c r="L7" s="116">
        <v>42614</v>
      </c>
      <c r="M7" s="114" t="s">
        <v>182</v>
      </c>
      <c r="N7" s="114"/>
      <c r="O7" s="114">
        <v>1000</v>
      </c>
      <c r="P7" s="114">
        <v>18</v>
      </c>
      <c r="Q7" s="119">
        <f>O7*P7</f>
        <v>18000</v>
      </c>
      <c r="R7" s="119">
        <v>13.77</v>
      </c>
      <c r="S7" s="232">
        <v>42.41</v>
      </c>
      <c r="T7" s="232">
        <v>1157</v>
      </c>
      <c r="U7" s="232">
        <f>S7*T7</f>
        <v>49068.369999999995</v>
      </c>
      <c r="V7" s="403">
        <f>U7-Q7</f>
        <v>31068.369999999995</v>
      </c>
      <c r="W7" s="197">
        <f t="shared" si="4"/>
        <v>1.7260205555555552</v>
      </c>
      <c r="X7" s="190"/>
      <c r="Y7" s="190"/>
      <c r="Z7" s="114"/>
      <c r="AA7" s="111"/>
      <c r="AB7" s="194" t="s">
        <v>428</v>
      </c>
      <c r="AC7" s="410" t="s">
        <v>1480</v>
      </c>
      <c r="AD7" s="260" t="s">
        <v>663</v>
      </c>
    </row>
    <row r="8" spans="1:33" s="106" customFormat="1" ht="15">
      <c r="A8" s="111">
        <f t="shared" si="3"/>
        <v>7</v>
      </c>
      <c r="B8" s="201" t="s">
        <v>1054</v>
      </c>
      <c r="C8" s="116">
        <v>44287</v>
      </c>
      <c r="D8" s="116" t="s">
        <v>136</v>
      </c>
      <c r="E8" s="114" t="s">
        <v>416</v>
      </c>
      <c r="F8" s="455">
        <f t="shared" si="2"/>
        <v>1.357461</v>
      </c>
      <c r="G8" s="222" t="s">
        <v>14</v>
      </c>
      <c r="H8" s="222" t="s">
        <v>59</v>
      </c>
      <c r="I8" s="114" t="s">
        <v>414</v>
      </c>
      <c r="J8" s="112">
        <v>61069494</v>
      </c>
      <c r="K8" s="398"/>
      <c r="L8" s="116">
        <v>43249</v>
      </c>
      <c r="M8" s="114" t="s">
        <v>409</v>
      </c>
      <c r="N8" s="114"/>
      <c r="O8" s="114" t="s">
        <v>314</v>
      </c>
      <c r="P8" s="114" t="s">
        <v>314</v>
      </c>
      <c r="Q8" s="119">
        <v>20000</v>
      </c>
      <c r="R8" s="119">
        <v>218</v>
      </c>
      <c r="S8" s="114">
        <v>514</v>
      </c>
      <c r="T8" s="232">
        <v>91.73</v>
      </c>
      <c r="U8" s="232">
        <f>S8*T8</f>
        <v>47149.22</v>
      </c>
      <c r="V8" s="403">
        <f>U8-Q8</f>
        <v>27149.22</v>
      </c>
      <c r="W8" s="197">
        <f t="shared" si="4"/>
        <v>1.357461</v>
      </c>
      <c r="X8" s="190"/>
      <c r="Y8" s="190"/>
      <c r="Z8" s="406" t="s">
        <v>420</v>
      </c>
      <c r="AA8" s="131" t="s">
        <v>421</v>
      </c>
      <c r="AB8" s="399" t="s">
        <v>422</v>
      </c>
      <c r="AC8" s="399"/>
    </row>
    <row r="9" spans="1:33" s="106" customFormat="1" ht="15">
      <c r="A9" s="111">
        <f t="shared" si="3"/>
        <v>8</v>
      </c>
      <c r="B9" s="201" t="s">
        <v>1053</v>
      </c>
      <c r="C9" s="412" t="s">
        <v>314</v>
      </c>
      <c r="D9" s="116" t="s">
        <v>412</v>
      </c>
      <c r="E9" s="114" t="s">
        <v>416</v>
      </c>
      <c r="F9" s="455">
        <f t="shared" si="2"/>
        <v>1.4557142857142857</v>
      </c>
      <c r="G9" s="222" t="s">
        <v>184</v>
      </c>
      <c r="H9" s="222" t="s">
        <v>58</v>
      </c>
      <c r="I9" s="114" t="s">
        <v>414</v>
      </c>
      <c r="J9" s="112">
        <v>5334524</v>
      </c>
      <c r="K9" s="398"/>
      <c r="L9" s="116">
        <v>43291</v>
      </c>
      <c r="M9" s="114" t="s">
        <v>182</v>
      </c>
      <c r="N9" s="114"/>
      <c r="O9" s="114">
        <v>1000</v>
      </c>
      <c r="P9" s="114">
        <v>21</v>
      </c>
      <c r="Q9" s="119">
        <f>O9*P9</f>
        <v>21000</v>
      </c>
      <c r="R9" s="119">
        <v>35.5</v>
      </c>
      <c r="S9" s="114">
        <v>90</v>
      </c>
      <c r="T9" s="232">
        <v>573</v>
      </c>
      <c r="U9" s="232">
        <f>T9*S9</f>
        <v>51570</v>
      </c>
      <c r="V9" s="403"/>
      <c r="W9" s="197">
        <f t="shared" si="4"/>
        <v>1.4557142857142857</v>
      </c>
      <c r="X9" s="190"/>
      <c r="Y9" s="190"/>
      <c r="Z9" s="114"/>
      <c r="AA9" s="131" t="s">
        <v>893</v>
      </c>
      <c r="AB9" s="399"/>
      <c r="AC9" s="399" t="s">
        <v>1481</v>
      </c>
      <c r="AD9" s="245"/>
    </row>
    <row r="10" spans="1:33" ht="15">
      <c r="A10" s="111">
        <f t="shared" si="3"/>
        <v>9</v>
      </c>
      <c r="B10" s="201" t="s">
        <v>1077</v>
      </c>
      <c r="C10" s="116">
        <v>44598</v>
      </c>
      <c r="D10" s="470" t="s">
        <v>1558</v>
      </c>
      <c r="E10" s="114" t="s">
        <v>416</v>
      </c>
      <c r="F10" s="455">
        <f t="shared" si="2"/>
        <v>1</v>
      </c>
      <c r="G10" s="222" t="s">
        <v>184</v>
      </c>
      <c r="H10" s="413" t="s">
        <v>753</v>
      </c>
      <c r="I10" s="114" t="s">
        <v>414</v>
      </c>
      <c r="J10" s="414" t="s">
        <v>754</v>
      </c>
      <c r="K10" s="415" t="s">
        <v>1046</v>
      </c>
      <c r="L10" s="116">
        <v>44233</v>
      </c>
      <c r="M10" s="416" t="s">
        <v>409</v>
      </c>
      <c r="N10" s="416"/>
      <c r="O10" s="114">
        <v>12500</v>
      </c>
      <c r="P10" s="417">
        <v>1</v>
      </c>
      <c r="Q10" s="119">
        <v>12500</v>
      </c>
      <c r="R10" s="119">
        <v>26.44</v>
      </c>
      <c r="S10" s="418"/>
      <c r="T10" s="119">
        <v>472.7</v>
      </c>
      <c r="U10" s="232">
        <v>25000</v>
      </c>
      <c r="V10" s="119"/>
      <c r="W10" s="197">
        <f t="shared" ref="W10" si="5">(U10-Q10)/Q10</f>
        <v>1</v>
      </c>
      <c r="X10" s="419"/>
      <c r="Y10" s="419"/>
      <c r="Z10" s="420"/>
      <c r="AA10" s="131"/>
      <c r="AB10" s="399" t="s">
        <v>1470</v>
      </c>
      <c r="AC10" s="399"/>
      <c r="AD10" s="245"/>
    </row>
    <row r="11" spans="1:33" s="106" customFormat="1" ht="15">
      <c r="A11" s="111">
        <f t="shared" si="3"/>
        <v>10</v>
      </c>
      <c r="B11" s="201" t="s">
        <v>520</v>
      </c>
      <c r="C11" s="116">
        <v>44266</v>
      </c>
      <c r="D11" s="114" t="s">
        <v>136</v>
      </c>
      <c r="E11" s="114" t="s">
        <v>416</v>
      </c>
      <c r="F11" s="455">
        <f t="shared" si="2"/>
        <v>0.57999999999999996</v>
      </c>
      <c r="G11" s="222" t="s">
        <v>184</v>
      </c>
      <c r="H11" s="222" t="s">
        <v>58</v>
      </c>
      <c r="I11" s="114" t="s">
        <v>414</v>
      </c>
      <c r="J11" s="222" t="s">
        <v>405</v>
      </c>
      <c r="K11" s="114"/>
      <c r="L11" s="114">
        <v>43906</v>
      </c>
      <c r="M11" s="114" t="s">
        <v>409</v>
      </c>
      <c r="N11" s="114"/>
      <c r="O11" s="114">
        <v>50000</v>
      </c>
      <c r="P11" s="114">
        <v>1</v>
      </c>
      <c r="Q11" s="114">
        <f>O11*P11</f>
        <v>50000</v>
      </c>
      <c r="R11" s="114">
        <v>30.23</v>
      </c>
      <c r="S11" s="114">
        <v>66.3</v>
      </c>
      <c r="T11" s="114">
        <v>1654</v>
      </c>
      <c r="U11" s="232">
        <f>T11*S11</f>
        <v>109660.2</v>
      </c>
      <c r="V11" s="114">
        <f>U11-Q11</f>
        <v>59660.2</v>
      </c>
      <c r="W11" s="197">
        <v>0.57999999999999996</v>
      </c>
      <c r="X11" s="114"/>
      <c r="Y11" s="114">
        <v>0.15</v>
      </c>
      <c r="Z11" s="114"/>
      <c r="AA11" s="114" t="s">
        <v>418</v>
      </c>
      <c r="AB11" s="399"/>
      <c r="AC11" s="399" t="s">
        <v>518</v>
      </c>
      <c r="AD11" s="245"/>
    </row>
    <row r="12" spans="1:33" s="106" customFormat="1" ht="15">
      <c r="A12" s="111">
        <f t="shared" si="3"/>
        <v>11</v>
      </c>
      <c r="B12" s="201" t="s">
        <v>11</v>
      </c>
      <c r="C12" s="114" t="s">
        <v>314</v>
      </c>
      <c r="D12" s="116" t="s">
        <v>136</v>
      </c>
      <c r="E12" s="114" t="s">
        <v>416</v>
      </c>
      <c r="F12" s="455">
        <f t="shared" si="2"/>
        <v>0.47187499999999999</v>
      </c>
      <c r="G12" s="222" t="s">
        <v>14</v>
      </c>
      <c r="H12" s="223" t="s">
        <v>59</v>
      </c>
      <c r="I12" s="114" t="s">
        <v>410</v>
      </c>
      <c r="J12" s="112">
        <v>19030264</v>
      </c>
      <c r="K12" s="112"/>
      <c r="L12" s="116">
        <v>42036</v>
      </c>
      <c r="M12" s="114" t="s">
        <v>182</v>
      </c>
      <c r="N12" s="114"/>
      <c r="O12" s="114">
        <v>4000</v>
      </c>
      <c r="P12" s="114">
        <v>24</v>
      </c>
      <c r="Q12" s="119">
        <f>O12*P12</f>
        <v>96000</v>
      </c>
      <c r="R12" s="119"/>
      <c r="S12" s="232"/>
      <c r="T12" s="232"/>
      <c r="U12" s="232">
        <v>141300</v>
      </c>
      <c r="V12" s="403">
        <f>U12-Q12</f>
        <v>45300</v>
      </c>
      <c r="W12" s="197">
        <f>(U12-Q12)/Q12</f>
        <v>0.47187499999999999</v>
      </c>
      <c r="X12" s="190"/>
      <c r="Y12" s="190"/>
      <c r="Z12" s="116">
        <v>43132</v>
      </c>
      <c r="AA12" s="111"/>
      <c r="AB12" s="111"/>
      <c r="AC12" s="407"/>
    </row>
    <row r="13" spans="1:33" s="106" customFormat="1" ht="15">
      <c r="A13" s="111">
        <f t="shared" si="3"/>
        <v>12</v>
      </c>
      <c r="B13" s="201" t="s">
        <v>13</v>
      </c>
      <c r="C13" s="114" t="s">
        <v>314</v>
      </c>
      <c r="D13" s="116" t="s">
        <v>136</v>
      </c>
      <c r="E13" s="114" t="s">
        <v>416</v>
      </c>
      <c r="F13" s="455">
        <f t="shared" si="2"/>
        <v>0.68</v>
      </c>
      <c r="G13" s="222" t="s">
        <v>14</v>
      </c>
      <c r="H13" s="222" t="s">
        <v>58</v>
      </c>
      <c r="I13" s="114" t="s">
        <v>410</v>
      </c>
      <c r="J13" s="111" t="s">
        <v>405</v>
      </c>
      <c r="K13" s="111"/>
      <c r="L13" s="116">
        <v>42384</v>
      </c>
      <c r="M13" s="114" t="s">
        <v>409</v>
      </c>
      <c r="N13" s="114"/>
      <c r="O13" s="111" t="s">
        <v>314</v>
      </c>
      <c r="P13" s="111" t="s">
        <v>314</v>
      </c>
      <c r="Q13" s="111">
        <v>60000</v>
      </c>
      <c r="R13" s="232">
        <v>29</v>
      </c>
      <c r="S13" s="232"/>
      <c r="T13" s="232">
        <v>2074.3000000000002</v>
      </c>
      <c r="U13" s="232">
        <v>100425</v>
      </c>
      <c r="V13" s="403">
        <f>U13-Q13</f>
        <v>40425</v>
      </c>
      <c r="W13" s="197">
        <v>0.68</v>
      </c>
      <c r="X13" s="190"/>
      <c r="Y13" s="190"/>
      <c r="Z13" s="130">
        <v>43831</v>
      </c>
      <c r="AA13" s="111" t="s">
        <v>418</v>
      </c>
      <c r="AB13" s="111"/>
      <c r="AC13" s="131"/>
    </row>
    <row r="14" spans="1:33" ht="15">
      <c r="A14" s="111">
        <f t="shared" si="3"/>
        <v>13</v>
      </c>
      <c r="B14" s="201" t="s">
        <v>818</v>
      </c>
      <c r="C14" s="116">
        <v>44713</v>
      </c>
      <c r="D14" s="470" t="s">
        <v>1558</v>
      </c>
      <c r="E14" s="114" t="s">
        <v>416</v>
      </c>
      <c r="F14" s="455">
        <f t="shared" si="2"/>
        <v>0.591225</v>
      </c>
      <c r="G14" s="222" t="s">
        <v>184</v>
      </c>
      <c r="H14" s="222" t="s">
        <v>58</v>
      </c>
      <c r="I14" s="114" t="s">
        <v>414</v>
      </c>
      <c r="J14" s="442" t="s">
        <v>760</v>
      </c>
      <c r="K14" s="443"/>
      <c r="L14" s="116">
        <v>44256</v>
      </c>
      <c r="M14" s="114" t="s">
        <v>182</v>
      </c>
      <c r="N14" s="444" t="s">
        <v>781</v>
      </c>
      <c r="O14" s="114">
        <v>20000</v>
      </c>
      <c r="P14" s="114">
        <v>4</v>
      </c>
      <c r="Q14" s="119">
        <f>O14*P14</f>
        <v>80000</v>
      </c>
      <c r="R14" s="119" t="s">
        <v>268</v>
      </c>
      <c r="S14" s="119">
        <v>68.62</v>
      </c>
      <c r="T14" s="119">
        <v>1838</v>
      </c>
      <c r="U14" s="445">
        <v>127298</v>
      </c>
      <c r="V14" s="446" t="s">
        <v>314</v>
      </c>
      <c r="W14" s="197">
        <f t="shared" ref="W14" si="6">(U14-Q14)/Q14</f>
        <v>0.591225</v>
      </c>
      <c r="X14" s="419"/>
      <c r="Y14" s="419"/>
      <c r="Z14" s="420" t="s">
        <v>268</v>
      </c>
      <c r="AA14" s="131" t="s">
        <v>764</v>
      </c>
      <c r="AB14" s="131" t="s">
        <v>1485</v>
      </c>
      <c r="AC14" s="441"/>
      <c r="AD14" s="441"/>
    </row>
    <row r="15" spans="1:33" ht="15">
      <c r="A15" s="111">
        <f t="shared" si="3"/>
        <v>14</v>
      </c>
      <c r="B15" s="201" t="s">
        <v>1048</v>
      </c>
      <c r="C15" s="116">
        <v>44713</v>
      </c>
      <c r="D15" s="470" t="s">
        <v>1558</v>
      </c>
      <c r="E15" s="114" t="s">
        <v>416</v>
      </c>
      <c r="F15" s="455">
        <f t="shared" si="2"/>
        <v>0.67464999999999997</v>
      </c>
      <c r="G15" s="222" t="s">
        <v>184</v>
      </c>
      <c r="H15" s="447" t="s">
        <v>60</v>
      </c>
      <c r="I15" s="114" t="s">
        <v>414</v>
      </c>
      <c r="J15" s="112" t="s">
        <v>760</v>
      </c>
      <c r="K15" s="443"/>
      <c r="L15" s="116">
        <v>44260</v>
      </c>
      <c r="M15" s="114" t="s">
        <v>182</v>
      </c>
      <c r="N15" s="444" t="s">
        <v>782</v>
      </c>
      <c r="O15" s="114">
        <v>15000</v>
      </c>
      <c r="P15" s="114">
        <v>5</v>
      </c>
      <c r="Q15" s="119">
        <v>60000</v>
      </c>
      <c r="R15" s="119" t="s">
        <v>268</v>
      </c>
      <c r="S15" s="119">
        <v>28.47</v>
      </c>
      <c r="T15" s="119">
        <v>3495</v>
      </c>
      <c r="U15" s="445">
        <v>100479</v>
      </c>
      <c r="V15" s="446" t="s">
        <v>314</v>
      </c>
      <c r="W15" s="197">
        <f t="shared" ref="W15:W16" si="7">(U15-Q15)/Q15</f>
        <v>0.67464999999999997</v>
      </c>
      <c r="X15" s="419"/>
      <c r="Y15" s="419"/>
      <c r="Z15" s="420" t="s">
        <v>268</v>
      </c>
      <c r="AA15" s="448"/>
      <c r="AB15" s="131" t="s">
        <v>1486</v>
      </c>
      <c r="AC15" s="441" t="s">
        <v>772</v>
      </c>
      <c r="AD15" s="441"/>
      <c r="AF15" s="246"/>
      <c r="AG15" s="246"/>
    </row>
    <row r="16" spans="1:33" ht="15.75">
      <c r="A16" s="111">
        <f t="shared" si="3"/>
        <v>15</v>
      </c>
      <c r="B16" s="201" t="s">
        <v>1047</v>
      </c>
      <c r="C16" s="116"/>
      <c r="D16" s="470" t="s">
        <v>1558</v>
      </c>
      <c r="E16" s="114" t="s">
        <v>416</v>
      </c>
      <c r="F16" s="455">
        <f t="shared" si="2"/>
        <v>1.22</v>
      </c>
      <c r="G16" s="222" t="s">
        <v>184</v>
      </c>
      <c r="H16" s="447" t="s">
        <v>60</v>
      </c>
      <c r="I16" s="114"/>
      <c r="J16" s="112" t="s">
        <v>760</v>
      </c>
      <c r="K16" s="443"/>
      <c r="L16" s="116"/>
      <c r="M16" s="114"/>
      <c r="N16" s="444"/>
      <c r="O16" s="114">
        <v>14600</v>
      </c>
      <c r="P16" s="114"/>
      <c r="Q16" s="119">
        <v>14600</v>
      </c>
      <c r="R16" s="119"/>
      <c r="S16" s="119">
        <v>129</v>
      </c>
      <c r="T16" s="119">
        <v>250</v>
      </c>
      <c r="U16" s="445">
        <v>32412</v>
      </c>
      <c r="V16" s="446"/>
      <c r="W16" s="197">
        <f t="shared" si="7"/>
        <v>1.22</v>
      </c>
      <c r="X16" s="419"/>
      <c r="Y16" s="419"/>
      <c r="Z16" s="420"/>
      <c r="AA16" s="449"/>
      <c r="AB16" s="131" t="s">
        <v>1487</v>
      </c>
      <c r="AC16" s="441"/>
      <c r="AD16" s="441"/>
      <c r="AF16" s="276"/>
      <c r="AG16" s="276"/>
    </row>
    <row r="17" spans="1:30" ht="15.75">
      <c r="A17" s="111">
        <f t="shared" si="3"/>
        <v>16</v>
      </c>
      <c r="B17" s="201" t="s">
        <v>719</v>
      </c>
      <c r="C17" s="116">
        <v>44936</v>
      </c>
      <c r="D17" s="470" t="s">
        <v>1558</v>
      </c>
      <c r="E17" s="114" t="s">
        <v>416</v>
      </c>
      <c r="F17" s="455">
        <f t="shared" si="2"/>
        <v>0.79435</v>
      </c>
      <c r="G17" s="222" t="s">
        <v>184</v>
      </c>
      <c r="H17" s="447" t="s">
        <v>60</v>
      </c>
      <c r="I17" s="114" t="s">
        <v>414</v>
      </c>
      <c r="J17" s="442" t="s">
        <v>761</v>
      </c>
      <c r="K17" s="443"/>
      <c r="L17" s="116">
        <v>44237</v>
      </c>
      <c r="M17" s="114" t="s">
        <v>182</v>
      </c>
      <c r="N17" s="444" t="s">
        <v>587</v>
      </c>
      <c r="O17" s="114">
        <v>10000</v>
      </c>
      <c r="P17" s="114">
        <v>12</v>
      </c>
      <c r="Q17" s="119">
        <v>120000</v>
      </c>
      <c r="R17" s="119" t="s">
        <v>268</v>
      </c>
      <c r="S17" s="119"/>
      <c r="T17" s="119">
        <v>2921</v>
      </c>
      <c r="U17" s="445">
        <v>215322</v>
      </c>
      <c r="V17" s="446" t="s">
        <v>314</v>
      </c>
      <c r="W17" s="197">
        <f>(U17-Q17)/Q17</f>
        <v>0.79435</v>
      </c>
      <c r="X17" s="419"/>
      <c r="Y17" s="449"/>
      <c r="Z17" s="420" t="s">
        <v>268</v>
      </c>
      <c r="AA17" s="131" t="s">
        <v>794</v>
      </c>
      <c r="AB17" s="131" t="s">
        <v>1491</v>
      </c>
      <c r="AC17" s="441"/>
      <c r="AD17" s="441" t="s">
        <v>801</v>
      </c>
    </row>
    <row r="18" spans="1:30" s="106" customFormat="1" ht="15">
      <c r="A18" s="111">
        <f t="shared" si="3"/>
        <v>17</v>
      </c>
      <c r="B18" s="111" t="s">
        <v>5</v>
      </c>
      <c r="C18" s="114" t="s">
        <v>314</v>
      </c>
      <c r="D18" s="470" t="s">
        <v>1558</v>
      </c>
      <c r="E18" s="114" t="s">
        <v>416</v>
      </c>
      <c r="F18" s="454">
        <f t="shared" si="2"/>
        <v>0.14615384615384616</v>
      </c>
      <c r="G18" s="222" t="s">
        <v>14</v>
      </c>
      <c r="H18" s="222" t="s">
        <v>58</v>
      </c>
      <c r="I18" s="114" t="s">
        <v>410</v>
      </c>
      <c r="J18" s="112" t="s">
        <v>6</v>
      </c>
      <c r="K18" s="112"/>
      <c r="L18" s="116">
        <v>40725</v>
      </c>
      <c r="M18" s="114" t="s">
        <v>182</v>
      </c>
      <c r="N18" s="114"/>
      <c r="O18" s="114"/>
      <c r="P18" s="114"/>
      <c r="Q18" s="119">
        <v>65000</v>
      </c>
      <c r="R18" s="119"/>
      <c r="S18" s="232"/>
      <c r="T18" s="232"/>
      <c r="U18" s="232">
        <v>74500</v>
      </c>
      <c r="V18" s="403">
        <f t="shared" si="0"/>
        <v>9500</v>
      </c>
      <c r="W18" s="199">
        <f t="shared" si="1"/>
        <v>0.14615384615384616</v>
      </c>
      <c r="X18" s="190"/>
      <c r="Y18" s="190"/>
      <c r="Z18" s="116">
        <v>42248</v>
      </c>
      <c r="AA18" s="234"/>
      <c r="AB18" s="234" t="s">
        <v>789</v>
      </c>
      <c r="AC18" s="111"/>
    </row>
    <row r="19" spans="1:30" s="106" customFormat="1" ht="15">
      <c r="A19" s="111">
        <f t="shared" si="3"/>
        <v>18</v>
      </c>
      <c r="B19" s="188" t="s">
        <v>9</v>
      </c>
      <c r="C19" s="114" t="s">
        <v>314</v>
      </c>
      <c r="D19" s="116" t="s">
        <v>136</v>
      </c>
      <c r="E19" s="114" t="s">
        <v>416</v>
      </c>
      <c r="F19" s="508">
        <f t="shared" si="2"/>
        <v>0.25</v>
      </c>
      <c r="G19" s="222" t="s">
        <v>14</v>
      </c>
      <c r="H19" s="222" t="s">
        <v>58</v>
      </c>
      <c r="I19" s="114" t="s">
        <v>410</v>
      </c>
      <c r="J19" s="252" t="s">
        <v>10</v>
      </c>
      <c r="K19" s="252"/>
      <c r="L19" s="116">
        <v>42036</v>
      </c>
      <c r="M19" s="114" t="s">
        <v>182</v>
      </c>
      <c r="N19" s="114"/>
      <c r="O19" s="114">
        <v>2000</v>
      </c>
      <c r="P19" s="114">
        <v>24</v>
      </c>
      <c r="Q19" s="119">
        <f>O19*P19</f>
        <v>48000</v>
      </c>
      <c r="R19" s="119"/>
      <c r="S19" s="232"/>
      <c r="T19" s="232"/>
      <c r="U19" s="232">
        <v>60000</v>
      </c>
      <c r="V19" s="403">
        <f t="shared" si="0"/>
        <v>12000</v>
      </c>
      <c r="W19" s="198">
        <f t="shared" si="1"/>
        <v>0.25</v>
      </c>
      <c r="X19" s="190"/>
      <c r="Y19" s="190"/>
      <c r="Z19" s="116">
        <v>43132</v>
      </c>
      <c r="AA19" s="234" t="s">
        <v>790</v>
      </c>
      <c r="AB19" s="234" t="s">
        <v>789</v>
      </c>
      <c r="AC19" s="111"/>
    </row>
    <row r="20" spans="1:30" s="106" customFormat="1" ht="15">
      <c r="A20" s="111">
        <f t="shared" si="3"/>
        <v>19</v>
      </c>
      <c r="B20" s="111" t="s">
        <v>15</v>
      </c>
      <c r="C20" s="114" t="s">
        <v>314</v>
      </c>
      <c r="D20" s="116" t="s">
        <v>136</v>
      </c>
      <c r="E20" s="284" t="s">
        <v>416</v>
      </c>
      <c r="F20" s="454">
        <f t="shared" si="2"/>
        <v>0</v>
      </c>
      <c r="G20" s="222" t="s">
        <v>14</v>
      </c>
      <c r="H20" s="222" t="s">
        <v>60</v>
      </c>
      <c r="I20" s="114" t="s">
        <v>410</v>
      </c>
      <c r="J20" s="112">
        <v>1017714175</v>
      </c>
      <c r="K20" s="112"/>
      <c r="L20" s="116">
        <v>42531</v>
      </c>
      <c r="M20" s="114" t="s">
        <v>182</v>
      </c>
      <c r="N20" s="114"/>
      <c r="O20" s="114">
        <v>10000</v>
      </c>
      <c r="P20" s="114">
        <v>10</v>
      </c>
      <c r="Q20" s="119">
        <f>O20*P20</f>
        <v>100000</v>
      </c>
      <c r="R20" s="119">
        <v>22</v>
      </c>
      <c r="S20" s="232"/>
      <c r="T20" s="232">
        <v>4269</v>
      </c>
      <c r="U20" s="232">
        <v>138400</v>
      </c>
      <c r="V20" s="403">
        <f t="shared" si="0"/>
        <v>38400</v>
      </c>
      <c r="W20" s="190"/>
      <c r="X20" s="190"/>
      <c r="Y20" s="190"/>
      <c r="Z20" s="183" t="s">
        <v>440</v>
      </c>
      <c r="AA20" s="131" t="s">
        <v>439</v>
      </c>
      <c r="AB20" s="184" t="s">
        <v>664</v>
      </c>
      <c r="AC20" s="407"/>
    </row>
    <row r="21" spans="1:30" s="106" customFormat="1" ht="15">
      <c r="A21" s="111">
        <f t="shared" si="3"/>
        <v>20</v>
      </c>
      <c r="B21" s="202" t="s">
        <v>54</v>
      </c>
      <c r="C21" s="114" t="s">
        <v>314</v>
      </c>
      <c r="D21" s="116" t="s">
        <v>136</v>
      </c>
      <c r="E21" s="114" t="s">
        <v>416</v>
      </c>
      <c r="F21" s="454">
        <f t="shared" si="2"/>
        <v>0.17130000000000001</v>
      </c>
      <c r="G21" s="222" t="s">
        <v>14</v>
      </c>
      <c r="H21" s="222" t="s">
        <v>59</v>
      </c>
      <c r="I21" s="114" t="s">
        <v>414</v>
      </c>
      <c r="J21" s="112">
        <v>1000083715</v>
      </c>
      <c r="K21" s="112"/>
      <c r="L21" s="116">
        <v>43101</v>
      </c>
      <c r="M21" s="114" t="s">
        <v>409</v>
      </c>
      <c r="N21" s="114"/>
      <c r="O21" s="114" t="s">
        <v>314</v>
      </c>
      <c r="P21" s="114" t="s">
        <v>314</v>
      </c>
      <c r="Q21" s="119">
        <v>40000</v>
      </c>
      <c r="R21" s="119">
        <v>12.9</v>
      </c>
      <c r="S21" s="232">
        <v>12.75</v>
      </c>
      <c r="T21" s="232">
        <v>3100</v>
      </c>
      <c r="U21" s="232">
        <v>46852</v>
      </c>
      <c r="V21" s="403">
        <f t="shared" si="0"/>
        <v>6852</v>
      </c>
      <c r="W21" s="199">
        <f t="shared" ref="W21:W27" si="8">(U21-Q21)/Q21</f>
        <v>0.17130000000000001</v>
      </c>
      <c r="X21" s="190"/>
      <c r="Y21" s="190"/>
      <c r="Z21" s="230" t="s">
        <v>767</v>
      </c>
      <c r="AA21" s="131" t="s">
        <v>419</v>
      </c>
      <c r="AB21" s="111"/>
      <c r="AC21" s="408" t="s">
        <v>721</v>
      </c>
    </row>
    <row r="22" spans="1:30" s="106" customFormat="1" ht="15">
      <c r="A22" s="111">
        <f t="shared" si="3"/>
        <v>21</v>
      </c>
      <c r="B22" s="202" t="s">
        <v>55</v>
      </c>
      <c r="C22" s="114" t="s">
        <v>314</v>
      </c>
      <c r="D22" s="116" t="s">
        <v>136</v>
      </c>
      <c r="E22" s="114" t="s">
        <v>416</v>
      </c>
      <c r="F22" s="454">
        <f t="shared" si="2"/>
        <v>0.17727999999999999</v>
      </c>
      <c r="G22" s="222" t="s">
        <v>14</v>
      </c>
      <c r="H22" s="222" t="s">
        <v>59</v>
      </c>
      <c r="I22" s="114" t="s">
        <v>414</v>
      </c>
      <c r="J22" s="112" t="s">
        <v>56</v>
      </c>
      <c r="K22" s="112"/>
      <c r="L22" s="116">
        <v>43101</v>
      </c>
      <c r="M22" s="114" t="s">
        <v>409</v>
      </c>
      <c r="N22" s="114"/>
      <c r="O22" s="114" t="s">
        <v>314</v>
      </c>
      <c r="P22" s="114" t="s">
        <v>314</v>
      </c>
      <c r="Q22" s="119">
        <v>50000</v>
      </c>
      <c r="R22" s="119">
        <v>62.5</v>
      </c>
      <c r="S22" s="232">
        <v>60</v>
      </c>
      <c r="T22" s="232">
        <v>797.45</v>
      </c>
      <c r="U22" s="232">
        <v>58864</v>
      </c>
      <c r="V22" s="403">
        <f t="shared" si="0"/>
        <v>8864</v>
      </c>
      <c r="W22" s="199">
        <f t="shared" si="8"/>
        <v>0.17727999999999999</v>
      </c>
      <c r="X22" s="190"/>
      <c r="Y22" s="190"/>
      <c r="Z22" s="229" t="s">
        <v>767</v>
      </c>
      <c r="AA22" s="131" t="s">
        <v>421</v>
      </c>
      <c r="AB22" s="111"/>
      <c r="AC22" s="408" t="s">
        <v>723</v>
      </c>
    </row>
    <row r="23" spans="1:30" s="106" customFormat="1" ht="15">
      <c r="A23" s="111">
        <f t="shared" si="3"/>
        <v>22</v>
      </c>
      <c r="B23" s="203" t="s">
        <v>425</v>
      </c>
      <c r="C23" s="114" t="s">
        <v>314</v>
      </c>
      <c r="D23" s="116" t="s">
        <v>136</v>
      </c>
      <c r="E23" s="114" t="s">
        <v>416</v>
      </c>
      <c r="F23" s="454">
        <f t="shared" si="2"/>
        <v>0.18365333333333334</v>
      </c>
      <c r="G23" s="222" t="s">
        <v>184</v>
      </c>
      <c r="H23" s="222" t="s">
        <v>58</v>
      </c>
      <c r="I23" s="114" t="s">
        <v>414</v>
      </c>
      <c r="J23" s="192" t="s">
        <v>269</v>
      </c>
      <c r="K23" s="192"/>
      <c r="L23" s="116">
        <v>43313</v>
      </c>
      <c r="M23" s="114" t="s">
        <v>182</v>
      </c>
      <c r="N23" s="114"/>
      <c r="O23" s="114">
        <v>15000</v>
      </c>
      <c r="P23" s="114">
        <v>15</v>
      </c>
      <c r="Q23" s="119">
        <f t="shared" ref="Q23:Q30" si="9">O23*P23</f>
        <v>225000</v>
      </c>
      <c r="R23" s="119">
        <v>36.450000000000003</v>
      </c>
      <c r="S23" s="232">
        <v>38.270000000000003</v>
      </c>
      <c r="T23" s="232">
        <v>6376</v>
      </c>
      <c r="U23" s="232">
        <v>266322</v>
      </c>
      <c r="V23" s="403">
        <f t="shared" si="0"/>
        <v>41322</v>
      </c>
      <c r="W23" s="199">
        <f t="shared" si="8"/>
        <v>0.18365333333333334</v>
      </c>
      <c r="X23" s="190"/>
      <c r="Y23" s="190"/>
      <c r="Z23" s="114"/>
      <c r="AA23" s="131" t="s">
        <v>426</v>
      </c>
      <c r="AB23" s="193" t="s">
        <v>729</v>
      </c>
      <c r="AC23" s="408" t="s">
        <v>724</v>
      </c>
    </row>
    <row r="24" spans="1:30" s="106" customFormat="1" ht="15">
      <c r="A24" s="111">
        <f t="shared" si="3"/>
        <v>23</v>
      </c>
      <c r="B24" s="194" t="s">
        <v>424</v>
      </c>
      <c r="C24" s="114" t="s">
        <v>314</v>
      </c>
      <c r="D24" s="116" t="s">
        <v>136</v>
      </c>
      <c r="E24" s="114" t="s">
        <v>416</v>
      </c>
      <c r="F24" s="454">
        <f t="shared" si="2"/>
        <v>2.7900000000000001E-2</v>
      </c>
      <c r="G24" s="222" t="s">
        <v>184</v>
      </c>
      <c r="H24" s="222" t="s">
        <v>58</v>
      </c>
      <c r="I24" s="114" t="s">
        <v>410</v>
      </c>
      <c r="J24" s="192" t="s">
        <v>269</v>
      </c>
      <c r="K24" s="192"/>
      <c r="L24" s="116">
        <v>43322</v>
      </c>
      <c r="M24" s="195" t="s">
        <v>182</v>
      </c>
      <c r="N24" s="195"/>
      <c r="O24" s="114">
        <v>15000</v>
      </c>
      <c r="P24" s="114">
        <v>2</v>
      </c>
      <c r="Q24" s="119">
        <f t="shared" si="9"/>
        <v>30000</v>
      </c>
      <c r="R24" s="119">
        <v>33.75</v>
      </c>
      <c r="S24" s="232">
        <v>35.159999999999997</v>
      </c>
      <c r="T24" s="232">
        <v>877</v>
      </c>
      <c r="U24" s="232">
        <v>30837</v>
      </c>
      <c r="V24" s="403">
        <f t="shared" si="0"/>
        <v>837</v>
      </c>
      <c r="W24" s="190">
        <f t="shared" si="8"/>
        <v>2.7900000000000001E-2</v>
      </c>
      <c r="X24" s="190"/>
      <c r="Y24" s="190"/>
      <c r="Z24" s="229" t="s">
        <v>767</v>
      </c>
      <c r="AA24" s="131" t="s">
        <v>426</v>
      </c>
      <c r="AB24" s="196"/>
      <c r="AC24" s="131"/>
    </row>
    <row r="25" spans="1:30" s="106" customFormat="1" ht="15">
      <c r="A25" s="111">
        <f t="shared" si="3"/>
        <v>24</v>
      </c>
      <c r="B25" s="188" t="s">
        <v>272</v>
      </c>
      <c r="C25" s="114" t="s">
        <v>314</v>
      </c>
      <c r="D25" s="116" t="s">
        <v>136</v>
      </c>
      <c r="E25" s="114" t="s">
        <v>416</v>
      </c>
      <c r="F25" s="454">
        <f t="shared" si="2"/>
        <v>0.32964930555555555</v>
      </c>
      <c r="G25" s="222" t="s">
        <v>184</v>
      </c>
      <c r="H25" s="224" t="s">
        <v>59</v>
      </c>
      <c r="I25" s="114" t="s">
        <v>414</v>
      </c>
      <c r="J25" s="192" t="s">
        <v>269</v>
      </c>
      <c r="K25" s="192"/>
      <c r="L25" s="116">
        <v>43313</v>
      </c>
      <c r="M25" s="114" t="s">
        <v>182</v>
      </c>
      <c r="N25" s="114"/>
      <c r="O25" s="114">
        <v>18000</v>
      </c>
      <c r="P25" s="114">
        <v>16</v>
      </c>
      <c r="Q25" s="119">
        <f t="shared" si="9"/>
        <v>288000</v>
      </c>
      <c r="R25" s="119">
        <v>45.4</v>
      </c>
      <c r="S25" s="232">
        <v>42.2</v>
      </c>
      <c r="T25" s="232">
        <v>6969</v>
      </c>
      <c r="U25" s="232">
        <v>382939</v>
      </c>
      <c r="V25" s="403">
        <f t="shared" si="0"/>
        <v>94939</v>
      </c>
      <c r="W25" s="198">
        <f t="shared" si="8"/>
        <v>0.32964930555555555</v>
      </c>
      <c r="X25" s="190"/>
      <c r="Y25" s="190"/>
      <c r="Z25" s="114"/>
      <c r="AA25" s="131" t="s">
        <v>426</v>
      </c>
      <c r="AB25" s="193" t="s">
        <v>729</v>
      </c>
      <c r="AC25" s="408" t="s">
        <v>727</v>
      </c>
    </row>
    <row r="26" spans="1:30" s="106" customFormat="1" ht="15">
      <c r="A26" s="111">
        <f t="shared" si="3"/>
        <v>25</v>
      </c>
      <c r="B26" s="200" t="s">
        <v>266</v>
      </c>
      <c r="C26" s="114" t="s">
        <v>314</v>
      </c>
      <c r="D26" s="116" t="s">
        <v>136</v>
      </c>
      <c r="E26" s="114" t="s">
        <v>416</v>
      </c>
      <c r="F26" s="454">
        <f t="shared" si="2"/>
        <v>0.38711250000000003</v>
      </c>
      <c r="G26" s="222" t="s">
        <v>184</v>
      </c>
      <c r="H26" s="224" t="s">
        <v>60</v>
      </c>
      <c r="I26" s="114" t="s">
        <v>414</v>
      </c>
      <c r="J26" s="112">
        <v>19914138621</v>
      </c>
      <c r="K26" s="112"/>
      <c r="L26" s="116">
        <v>43318</v>
      </c>
      <c r="M26" s="114" t="s">
        <v>182</v>
      </c>
      <c r="N26" s="114"/>
      <c r="O26" s="114">
        <v>15000</v>
      </c>
      <c r="P26" s="114">
        <v>16</v>
      </c>
      <c r="Q26" s="119">
        <f t="shared" si="9"/>
        <v>240000</v>
      </c>
      <c r="R26" s="119">
        <v>102.7</v>
      </c>
      <c r="S26" s="232">
        <v>104.6</v>
      </c>
      <c r="T26" s="232">
        <v>2496</v>
      </c>
      <c r="U26" s="232">
        <v>332907</v>
      </c>
      <c r="V26" s="403">
        <f t="shared" si="0"/>
        <v>92907</v>
      </c>
      <c r="W26" s="198">
        <f t="shared" si="8"/>
        <v>0.38711250000000003</v>
      </c>
      <c r="X26" s="190"/>
      <c r="Y26" s="190"/>
      <c r="Z26" s="229" t="s">
        <v>767</v>
      </c>
      <c r="AA26" s="131" t="s">
        <v>516</v>
      </c>
      <c r="AB26" s="111"/>
      <c r="AC26" s="408" t="s">
        <v>726</v>
      </c>
    </row>
    <row r="27" spans="1:30" s="106" customFormat="1" ht="15">
      <c r="A27" s="111">
        <f t="shared" si="3"/>
        <v>26</v>
      </c>
      <c r="B27" s="202" t="s">
        <v>271</v>
      </c>
      <c r="C27" s="114" t="s">
        <v>314</v>
      </c>
      <c r="D27" s="116" t="s">
        <v>136</v>
      </c>
      <c r="E27" s="114" t="s">
        <v>416</v>
      </c>
      <c r="F27" s="454">
        <f t="shared" si="2"/>
        <v>0.17010222222222221</v>
      </c>
      <c r="G27" s="222" t="s">
        <v>184</v>
      </c>
      <c r="H27" s="222" t="s">
        <v>58</v>
      </c>
      <c r="I27" s="114" t="s">
        <v>414</v>
      </c>
      <c r="J27" s="112">
        <v>7889578</v>
      </c>
      <c r="K27" s="112"/>
      <c r="L27" s="116">
        <v>43364</v>
      </c>
      <c r="M27" s="114" t="s">
        <v>182</v>
      </c>
      <c r="N27" s="114"/>
      <c r="O27" s="114">
        <v>15000</v>
      </c>
      <c r="P27" s="114">
        <v>15</v>
      </c>
      <c r="Q27" s="119">
        <f t="shared" si="9"/>
        <v>225000</v>
      </c>
      <c r="R27" s="119">
        <v>46.3</v>
      </c>
      <c r="S27" s="232">
        <v>43.8</v>
      </c>
      <c r="T27" s="232">
        <v>5138</v>
      </c>
      <c r="U27" s="232">
        <v>263273</v>
      </c>
      <c r="V27" s="403">
        <f t="shared" si="0"/>
        <v>38273</v>
      </c>
      <c r="W27" s="199">
        <f t="shared" si="8"/>
        <v>0.17010222222222221</v>
      </c>
      <c r="X27" s="199"/>
      <c r="Y27" s="199"/>
      <c r="Z27" s="114"/>
      <c r="AA27" s="131" t="s">
        <v>427</v>
      </c>
      <c r="AB27" s="111"/>
      <c r="AC27" s="408" t="s">
        <v>725</v>
      </c>
    </row>
    <row r="28" spans="1:30" s="106" customFormat="1" ht="15">
      <c r="A28" s="111">
        <f t="shared" si="3"/>
        <v>27</v>
      </c>
      <c r="B28" s="200" t="s">
        <v>186</v>
      </c>
      <c r="C28" s="114" t="s">
        <v>314</v>
      </c>
      <c r="D28" s="114" t="s">
        <v>413</v>
      </c>
      <c r="E28" s="114" t="s">
        <v>416</v>
      </c>
      <c r="F28" s="454">
        <f t="shared" si="2"/>
        <v>0.185</v>
      </c>
      <c r="G28" s="111" t="s">
        <v>184</v>
      </c>
      <c r="H28" s="111" t="s">
        <v>58</v>
      </c>
      <c r="I28" s="114" t="s">
        <v>414</v>
      </c>
      <c r="J28" s="222">
        <v>20488223</v>
      </c>
      <c r="K28" s="222"/>
      <c r="L28" s="116">
        <v>43299</v>
      </c>
      <c r="M28" s="114" t="s">
        <v>182</v>
      </c>
      <c r="N28" s="114"/>
      <c r="O28" s="114">
        <v>1000</v>
      </c>
      <c r="P28" s="114">
        <v>21</v>
      </c>
      <c r="Q28" s="111">
        <f t="shared" si="9"/>
        <v>21000</v>
      </c>
      <c r="R28" s="232">
        <v>39.799999999999997</v>
      </c>
      <c r="S28" s="232"/>
      <c r="T28" s="232"/>
      <c r="U28" s="232">
        <v>360496</v>
      </c>
      <c r="V28" s="403"/>
      <c r="W28" s="198">
        <v>0.185</v>
      </c>
      <c r="X28" s="111" t="s">
        <v>314</v>
      </c>
      <c r="Y28" s="198">
        <v>0.185</v>
      </c>
      <c r="Z28" s="111"/>
      <c r="AA28" s="111" t="s">
        <v>185</v>
      </c>
      <c r="AB28" s="111" t="s">
        <v>423</v>
      </c>
      <c r="AC28" s="111"/>
    </row>
    <row r="29" spans="1:30" s="106" customFormat="1" ht="15">
      <c r="A29" s="111">
        <f t="shared" si="3"/>
        <v>28</v>
      </c>
      <c r="B29" s="200" t="s">
        <v>186</v>
      </c>
      <c r="C29" s="114" t="s">
        <v>314</v>
      </c>
      <c r="D29" s="114" t="s">
        <v>136</v>
      </c>
      <c r="E29" s="114" t="s">
        <v>416</v>
      </c>
      <c r="F29" s="454">
        <f t="shared" si="2"/>
        <v>0.185</v>
      </c>
      <c r="G29" s="111" t="s">
        <v>184</v>
      </c>
      <c r="H29" s="111" t="s">
        <v>58</v>
      </c>
      <c r="I29" s="114" t="s">
        <v>414</v>
      </c>
      <c r="J29" s="222">
        <v>20488223</v>
      </c>
      <c r="K29" s="222"/>
      <c r="L29" s="116">
        <v>43353</v>
      </c>
      <c r="M29" s="114" t="s">
        <v>182</v>
      </c>
      <c r="N29" s="114"/>
      <c r="O29" s="114">
        <v>15000</v>
      </c>
      <c r="P29" s="114">
        <v>16</v>
      </c>
      <c r="Q29" s="111">
        <f t="shared" si="9"/>
        <v>240000</v>
      </c>
      <c r="R29" s="232">
        <v>41</v>
      </c>
      <c r="S29" s="232">
        <v>56</v>
      </c>
      <c r="T29" s="232">
        <v>6479</v>
      </c>
      <c r="U29" s="232"/>
      <c r="V29" s="403">
        <f>U28-(Q29+Q28)</f>
        <v>99496</v>
      </c>
      <c r="W29" s="198">
        <v>0.185</v>
      </c>
      <c r="X29" s="111" t="s">
        <v>314</v>
      </c>
      <c r="Y29" s="198">
        <v>0.185</v>
      </c>
      <c r="Z29" s="111"/>
      <c r="AA29" s="111" t="s">
        <v>185</v>
      </c>
      <c r="AB29" s="111" t="s">
        <v>775</v>
      </c>
      <c r="AC29" s="111"/>
    </row>
    <row r="30" spans="1:30" s="106" customFormat="1" ht="15">
      <c r="A30" s="111">
        <f t="shared" si="3"/>
        <v>29</v>
      </c>
      <c r="B30" s="188" t="s">
        <v>270</v>
      </c>
      <c r="C30" s="114" t="s">
        <v>314</v>
      </c>
      <c r="D30" s="114" t="s">
        <v>136</v>
      </c>
      <c r="E30" s="114" t="s">
        <v>416</v>
      </c>
      <c r="F30" s="454">
        <f t="shared" si="2"/>
        <v>0.31</v>
      </c>
      <c r="G30" s="111" t="s">
        <v>184</v>
      </c>
      <c r="H30" s="111" t="s">
        <v>58</v>
      </c>
      <c r="I30" s="114" t="s">
        <v>414</v>
      </c>
      <c r="J30" s="222">
        <v>2108022731</v>
      </c>
      <c r="K30" s="222"/>
      <c r="L30" s="116">
        <v>43344</v>
      </c>
      <c r="M30" s="114" t="s">
        <v>182</v>
      </c>
      <c r="N30" s="114"/>
      <c r="O30" s="114">
        <v>20000</v>
      </c>
      <c r="P30" s="114">
        <v>14</v>
      </c>
      <c r="Q30" s="111">
        <f t="shared" si="9"/>
        <v>280000</v>
      </c>
      <c r="R30" s="232">
        <v>36.22</v>
      </c>
      <c r="S30" s="232">
        <v>49</v>
      </c>
      <c r="T30" s="232">
        <v>7637</v>
      </c>
      <c r="U30" s="232">
        <v>373342</v>
      </c>
      <c r="V30" s="403">
        <f>U30-Q30</f>
        <v>93342</v>
      </c>
      <c r="W30" s="198">
        <v>0.31</v>
      </c>
      <c r="X30" s="111"/>
      <c r="Y30" s="111"/>
      <c r="Z30" s="111" t="s">
        <v>728</v>
      </c>
      <c r="AA30" s="111" t="s">
        <v>773</v>
      </c>
      <c r="AB30" s="111" t="s">
        <v>747</v>
      </c>
      <c r="AC30" s="409" t="s">
        <v>774</v>
      </c>
    </row>
    <row r="31" spans="1:30" ht="15">
      <c r="A31" s="111">
        <f t="shared" si="3"/>
        <v>30</v>
      </c>
      <c r="B31" s="441" t="s">
        <v>718</v>
      </c>
      <c r="C31" s="116">
        <v>11364</v>
      </c>
      <c r="D31" s="470" t="s">
        <v>1558</v>
      </c>
      <c r="E31" s="114" t="s">
        <v>416</v>
      </c>
      <c r="F31" s="454" t="e">
        <f t="shared" si="2"/>
        <v>#VALUE!</v>
      </c>
      <c r="G31" s="222" t="s">
        <v>184</v>
      </c>
      <c r="H31" s="450" t="s">
        <v>749</v>
      </c>
      <c r="I31" s="114" t="s">
        <v>414</v>
      </c>
      <c r="J31" s="451" t="s">
        <v>1488</v>
      </c>
      <c r="K31" s="443"/>
      <c r="L31" s="116">
        <v>44265</v>
      </c>
      <c r="M31" s="114" t="s">
        <v>182</v>
      </c>
      <c r="N31" s="452" t="s">
        <v>587</v>
      </c>
      <c r="O31" s="114">
        <v>2500</v>
      </c>
      <c r="P31" s="114">
        <v>120</v>
      </c>
      <c r="Q31" s="445" t="s">
        <v>268</v>
      </c>
      <c r="R31" s="119" t="s">
        <v>268</v>
      </c>
      <c r="S31" s="453" t="s">
        <v>314</v>
      </c>
      <c r="T31" s="446" t="s">
        <v>314</v>
      </c>
      <c r="U31" s="445">
        <v>97678</v>
      </c>
      <c r="V31" s="446" t="s">
        <v>314</v>
      </c>
      <c r="W31" s="190" t="e">
        <f t="shared" ref="W31" si="10">(U31-Q31)/Q31</f>
        <v>#VALUE!</v>
      </c>
      <c r="X31" s="419"/>
      <c r="Y31" s="419"/>
      <c r="Z31" s="420" t="s">
        <v>268</v>
      </c>
      <c r="AA31" s="131" t="s">
        <v>1078</v>
      </c>
      <c r="AB31" s="131" t="s">
        <v>1489</v>
      </c>
      <c r="AC31" s="441" t="s">
        <v>1079</v>
      </c>
      <c r="AD31" s="441" t="s">
        <v>802</v>
      </c>
    </row>
    <row r="32" spans="1:30" s="106" customFormat="1" ht="15">
      <c r="A32" s="111">
        <f t="shared" si="3"/>
        <v>31</v>
      </c>
      <c r="B32" s="507" t="s">
        <v>519</v>
      </c>
      <c r="C32" s="116">
        <v>44266</v>
      </c>
      <c r="D32" s="116" t="s">
        <v>136</v>
      </c>
      <c r="E32" s="114" t="s">
        <v>408</v>
      </c>
      <c r="F32" s="455">
        <f t="shared" si="2"/>
        <v>1.83</v>
      </c>
      <c r="G32" s="222" t="s">
        <v>184</v>
      </c>
      <c r="H32" s="222" t="s">
        <v>58</v>
      </c>
      <c r="I32" s="114" t="s">
        <v>414</v>
      </c>
      <c r="J32" s="112">
        <v>19914138621</v>
      </c>
      <c r="K32" s="443"/>
      <c r="L32" s="116">
        <v>43902</v>
      </c>
      <c r="M32" s="416" t="s">
        <v>409</v>
      </c>
      <c r="N32" s="416"/>
      <c r="O32" s="114">
        <v>50000</v>
      </c>
      <c r="P32" s="114">
        <v>1</v>
      </c>
      <c r="Q32" s="119">
        <f>O32*P32</f>
        <v>50000</v>
      </c>
      <c r="R32" s="119">
        <v>25.28</v>
      </c>
      <c r="S32" s="114"/>
      <c r="T32" s="119">
        <v>1978</v>
      </c>
      <c r="U32" s="232">
        <v>141500</v>
      </c>
      <c r="V32" s="403">
        <f>U32-Q32</f>
        <v>91500</v>
      </c>
      <c r="W32" s="506">
        <f>(U32-Q32)/Q32</f>
        <v>1.83</v>
      </c>
      <c r="X32" s="190"/>
      <c r="Y32" s="190"/>
      <c r="Z32" s="406"/>
      <c r="AA32" s="131" t="s">
        <v>516</v>
      </c>
      <c r="AB32" s="517" t="s">
        <v>1636</v>
      </c>
      <c r="AC32" s="441" t="s">
        <v>517</v>
      </c>
      <c r="AD32" s="245"/>
    </row>
    <row r="33" spans="1:30" ht="15">
      <c r="A33" s="245">
        <v>1</v>
      </c>
      <c r="B33" s="245" t="s">
        <v>896</v>
      </c>
      <c r="C33" s="217">
        <v>44936</v>
      </c>
      <c r="D33" s="278" t="s">
        <v>136</v>
      </c>
      <c r="E33" s="248" t="s">
        <v>408</v>
      </c>
      <c r="F33" s="308"/>
      <c r="G33" s="220" t="s">
        <v>184</v>
      </c>
      <c r="H33" s="241" t="s">
        <v>791</v>
      </c>
      <c r="I33" s="117" t="s">
        <v>414</v>
      </c>
      <c r="J33" s="218" t="s">
        <v>10</v>
      </c>
      <c r="K33" s="275"/>
      <c r="L33" s="115">
        <v>44341</v>
      </c>
      <c r="M33" s="235" t="s">
        <v>182</v>
      </c>
      <c r="N33" s="243" t="s">
        <v>795</v>
      </c>
      <c r="O33" s="142">
        <v>20000</v>
      </c>
      <c r="P33" s="117">
        <v>36</v>
      </c>
      <c r="Q33" s="120">
        <v>160000</v>
      </c>
      <c r="R33" s="120" t="s">
        <v>268</v>
      </c>
      <c r="S33" s="117"/>
      <c r="T33" s="120">
        <v>6553</v>
      </c>
      <c r="U33" s="242" t="s">
        <v>314</v>
      </c>
      <c r="V33" s="404" t="s">
        <v>314</v>
      </c>
      <c r="W33" s="242" t="s">
        <v>314</v>
      </c>
      <c r="X33" s="240"/>
      <c r="Y33" s="240"/>
      <c r="Z33" s="142"/>
      <c r="AA33" s="122"/>
      <c r="AB33" s="245" t="s">
        <v>895</v>
      </c>
      <c r="AC33" s="245" t="s">
        <v>808</v>
      </c>
      <c r="AD33" s="245"/>
    </row>
    <row r="34" spans="1:30" ht="15">
      <c r="A34" s="245">
        <f t="shared" ref="A34:A42" si="11">A33+1</f>
        <v>2</v>
      </c>
      <c r="B34" s="245" t="s">
        <v>779</v>
      </c>
      <c r="C34" s="217">
        <v>45802</v>
      </c>
      <c r="D34" s="518" t="s">
        <v>136</v>
      </c>
      <c r="E34" s="248" t="s">
        <v>408</v>
      </c>
      <c r="F34" s="308"/>
      <c r="G34" s="220" t="s">
        <v>184</v>
      </c>
      <c r="H34" s="241" t="s">
        <v>791</v>
      </c>
      <c r="I34" s="117" t="s">
        <v>414</v>
      </c>
      <c r="J34" s="362" t="s">
        <v>10</v>
      </c>
      <c r="K34" s="275"/>
      <c r="L34" s="115">
        <v>44341</v>
      </c>
      <c r="M34" s="235" t="s">
        <v>182</v>
      </c>
      <c r="N34" s="235" t="s">
        <v>745</v>
      </c>
      <c r="O34" s="117">
        <v>25000</v>
      </c>
      <c r="P34" s="117">
        <v>35</v>
      </c>
      <c r="Q34" s="120">
        <v>550000</v>
      </c>
      <c r="R34" s="120" t="s">
        <v>268</v>
      </c>
      <c r="S34" s="120"/>
      <c r="T34" s="120"/>
      <c r="U34" s="242" t="s">
        <v>314</v>
      </c>
      <c r="V34" s="404" t="s">
        <v>314</v>
      </c>
      <c r="W34" s="242" t="s">
        <v>314</v>
      </c>
      <c r="X34" s="215"/>
      <c r="Y34" s="215"/>
      <c r="Z34" s="138"/>
      <c r="AA34" s="122"/>
      <c r="AB34" s="245"/>
      <c r="AC34" s="245" t="s">
        <v>807</v>
      </c>
      <c r="AD34" s="245"/>
    </row>
    <row r="35" spans="1:30" ht="15">
      <c r="A35" s="245">
        <f t="shared" si="11"/>
        <v>3</v>
      </c>
      <c r="B35" s="245" t="s">
        <v>819</v>
      </c>
      <c r="C35" s="217">
        <v>44941</v>
      </c>
      <c r="D35" s="277" t="s">
        <v>1558</v>
      </c>
      <c r="E35" s="248" t="s">
        <v>408</v>
      </c>
      <c r="F35" s="308"/>
      <c r="G35" s="220" t="s">
        <v>184</v>
      </c>
      <c r="H35" s="220" t="s">
        <v>58</v>
      </c>
      <c r="I35" s="117" t="s">
        <v>414</v>
      </c>
      <c r="J35" s="108" t="s">
        <v>748</v>
      </c>
      <c r="K35" s="275"/>
      <c r="L35" s="115">
        <v>44221</v>
      </c>
      <c r="M35" s="117" t="s">
        <v>182</v>
      </c>
      <c r="N35" s="235" t="s">
        <v>745</v>
      </c>
      <c r="O35" s="117">
        <v>20000</v>
      </c>
      <c r="P35" s="117">
        <v>8</v>
      </c>
      <c r="Q35" s="120">
        <f>O35*P35</f>
        <v>160000</v>
      </c>
      <c r="R35" s="120">
        <v>36.979999999999997</v>
      </c>
      <c r="S35" s="120"/>
      <c r="T35" s="120">
        <v>3730</v>
      </c>
      <c r="U35" s="242" t="s">
        <v>314</v>
      </c>
      <c r="V35" s="242" t="s">
        <v>314</v>
      </c>
      <c r="W35" s="251">
        <v>0.12</v>
      </c>
      <c r="X35" s="215"/>
      <c r="Y35" s="215"/>
      <c r="Z35" s="138" t="s">
        <v>268</v>
      </c>
      <c r="AA35" s="122" t="s">
        <v>890</v>
      </c>
      <c r="AB35" s="245" t="s">
        <v>891</v>
      </c>
      <c r="AC35" s="245"/>
      <c r="AD35" s="245" t="s">
        <v>803</v>
      </c>
    </row>
    <row r="36" spans="1:30" ht="15">
      <c r="A36" s="245">
        <f t="shared" si="11"/>
        <v>4</v>
      </c>
      <c r="B36" s="245" t="s">
        <v>762</v>
      </c>
      <c r="C36" s="217">
        <v>44941</v>
      </c>
      <c r="D36" s="277" t="s">
        <v>1558</v>
      </c>
      <c r="E36" s="248" t="s">
        <v>408</v>
      </c>
      <c r="F36" s="308"/>
      <c r="G36" s="220" t="s">
        <v>184</v>
      </c>
      <c r="H36" s="216" t="s">
        <v>749</v>
      </c>
      <c r="I36" s="117" t="s">
        <v>414</v>
      </c>
      <c r="J36" s="108" t="s">
        <v>748</v>
      </c>
      <c r="K36" s="275"/>
      <c r="L36" s="115">
        <v>44216</v>
      </c>
      <c r="M36" s="117" t="s">
        <v>182</v>
      </c>
      <c r="N36" s="235" t="s">
        <v>750</v>
      </c>
      <c r="O36" s="117">
        <v>10000</v>
      </c>
      <c r="P36" s="117">
        <v>10</v>
      </c>
      <c r="Q36" s="120">
        <v>100000</v>
      </c>
      <c r="R36" s="120" t="s">
        <v>268</v>
      </c>
      <c r="S36" s="120"/>
      <c r="T36" s="120">
        <v>612</v>
      </c>
      <c r="U36" s="242" t="s">
        <v>314</v>
      </c>
      <c r="V36" s="242" t="s">
        <v>314</v>
      </c>
      <c r="W36" s="251">
        <v>0.17</v>
      </c>
      <c r="X36" s="215"/>
      <c r="Y36" s="215"/>
      <c r="Z36" s="138" t="s">
        <v>268</v>
      </c>
      <c r="AA36" s="122" t="s">
        <v>890</v>
      </c>
      <c r="AB36" s="245" t="s">
        <v>892</v>
      </c>
      <c r="AC36" s="245"/>
      <c r="AD36" s="245" t="s">
        <v>799</v>
      </c>
    </row>
    <row r="37" spans="1:30" ht="15">
      <c r="A37" s="245">
        <f t="shared" si="11"/>
        <v>5</v>
      </c>
      <c r="B37" s="245" t="s">
        <v>720</v>
      </c>
      <c r="C37" s="217">
        <v>45672</v>
      </c>
      <c r="D37" s="277" t="s">
        <v>1558</v>
      </c>
      <c r="E37" s="248" t="s">
        <v>408</v>
      </c>
      <c r="F37" s="308"/>
      <c r="G37" s="220" t="s">
        <v>184</v>
      </c>
      <c r="H37" s="225" t="s">
        <v>59</v>
      </c>
      <c r="I37" s="117" t="s">
        <v>414</v>
      </c>
      <c r="J37" s="108" t="s">
        <v>744</v>
      </c>
      <c r="K37" s="275"/>
      <c r="L37" s="115">
        <v>44242</v>
      </c>
      <c r="M37" s="117" t="s">
        <v>182</v>
      </c>
      <c r="N37" s="235" t="s">
        <v>746</v>
      </c>
      <c r="O37" s="117">
        <v>10000</v>
      </c>
      <c r="P37" s="117">
        <v>36</v>
      </c>
      <c r="Q37" s="120">
        <v>210000</v>
      </c>
      <c r="R37" s="120" t="s">
        <v>268</v>
      </c>
      <c r="S37" s="120"/>
      <c r="T37" s="120" t="s">
        <v>314</v>
      </c>
      <c r="U37" s="242" t="s">
        <v>314</v>
      </c>
      <c r="V37" s="242" t="s">
        <v>314</v>
      </c>
      <c r="W37" s="242" t="s">
        <v>314</v>
      </c>
      <c r="X37" s="215"/>
      <c r="Y37" s="215"/>
      <c r="Z37" s="138" t="s">
        <v>268</v>
      </c>
      <c r="AA37"/>
      <c r="AB37" s="245" t="s">
        <v>894</v>
      </c>
      <c r="AC37" s="245" t="s">
        <v>1109</v>
      </c>
      <c r="AD37" s="245" t="s">
        <v>800</v>
      </c>
    </row>
    <row r="38" spans="1:30" ht="15">
      <c r="A38" s="245">
        <f t="shared" si="11"/>
        <v>6</v>
      </c>
      <c r="B38" s="245" t="s">
        <v>804</v>
      </c>
      <c r="C38" s="217">
        <v>45292</v>
      </c>
      <c r="D38" s="277" t="s">
        <v>1558</v>
      </c>
      <c r="E38" s="248" t="s">
        <v>408</v>
      </c>
      <c r="F38" s="308"/>
      <c r="G38" s="220" t="s">
        <v>184</v>
      </c>
      <c r="H38" s="288" t="s">
        <v>59</v>
      </c>
      <c r="I38" s="117" t="s">
        <v>414</v>
      </c>
      <c r="J38" s="292" t="s">
        <v>755</v>
      </c>
      <c r="K38" s="275"/>
      <c r="L38" s="115">
        <v>44237</v>
      </c>
      <c r="M38" s="117" t="s">
        <v>182</v>
      </c>
      <c r="N38" s="235" t="s">
        <v>587</v>
      </c>
      <c r="O38" s="117">
        <v>15000</v>
      </c>
      <c r="P38" s="117">
        <v>34</v>
      </c>
      <c r="Q38" s="120">
        <f t="shared" ref="Q38:Q42" si="12">O38*P38</f>
        <v>510000</v>
      </c>
      <c r="R38" s="120" t="s">
        <v>268</v>
      </c>
      <c r="S38" s="421" t="s">
        <v>314</v>
      </c>
      <c r="T38" s="120" t="s">
        <v>314</v>
      </c>
      <c r="U38" s="242" t="s">
        <v>314</v>
      </c>
      <c r="V38" s="242" t="s">
        <v>314</v>
      </c>
      <c r="W38" s="242" t="s">
        <v>314</v>
      </c>
      <c r="X38" s="215"/>
      <c r="Y38" s="215"/>
      <c r="Z38" s="138"/>
      <c r="AA38" s="122"/>
      <c r="AB38" s="245" t="s">
        <v>1111</v>
      </c>
      <c r="AC38" s="245" t="s">
        <v>1136</v>
      </c>
      <c r="AD38" s="245" t="s">
        <v>1109</v>
      </c>
    </row>
    <row r="39" spans="1:30" ht="15">
      <c r="A39" s="245">
        <f t="shared" si="11"/>
        <v>7</v>
      </c>
      <c r="B39" s="245" t="s">
        <v>804</v>
      </c>
      <c r="C39" s="217">
        <v>45047</v>
      </c>
      <c r="D39" s="277" t="s">
        <v>1558</v>
      </c>
      <c r="E39" s="248" t="s">
        <v>408</v>
      </c>
      <c r="F39" s="308"/>
      <c r="G39" s="220" t="s">
        <v>184</v>
      </c>
      <c r="H39" s="225" t="s">
        <v>59</v>
      </c>
      <c r="I39" s="117" t="s">
        <v>414</v>
      </c>
      <c r="J39" s="218" t="s">
        <v>755</v>
      </c>
      <c r="K39" s="275"/>
      <c r="L39" s="115">
        <v>44341</v>
      </c>
      <c r="M39" s="117" t="s">
        <v>182</v>
      </c>
      <c r="N39" s="235" t="s">
        <v>745</v>
      </c>
      <c r="O39" s="117">
        <v>25000</v>
      </c>
      <c r="P39" s="117">
        <v>24</v>
      </c>
      <c r="Q39" s="120">
        <f t="shared" si="12"/>
        <v>600000</v>
      </c>
      <c r="R39" s="120" t="s">
        <v>268</v>
      </c>
      <c r="S39" s="421" t="s">
        <v>314</v>
      </c>
      <c r="T39" s="120" t="s">
        <v>314</v>
      </c>
      <c r="U39" s="242" t="s">
        <v>314</v>
      </c>
      <c r="V39" s="242" t="s">
        <v>314</v>
      </c>
      <c r="W39" s="242" t="s">
        <v>314</v>
      </c>
      <c r="X39" s="215"/>
      <c r="Y39" s="215"/>
      <c r="Z39" s="138"/>
      <c r="AA39" s="122"/>
      <c r="AB39" s="245" t="s">
        <v>805</v>
      </c>
      <c r="AC39" s="245" t="s">
        <v>806</v>
      </c>
      <c r="AD39" s="245"/>
    </row>
    <row r="40" spans="1:30" ht="15">
      <c r="A40" s="245">
        <f t="shared" si="11"/>
        <v>8</v>
      </c>
      <c r="B40" s="245" t="s">
        <v>804</v>
      </c>
      <c r="C40" s="217">
        <v>45047</v>
      </c>
      <c r="D40" s="277" t="s">
        <v>1558</v>
      </c>
      <c r="E40" s="248" t="s">
        <v>408</v>
      </c>
      <c r="F40" s="308"/>
      <c r="G40" s="220" t="s">
        <v>184</v>
      </c>
      <c r="H40" s="225" t="s">
        <v>59</v>
      </c>
      <c r="I40" s="117" t="s">
        <v>414</v>
      </c>
      <c r="J40" s="218" t="s">
        <v>755</v>
      </c>
      <c r="K40" s="275"/>
      <c r="L40" s="115">
        <v>44341</v>
      </c>
      <c r="M40" s="117" t="s">
        <v>182</v>
      </c>
      <c r="N40" s="235" t="s">
        <v>745</v>
      </c>
      <c r="O40" s="117">
        <v>25000</v>
      </c>
      <c r="P40" s="117">
        <v>24</v>
      </c>
      <c r="Q40" s="120">
        <f t="shared" si="12"/>
        <v>600000</v>
      </c>
      <c r="R40" s="120" t="s">
        <v>268</v>
      </c>
      <c r="S40" s="421" t="s">
        <v>314</v>
      </c>
      <c r="T40" s="120" t="s">
        <v>314</v>
      </c>
      <c r="U40" s="242" t="s">
        <v>314</v>
      </c>
      <c r="V40" s="242" t="s">
        <v>314</v>
      </c>
      <c r="W40" s="242" t="s">
        <v>314</v>
      </c>
      <c r="X40" s="215"/>
      <c r="Y40" s="215"/>
      <c r="Z40" s="138"/>
      <c r="AA40" s="122"/>
      <c r="AB40" s="245" t="s">
        <v>805</v>
      </c>
      <c r="AC40" s="245" t="s">
        <v>806</v>
      </c>
      <c r="AD40" s="245"/>
    </row>
    <row r="41" spans="1:30" ht="15">
      <c r="A41" s="245">
        <f t="shared" si="11"/>
        <v>9</v>
      </c>
      <c r="B41" s="245" t="s">
        <v>1128</v>
      </c>
      <c r="C41" s="217">
        <v>45597</v>
      </c>
      <c r="D41" s="277" t="s">
        <v>1558</v>
      </c>
      <c r="E41" s="248" t="s">
        <v>408</v>
      </c>
      <c r="F41" s="308"/>
      <c r="G41" s="220" t="s">
        <v>184</v>
      </c>
      <c r="H41" s="216" t="s">
        <v>749</v>
      </c>
      <c r="I41" s="117" t="s">
        <v>414</v>
      </c>
      <c r="J41" s="218" t="s">
        <v>755</v>
      </c>
      <c r="K41" s="275"/>
      <c r="L41" s="115">
        <v>45230</v>
      </c>
      <c r="M41" s="143" t="s">
        <v>409</v>
      </c>
      <c r="N41" s="235" t="s">
        <v>943</v>
      </c>
      <c r="O41" s="117">
        <v>300000</v>
      </c>
      <c r="P41" s="142">
        <v>1</v>
      </c>
      <c r="Q41" s="120">
        <f t="shared" si="12"/>
        <v>300000</v>
      </c>
      <c r="R41" s="120">
        <v>11.49</v>
      </c>
      <c r="S41" s="120"/>
      <c r="T41" s="120">
        <v>26117</v>
      </c>
      <c r="U41" s="120"/>
      <c r="V41" s="120"/>
      <c r="W41" s="240"/>
      <c r="X41" s="240"/>
      <c r="Y41" s="240"/>
      <c r="Z41" s="142"/>
      <c r="AA41" s="122" t="s">
        <v>1132</v>
      </c>
      <c r="AB41" s="245" t="s">
        <v>1130</v>
      </c>
      <c r="AC41" s="245"/>
      <c r="AD41" s="245"/>
    </row>
    <row r="42" spans="1:30" ht="15">
      <c r="A42" s="245">
        <f t="shared" si="11"/>
        <v>10</v>
      </c>
      <c r="B42" s="245" t="s">
        <v>1129</v>
      </c>
      <c r="C42" s="217">
        <v>45597</v>
      </c>
      <c r="D42" s="277" t="s">
        <v>1558</v>
      </c>
      <c r="E42" s="248" t="s">
        <v>408</v>
      </c>
      <c r="F42" s="308"/>
      <c r="G42" s="220" t="s">
        <v>184</v>
      </c>
      <c r="H42" s="225" t="s">
        <v>59</v>
      </c>
      <c r="I42" s="117" t="s">
        <v>414</v>
      </c>
      <c r="J42" s="218" t="s">
        <v>755</v>
      </c>
      <c r="K42" s="275"/>
      <c r="L42" s="115">
        <v>45230</v>
      </c>
      <c r="M42" s="143" t="s">
        <v>409</v>
      </c>
      <c r="N42" s="235" t="s">
        <v>943</v>
      </c>
      <c r="O42" s="117">
        <v>300000</v>
      </c>
      <c r="P42" s="142">
        <v>1</v>
      </c>
      <c r="Q42" s="120">
        <f t="shared" si="12"/>
        <v>300000</v>
      </c>
      <c r="R42" s="120">
        <v>190.12</v>
      </c>
      <c r="S42" s="120"/>
      <c r="T42" s="120">
        <v>1578</v>
      </c>
      <c r="U42" s="120"/>
      <c r="V42" s="120"/>
      <c r="W42" s="240"/>
      <c r="X42" s="240"/>
      <c r="Y42" s="240"/>
      <c r="Z42" s="142"/>
      <c r="AA42" s="122" t="s">
        <v>1132</v>
      </c>
      <c r="AB42" s="245" t="s">
        <v>1131</v>
      </c>
      <c r="AC42" s="245"/>
      <c r="AD42" s="245"/>
    </row>
    <row r="43" spans="1:30">
      <c r="S43" s="233"/>
      <c r="W43" s="191"/>
      <c r="Z43" s="87"/>
      <c r="AA43"/>
    </row>
    <row r="44" spans="1:30" ht="15.75" thickBot="1">
      <c r="H44" s="73"/>
      <c r="AB44" s="430"/>
    </row>
    <row r="45" spans="1:30" ht="15.75" thickBot="1">
      <c r="B45" s="239" t="s">
        <v>787</v>
      </c>
      <c r="H45" s="73"/>
      <c r="M45" s="73"/>
    </row>
    <row r="46" spans="1:30" ht="15.75" thickBot="1">
      <c r="B46" s="509" t="s">
        <v>783</v>
      </c>
      <c r="M46" s="73"/>
    </row>
    <row r="47" spans="1:30" ht="15" thickBot="1">
      <c r="B47" s="87"/>
      <c r="M47" s="73"/>
    </row>
    <row r="48" spans="1:30" ht="15">
      <c r="B48" s="236" t="s">
        <v>786</v>
      </c>
      <c r="C48" s="237" t="s">
        <v>1219</v>
      </c>
      <c r="D48" s="87" t="s">
        <v>1220</v>
      </c>
      <c r="M48" s="73"/>
    </row>
    <row r="49" spans="1:18" ht="15">
      <c r="B49" s="237" t="s">
        <v>784</v>
      </c>
      <c r="C49" s="237" t="s">
        <v>1218</v>
      </c>
      <c r="M49" s="73"/>
    </row>
    <row r="50" spans="1:18" ht="15.75" thickBot="1">
      <c r="B50" s="238" t="s">
        <v>785</v>
      </c>
      <c r="M50" s="73"/>
    </row>
    <row r="51" spans="1:18">
      <c r="M51" s="73"/>
    </row>
    <row r="52" spans="1:18">
      <c r="M52" s="73"/>
    </row>
    <row r="53" spans="1:18">
      <c r="M53" s="73"/>
    </row>
    <row r="54" spans="1:18">
      <c r="M54" s="73"/>
    </row>
    <row r="55" spans="1:18">
      <c r="M55" s="73"/>
    </row>
    <row r="56" spans="1:18">
      <c r="M56" s="73"/>
    </row>
    <row r="57" spans="1:18">
      <c r="M57" s="121"/>
    </row>
    <row r="58" spans="1:18">
      <c r="A58" s="73"/>
      <c r="B58" s="73"/>
      <c r="C58" s="73"/>
      <c r="D58" s="73"/>
      <c r="E58" s="73"/>
    </row>
    <row r="59" spans="1:18" ht="15">
      <c r="B59" s="122" t="s">
        <v>1095</v>
      </c>
      <c r="C59" s="244" t="s">
        <v>717</v>
      </c>
      <c r="D59" s="244">
        <v>7011448640</v>
      </c>
      <c r="O59" s="121"/>
    </row>
    <row r="60" spans="1:18" ht="15">
      <c r="B60" s="303" t="s">
        <v>1110</v>
      </c>
      <c r="C60"/>
      <c r="D60"/>
    </row>
    <row r="61" spans="1:18">
      <c r="Q61" s="73"/>
      <c r="R61" s="87"/>
    </row>
    <row r="62" spans="1:18">
      <c r="Q62" s="73"/>
      <c r="R62" s="87"/>
    </row>
    <row r="63" spans="1:18">
      <c r="E63"/>
      <c r="F63"/>
      <c r="G63"/>
      <c r="H63"/>
      <c r="I63"/>
      <c r="J63"/>
      <c r="Q63" s="73"/>
      <c r="R63" s="87"/>
    </row>
    <row r="66" spans="1:18" ht="15">
      <c r="D66" s="286" t="s">
        <v>1073</v>
      </c>
      <c r="E66" s="286"/>
      <c r="F66" s="87"/>
      <c r="G66" s="87"/>
      <c r="I66" s="87"/>
      <c r="J66" s="87"/>
    </row>
    <row r="67" spans="1:18" ht="15">
      <c r="C67"/>
      <c r="D67" s="286" t="s">
        <v>25</v>
      </c>
      <c r="E67" s="286" t="s">
        <v>1075</v>
      </c>
      <c r="F67" s="286" t="s">
        <v>403</v>
      </c>
      <c r="G67" s="286" t="s">
        <v>1050</v>
      </c>
      <c r="H67" s="286" t="s">
        <v>1051</v>
      </c>
      <c r="I67" s="286" t="s">
        <v>1055</v>
      </c>
      <c r="J67" s="286" t="s">
        <v>1074</v>
      </c>
      <c r="K67" s="286" t="s">
        <v>308</v>
      </c>
      <c r="M67"/>
      <c r="N67"/>
      <c r="O67"/>
      <c r="P67"/>
      <c r="Q67"/>
      <c r="R67" s="87"/>
    </row>
    <row r="68" spans="1:18" ht="15">
      <c r="D68" s="123">
        <v>1</v>
      </c>
      <c r="E68" s="123" t="s">
        <v>1049</v>
      </c>
      <c r="F68" s="304" t="s">
        <v>1133</v>
      </c>
      <c r="G68" s="285">
        <v>26.7</v>
      </c>
      <c r="H68" s="285">
        <v>31.1</v>
      </c>
      <c r="I68" s="123">
        <f>H68-G68</f>
        <v>4.4000000000000021</v>
      </c>
      <c r="J68" s="123">
        <f>I68/G68*100</f>
        <v>16.479400749063679</v>
      </c>
      <c r="K68" s="281"/>
      <c r="M68"/>
      <c r="N68"/>
      <c r="O68"/>
      <c r="P68"/>
      <c r="Q68"/>
      <c r="R68" s="73"/>
    </row>
    <row r="69" spans="1:18" ht="15">
      <c r="D69" s="123">
        <v>2</v>
      </c>
      <c r="E69" s="123" t="s">
        <v>1052</v>
      </c>
      <c r="F69" s="123" t="s">
        <v>1071</v>
      </c>
      <c r="G69" s="285">
        <v>9.26</v>
      </c>
      <c r="H69" s="285">
        <v>10.56</v>
      </c>
      <c r="I69" s="123">
        <f>H69-G69</f>
        <v>1.3000000000000007</v>
      </c>
      <c r="J69" s="123">
        <f>I69/G69*100</f>
        <v>14.038876889848821</v>
      </c>
      <c r="K69" s="285" t="s">
        <v>1072</v>
      </c>
      <c r="M69"/>
      <c r="N69"/>
      <c r="O69"/>
      <c r="P69"/>
      <c r="Q69"/>
      <c r="R69" s="73"/>
    </row>
    <row r="70" spans="1:18" ht="15">
      <c r="D70" s="123">
        <v>3</v>
      </c>
      <c r="E70" s="285" t="s">
        <v>1076</v>
      </c>
      <c r="F70" s="123"/>
      <c r="G70" s="123"/>
      <c r="H70" s="123"/>
      <c r="I70" s="123"/>
      <c r="J70" s="123"/>
      <c r="K70" s="289" t="s">
        <v>1080</v>
      </c>
      <c r="N70"/>
      <c r="O70"/>
      <c r="P70"/>
      <c r="Q70"/>
    </row>
    <row r="71" spans="1:18" ht="15.75">
      <c r="D71" s="123"/>
      <c r="E71" s="123"/>
      <c r="F71" s="123"/>
      <c r="G71" s="280">
        <f>SUM(G68:G70)</f>
        <v>35.96</v>
      </c>
      <c r="H71" s="287">
        <f>SUM(H68:H70)</f>
        <v>41.660000000000004</v>
      </c>
      <c r="I71" s="279">
        <f>SUM(I68:I70)</f>
        <v>5.7000000000000028</v>
      </c>
      <c r="J71" s="123">
        <f>I71/G71*100</f>
        <v>15.850945494994445</v>
      </c>
      <c r="K71" s="281"/>
    </row>
    <row r="74" spans="1:18">
      <c r="B74" s="87"/>
      <c r="E74" s="274"/>
      <c r="F74" s="87"/>
      <c r="G74" s="87"/>
      <c r="I74" s="87"/>
      <c r="J74" s="233"/>
    </row>
    <row r="75" spans="1:18">
      <c r="A75" s="87"/>
      <c r="B75" s="87"/>
      <c r="F75" s="87"/>
      <c r="G75" s="87"/>
      <c r="I75" s="87"/>
      <c r="J75" s="87"/>
    </row>
    <row r="76" spans="1:18">
      <c r="A76" s="87"/>
      <c r="B76" s="87"/>
      <c r="F76" s="87"/>
      <c r="G76" s="87"/>
      <c r="I76" s="87"/>
      <c r="J76" s="87"/>
    </row>
    <row r="77" spans="1:18">
      <c r="A77" s="87"/>
      <c r="I77" s="87"/>
      <c r="J77" s="87"/>
    </row>
    <row r="78" spans="1:18">
      <c r="A78" s="87"/>
      <c r="I78" s="87"/>
      <c r="J78" s="87"/>
    </row>
    <row r="79" spans="1:18">
      <c r="A79" s="87"/>
      <c r="I79" s="87"/>
      <c r="J79" s="87"/>
    </row>
    <row r="80" spans="1:18">
      <c r="I80" s="121"/>
      <c r="J80" s="233"/>
    </row>
  </sheetData>
  <autoFilter ref="A1:AD42" xr:uid="{B8570E97-3D6D-469B-983A-83A27680B47D}"/>
  <hyperlinks>
    <hyperlink ref="AA6" r:id="rId1" display="sheetal0123/M@123" xr:uid="{30341ED8-80A2-4286-9EBC-E03460D473C5}"/>
    <hyperlink ref="AA35" r:id="rId2" display="Seema_PAN/K@26" xr:uid="{09C74A29-EE26-45C5-B073-A0635FC57D00}"/>
    <hyperlink ref="AA36" r:id="rId3" display="Seema_PAN/K@26" xr:uid="{82817598-7F07-4F60-88D6-D578194E52FD}"/>
    <hyperlink ref="AA9" r:id="rId4" display="Seema_PAN/K@26" xr:uid="{FFF227EB-E40D-4FE0-9868-FB903BC03040}"/>
    <hyperlink ref="C59" r:id="rId5" xr:uid="{A70A816F-26BC-4BD1-8CD9-CDBAA7500A38}"/>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62760-3965-4BD3-A65F-CAE316B985BE}">
  <dimension ref="A1:L90"/>
  <sheetViews>
    <sheetView topLeftCell="A34" workbookViewId="0">
      <selection activeCell="F37" sqref="F37"/>
    </sheetView>
  </sheetViews>
  <sheetFormatPr defaultRowHeight="14.25"/>
  <cols>
    <col min="1" max="1" width="12.125" customWidth="1"/>
    <col min="2" max="2" width="25.375" customWidth="1"/>
    <col min="3" max="3" width="20.125" customWidth="1"/>
    <col min="4" max="4" width="17.25" customWidth="1"/>
    <col min="5" max="5" width="18.125" customWidth="1"/>
    <col min="6" max="6" width="17.25" customWidth="1"/>
    <col min="7" max="7" width="3.25" customWidth="1"/>
    <col min="8" max="8" width="4.375" customWidth="1"/>
    <col min="9" max="9" width="72.75" bestFit="1" customWidth="1"/>
    <col min="10" max="10" width="19.75" customWidth="1"/>
    <col min="11" max="11" width="12.25" customWidth="1"/>
    <col min="12" max="12" width="8" customWidth="1"/>
    <col min="13" max="13" width="22.75" customWidth="1"/>
    <col min="14" max="14" width="14.375" customWidth="1"/>
    <col min="15" max="15" width="17.375" customWidth="1"/>
  </cols>
  <sheetData>
    <row r="1" spans="1:10" ht="21">
      <c r="A1" s="494" t="s">
        <v>1448</v>
      </c>
    </row>
    <row r="3" spans="1:10" ht="15">
      <c r="A3" s="459" t="s">
        <v>1654</v>
      </c>
      <c r="B3" s="459"/>
      <c r="E3" s="63" t="s">
        <v>1784</v>
      </c>
      <c r="I3" s="376" t="s">
        <v>1619</v>
      </c>
      <c r="J3" s="531"/>
    </row>
    <row r="4" spans="1:10" ht="15">
      <c r="A4" s="384" t="s">
        <v>605</v>
      </c>
      <c r="B4" s="522" t="s">
        <v>1782</v>
      </c>
      <c r="C4" s="63"/>
      <c r="D4" s="63"/>
      <c r="E4" s="63" t="s">
        <v>1783</v>
      </c>
      <c r="I4" s="364" t="s">
        <v>1621</v>
      </c>
      <c r="J4" s="63"/>
    </row>
    <row r="5" spans="1:10" ht="15">
      <c r="A5" s="522" t="s">
        <v>1655</v>
      </c>
      <c r="B5" s="384" t="s">
        <v>1680</v>
      </c>
      <c r="C5" s="63"/>
      <c r="D5" s="384" t="s">
        <v>1681</v>
      </c>
      <c r="E5" s="63"/>
      <c r="I5" s="364" t="s">
        <v>1692</v>
      </c>
      <c r="J5" s="364" t="s">
        <v>1693</v>
      </c>
    </row>
    <row r="6" spans="1:10" ht="15">
      <c r="A6" s="522" t="s">
        <v>1657</v>
      </c>
      <c r="B6" s="522" t="s">
        <v>1656</v>
      </c>
      <c r="C6" s="522"/>
      <c r="D6" s="522"/>
      <c r="E6" s="522"/>
      <c r="I6" s="364" t="s">
        <v>1691</v>
      </c>
      <c r="J6" s="63"/>
    </row>
    <row r="7" spans="1:10" ht="15">
      <c r="A7" s="522" t="s">
        <v>1660</v>
      </c>
      <c r="B7" s="522" t="s">
        <v>1658</v>
      </c>
      <c r="C7" s="522"/>
      <c r="D7" s="522" t="s">
        <v>1659</v>
      </c>
      <c r="E7" s="522"/>
      <c r="I7" s="364" t="s">
        <v>1622</v>
      </c>
      <c r="J7" s="63"/>
    </row>
    <row r="8" spans="1:10" ht="15">
      <c r="A8" s="522" t="s">
        <v>1697</v>
      </c>
      <c r="B8" s="522">
        <v>2017</v>
      </c>
      <c r="C8" s="522" t="s">
        <v>1698</v>
      </c>
      <c r="D8" s="522"/>
      <c r="E8" s="522"/>
      <c r="I8" s="437" t="s">
        <v>1649</v>
      </c>
      <c r="J8" s="437" t="s">
        <v>1689</v>
      </c>
    </row>
    <row r="9" spans="1:10" ht="15">
      <c r="A9" s="522" t="s">
        <v>1701</v>
      </c>
      <c r="B9" s="522" t="s">
        <v>1704</v>
      </c>
      <c r="C9" s="533" t="s">
        <v>1703</v>
      </c>
      <c r="D9" s="533" t="s">
        <v>1702</v>
      </c>
      <c r="E9" s="522"/>
      <c r="F9" s="532"/>
      <c r="I9" s="437" t="s">
        <v>1661</v>
      </c>
      <c r="J9" s="437" t="s">
        <v>1690</v>
      </c>
    </row>
    <row r="10" spans="1:10" ht="15">
      <c r="A10" s="522" t="s">
        <v>1809</v>
      </c>
      <c r="B10" s="522" t="s">
        <v>1810</v>
      </c>
      <c r="C10" s="533" t="s">
        <v>1049</v>
      </c>
      <c r="D10" s="533" t="s">
        <v>1811</v>
      </c>
      <c r="E10" s="522"/>
      <c r="F10" s="532"/>
      <c r="I10" s="437"/>
      <c r="J10" s="437"/>
    </row>
    <row r="11" spans="1:10" ht="15">
      <c r="A11" s="532"/>
      <c r="B11" s="532"/>
      <c r="C11" s="571"/>
      <c r="D11" s="571"/>
      <c r="E11" s="532"/>
      <c r="F11" s="532"/>
      <c r="I11" s="437"/>
      <c r="J11" s="437"/>
    </row>
    <row r="12" spans="1:10" ht="15">
      <c r="I12" s="364" t="s">
        <v>1694</v>
      </c>
      <c r="J12" s="437" t="s">
        <v>1695</v>
      </c>
    </row>
    <row r="13" spans="1:10" ht="15">
      <c r="A13" s="376" t="s">
        <v>1540</v>
      </c>
      <c r="B13" s="376"/>
      <c r="C13" s="376"/>
    </row>
    <row r="14" spans="1:10" ht="15">
      <c r="A14" s="465" t="s">
        <v>1536</v>
      </c>
      <c r="B14" s="465" t="s">
        <v>403</v>
      </c>
      <c r="C14" s="465" t="s">
        <v>569</v>
      </c>
      <c r="D14" s="465" t="s">
        <v>1537</v>
      </c>
      <c r="E14" s="465" t="s">
        <v>308</v>
      </c>
      <c r="I14" s="376" t="s">
        <v>1650</v>
      </c>
      <c r="J14" s="531"/>
    </row>
    <row r="15" spans="1:10" ht="15">
      <c r="A15" s="464">
        <v>1</v>
      </c>
      <c r="B15" s="561">
        <v>45512</v>
      </c>
      <c r="C15" s="464" t="s">
        <v>1541</v>
      </c>
      <c r="D15" s="315">
        <v>3000</v>
      </c>
      <c r="E15" s="464" t="s">
        <v>1677</v>
      </c>
      <c r="I15" s="364" t="s">
        <v>1538</v>
      </c>
      <c r="J15" s="364" t="s">
        <v>1688</v>
      </c>
    </row>
    <row r="16" spans="1:10" ht="15">
      <c r="A16" s="464">
        <f>A15+1</f>
        <v>2</v>
      </c>
      <c r="B16" s="561">
        <v>45523</v>
      </c>
      <c r="C16" s="464" t="s">
        <v>1542</v>
      </c>
      <c r="D16" s="315">
        <v>0</v>
      </c>
      <c r="E16" s="464"/>
      <c r="I16" s="364" t="s">
        <v>1539</v>
      </c>
      <c r="J16" s="364"/>
    </row>
    <row r="17" spans="1:10" ht="15">
      <c r="A17" s="464">
        <f t="shared" ref="A17:A25" si="0">A16+1</f>
        <v>3</v>
      </c>
      <c r="B17" s="561">
        <v>45530</v>
      </c>
      <c r="C17" s="464" t="s">
        <v>1543</v>
      </c>
      <c r="D17" s="315">
        <v>19500</v>
      </c>
      <c r="E17" s="464" t="s">
        <v>1682</v>
      </c>
    </row>
    <row r="18" spans="1:10" ht="15">
      <c r="A18" s="464">
        <f t="shared" si="0"/>
        <v>4</v>
      </c>
      <c r="B18" s="561">
        <v>45532</v>
      </c>
      <c r="C18" s="464" t="s">
        <v>1544</v>
      </c>
      <c r="D18" s="315">
        <v>8167</v>
      </c>
      <c r="E18" s="464" t="s">
        <v>1678</v>
      </c>
    </row>
    <row r="19" spans="1:10" ht="15">
      <c r="A19" s="464">
        <f t="shared" si="0"/>
        <v>5</v>
      </c>
      <c r="B19" s="561">
        <v>45534</v>
      </c>
      <c r="C19" s="464" t="s">
        <v>1579</v>
      </c>
      <c r="D19" s="315">
        <v>0</v>
      </c>
      <c r="E19" s="464"/>
      <c r="I19" s="376" t="s">
        <v>1651</v>
      </c>
      <c r="J19" s="531"/>
    </row>
    <row r="20" spans="1:10" ht="15">
      <c r="A20" s="464">
        <f t="shared" si="0"/>
        <v>6</v>
      </c>
      <c r="B20" s="561">
        <v>45537</v>
      </c>
      <c r="C20" s="464" t="s">
        <v>1580</v>
      </c>
      <c r="D20" s="315">
        <v>0</v>
      </c>
      <c r="E20" s="464"/>
      <c r="I20" s="437" t="s">
        <v>1613</v>
      </c>
      <c r="J20" s="437"/>
    </row>
    <row r="21" spans="1:10" ht="15">
      <c r="A21" s="464">
        <f t="shared" si="0"/>
        <v>7</v>
      </c>
      <c r="B21" s="561">
        <v>45549</v>
      </c>
      <c r="C21" s="464" t="s">
        <v>1531</v>
      </c>
      <c r="D21" s="315">
        <v>484</v>
      </c>
      <c r="E21" s="464" t="s">
        <v>1618</v>
      </c>
      <c r="I21" s="437" t="s">
        <v>1626</v>
      </c>
      <c r="J21" s="437" t="s">
        <v>1652</v>
      </c>
    </row>
    <row r="22" spans="1:10" ht="15">
      <c r="A22" s="464">
        <f t="shared" si="0"/>
        <v>8</v>
      </c>
      <c r="B22" s="561">
        <v>45556</v>
      </c>
      <c r="C22" s="464" t="s">
        <v>1546</v>
      </c>
      <c r="D22" s="315">
        <v>4000</v>
      </c>
      <c r="E22" s="464" t="s">
        <v>1546</v>
      </c>
    </row>
    <row r="23" spans="1:10" ht="15">
      <c r="A23" s="464">
        <f t="shared" si="0"/>
        <v>9</v>
      </c>
      <c r="B23" s="561">
        <v>45568</v>
      </c>
      <c r="C23" s="464" t="s">
        <v>1614</v>
      </c>
      <c r="D23" s="315">
        <v>0</v>
      </c>
      <c r="E23" s="463"/>
    </row>
    <row r="24" spans="1:10" ht="15">
      <c r="A24" s="464">
        <f t="shared" si="0"/>
        <v>10</v>
      </c>
      <c r="B24" s="561">
        <v>45586</v>
      </c>
      <c r="C24" s="464" t="s">
        <v>1604</v>
      </c>
      <c r="D24" s="315"/>
      <c r="E24" s="521">
        <v>0.5</v>
      </c>
      <c r="I24" s="376" t="s">
        <v>1643</v>
      </c>
      <c r="J24" s="531"/>
    </row>
    <row r="25" spans="1:10" ht="15">
      <c r="A25" s="464">
        <f t="shared" si="0"/>
        <v>11</v>
      </c>
      <c r="B25" s="561">
        <v>45590</v>
      </c>
      <c r="C25" s="464" t="s">
        <v>1679</v>
      </c>
      <c r="D25" s="315">
        <v>14412</v>
      </c>
      <c r="E25" s="521">
        <v>0.52083333333333337</v>
      </c>
      <c r="I25" s="364" t="s">
        <v>1642</v>
      </c>
      <c r="J25" s="364" t="s">
        <v>1638</v>
      </c>
    </row>
    <row r="26" spans="1:10" ht="15">
      <c r="A26" s="464"/>
      <c r="B26" s="464"/>
      <c r="C26" s="463" t="s">
        <v>1545</v>
      </c>
      <c r="D26" s="432">
        <f ca="1">SUM(D15:D27)</f>
        <v>49563</v>
      </c>
      <c r="E26" s="568" t="s">
        <v>1798</v>
      </c>
      <c r="I26" s="364" t="s">
        <v>1647</v>
      </c>
      <c r="J26" s="437" t="s">
        <v>1641</v>
      </c>
    </row>
    <row r="27" spans="1:10" ht="15">
      <c r="A27" s="464"/>
      <c r="B27" s="464"/>
      <c r="C27" s="464"/>
      <c r="D27" s="432" t="s">
        <v>1813</v>
      </c>
      <c r="E27" s="463"/>
      <c r="I27" s="364" t="s">
        <v>1645</v>
      </c>
      <c r="J27" s="364" t="s">
        <v>1648</v>
      </c>
    </row>
    <row r="28" spans="1:10" ht="15">
      <c r="I28" s="364" t="s">
        <v>1646</v>
      </c>
      <c r="J28" s="364" t="s">
        <v>1653</v>
      </c>
    </row>
    <row r="29" spans="1:10" ht="15">
      <c r="A29" s="376" t="s">
        <v>1814</v>
      </c>
      <c r="B29" s="376"/>
      <c r="I29" s="364" t="s">
        <v>1644</v>
      </c>
      <c r="J29" s="364"/>
    </row>
    <row r="30" spans="1:10" ht="15">
      <c r="A30" s="572"/>
      <c r="B30" s="464" t="s">
        <v>1382</v>
      </c>
      <c r="C30" s="432">
        <v>225000</v>
      </c>
      <c r="D30" s="432" t="s">
        <v>1821</v>
      </c>
      <c r="E30" s="573"/>
      <c r="I30" s="364" t="s">
        <v>1640</v>
      </c>
      <c r="J30" s="364"/>
    </row>
    <row r="31" spans="1:10" ht="15">
      <c r="A31" s="572"/>
      <c r="B31" s="464" t="s">
        <v>1819</v>
      </c>
      <c r="C31" s="432">
        <f>C30+C33+C34</f>
        <v>252063</v>
      </c>
      <c r="D31" s="432" t="s">
        <v>1820</v>
      </c>
      <c r="E31" s="573"/>
      <c r="I31" s="437" t="s">
        <v>1639</v>
      </c>
      <c r="J31" s="364"/>
    </row>
    <row r="32" spans="1:10" ht="15">
      <c r="A32" s="63"/>
      <c r="B32" s="464" t="s">
        <v>1677</v>
      </c>
      <c r="C32" s="315">
        <f>D15+D17</f>
        <v>22500</v>
      </c>
      <c r="D32" s="478" t="s">
        <v>1815</v>
      </c>
      <c r="E32" s="574">
        <v>0.1</v>
      </c>
    </row>
    <row r="33" spans="1:11" ht="15">
      <c r="A33" s="63"/>
      <c r="B33" s="464" t="s">
        <v>1812</v>
      </c>
      <c r="C33" s="315">
        <f>D18+D22</f>
        <v>12167</v>
      </c>
      <c r="D33" s="478" t="s">
        <v>1816</v>
      </c>
      <c r="E33" s="575">
        <v>5.3999999999999999E-2</v>
      </c>
    </row>
    <row r="34" spans="1:11" ht="15">
      <c r="A34" s="63"/>
      <c r="B34" s="464" t="s">
        <v>1596</v>
      </c>
      <c r="C34" s="315">
        <f>D21+D25</f>
        <v>14896</v>
      </c>
      <c r="D34" s="478" t="s">
        <v>1817</v>
      </c>
      <c r="E34" s="575">
        <v>6.6000000000000003E-2</v>
      </c>
    </row>
    <row r="35" spans="1:11" ht="15">
      <c r="A35" s="63"/>
      <c r="B35" s="464" t="s">
        <v>281</v>
      </c>
      <c r="C35" s="315">
        <f>SUM(C32:C34)</f>
        <v>49563</v>
      </c>
      <c r="D35" s="478" t="s">
        <v>1818</v>
      </c>
      <c r="E35" s="574" t="s">
        <v>1822</v>
      </c>
    </row>
    <row r="36" spans="1:11" ht="15">
      <c r="A36" s="63"/>
      <c r="B36" s="464" t="s">
        <v>45</v>
      </c>
      <c r="C36" s="378">
        <f>C31-C35</f>
        <v>202500</v>
      </c>
      <c r="D36" s="576" t="s">
        <v>1823</v>
      </c>
      <c r="E36" s="574"/>
    </row>
    <row r="38" spans="1:11" ht="15">
      <c r="A38" s="376" t="s">
        <v>1685</v>
      </c>
      <c r="B38" s="376" t="s">
        <v>1495</v>
      </c>
      <c r="C38" s="316" t="s">
        <v>1686</v>
      </c>
      <c r="D38" s="316" t="s">
        <v>45</v>
      </c>
      <c r="E38" s="316" t="s">
        <v>308</v>
      </c>
      <c r="H38" s="316" t="s">
        <v>1630</v>
      </c>
      <c r="I38" s="376" t="s">
        <v>1671</v>
      </c>
      <c r="J38" s="376" t="s">
        <v>285</v>
      </c>
      <c r="K38" s="376" t="s">
        <v>308</v>
      </c>
    </row>
    <row r="39" spans="1:11" ht="15">
      <c r="A39" s="364">
        <v>1</v>
      </c>
      <c r="B39" s="364" t="s">
        <v>1382</v>
      </c>
      <c r="C39" s="315">
        <v>225000</v>
      </c>
      <c r="D39" s="524"/>
      <c r="E39" s="378" t="s">
        <v>1676</v>
      </c>
      <c r="H39" s="364">
        <v>1</v>
      </c>
      <c r="I39" s="464" t="s">
        <v>1709</v>
      </c>
      <c r="J39" s="436" t="s">
        <v>1625</v>
      </c>
      <c r="K39" s="464"/>
    </row>
    <row r="40" spans="1:11" ht="15">
      <c r="A40" s="364">
        <v>2</v>
      </c>
      <c r="B40" s="364" t="s">
        <v>1672</v>
      </c>
      <c r="C40" s="315">
        <f>C39*0.054</f>
        <v>12150</v>
      </c>
      <c r="D40" s="525"/>
      <c r="E40" s="63"/>
      <c r="H40" s="364">
        <f>H39+1</f>
        <v>2</v>
      </c>
      <c r="I40" s="464" t="s">
        <v>1550</v>
      </c>
      <c r="J40" s="436" t="s">
        <v>1625</v>
      </c>
      <c r="K40" s="464" t="s">
        <v>1706</v>
      </c>
    </row>
    <row r="41" spans="1:11" ht="15">
      <c r="A41" s="364">
        <v>3</v>
      </c>
      <c r="B41" s="364" t="s">
        <v>1497</v>
      </c>
      <c r="C41" s="315">
        <v>12167</v>
      </c>
      <c r="D41" s="524" t="s">
        <v>1674</v>
      </c>
      <c r="E41" s="63"/>
      <c r="H41" s="364">
        <f t="shared" ref="H41:H48" si="1">H40+1</f>
        <v>3</v>
      </c>
      <c r="I41" s="464" t="s">
        <v>1708</v>
      </c>
      <c r="J41" s="436" t="s">
        <v>1625</v>
      </c>
      <c r="K41" s="464" t="s">
        <v>1707</v>
      </c>
    </row>
    <row r="42" spans="1:11" ht="15">
      <c r="A42" s="364">
        <v>4</v>
      </c>
      <c r="B42" s="364" t="s">
        <v>1531</v>
      </c>
      <c r="C42" s="315">
        <v>500</v>
      </c>
      <c r="D42" s="525">
        <v>0</v>
      </c>
      <c r="E42" s="364" t="s">
        <v>1532</v>
      </c>
      <c r="H42" s="364">
        <f t="shared" si="1"/>
        <v>4</v>
      </c>
      <c r="I42" s="464" t="s">
        <v>1627</v>
      </c>
      <c r="J42" s="63" t="s">
        <v>268</v>
      </c>
      <c r="K42" s="464"/>
    </row>
    <row r="43" spans="1:11" ht="15">
      <c r="A43" s="364">
        <v>5</v>
      </c>
      <c r="B43" s="364" t="s">
        <v>1673</v>
      </c>
      <c r="C43" s="315">
        <v>1200</v>
      </c>
      <c r="D43" s="525"/>
      <c r="E43" s="63"/>
      <c r="H43" s="364">
        <f t="shared" si="1"/>
        <v>5</v>
      </c>
      <c r="I43" s="464" t="s">
        <v>1547</v>
      </c>
      <c r="J43" s="63" t="s">
        <v>268</v>
      </c>
      <c r="K43" s="464"/>
    </row>
    <row r="44" spans="1:11" ht="15">
      <c r="A44" s="364"/>
      <c r="B44" s="364" t="s">
        <v>1498</v>
      </c>
      <c r="C44" s="432">
        <f>SUM(C39:C43)</f>
        <v>251017</v>
      </c>
      <c r="D44" s="524">
        <f>C44*90</f>
        <v>22591530</v>
      </c>
      <c r="E44" s="378" t="s">
        <v>1675</v>
      </c>
      <c r="H44" s="364">
        <f t="shared" si="1"/>
        <v>6</v>
      </c>
      <c r="I44" s="464" t="s">
        <v>1548</v>
      </c>
      <c r="J44" s="63" t="s">
        <v>268</v>
      </c>
      <c r="K44" s="464" t="s">
        <v>1687</v>
      </c>
    </row>
    <row r="45" spans="1:11" ht="15">
      <c r="A45" s="364"/>
      <c r="B45" s="364"/>
      <c r="C45" s="315"/>
      <c r="D45" s="524"/>
      <c r="E45" s="364"/>
      <c r="H45" s="364">
        <f t="shared" si="1"/>
        <v>7</v>
      </c>
      <c r="I45" s="464" t="s">
        <v>1549</v>
      </c>
      <c r="J45" s="63" t="s">
        <v>268</v>
      </c>
      <c r="K45" s="464"/>
    </row>
    <row r="46" spans="1:11" ht="15">
      <c r="A46" s="364"/>
      <c r="B46" s="436" t="s">
        <v>1529</v>
      </c>
      <c r="C46" s="63"/>
      <c r="D46" s="525"/>
      <c r="E46" s="364"/>
      <c r="H46" s="364">
        <f t="shared" si="1"/>
        <v>8</v>
      </c>
      <c r="I46" s="464" t="s">
        <v>1696</v>
      </c>
      <c r="J46" s="436" t="s">
        <v>1625</v>
      </c>
      <c r="K46" s="464"/>
    </row>
    <row r="47" spans="1:11" ht="15">
      <c r="A47" s="364"/>
      <c r="B47" s="364" t="s">
        <v>1502</v>
      </c>
      <c r="C47" s="315">
        <f>0.9*C39</f>
        <v>202500</v>
      </c>
      <c r="D47" s="523" t="s">
        <v>1522</v>
      </c>
      <c r="E47" s="530"/>
      <c r="F47" s="528" t="s">
        <v>1528</v>
      </c>
      <c r="G47" s="377"/>
      <c r="H47" s="364">
        <f t="shared" si="1"/>
        <v>9</v>
      </c>
      <c r="I47" s="464" t="s">
        <v>1628</v>
      </c>
      <c r="J47" s="63" t="s">
        <v>268</v>
      </c>
      <c r="K47" s="464"/>
    </row>
    <row r="48" spans="1:11" ht="15">
      <c r="A48" s="364"/>
      <c r="B48" s="364" t="s">
        <v>43</v>
      </c>
      <c r="C48" s="458">
        <v>878</v>
      </c>
      <c r="D48" s="526">
        <f>C48-D49</f>
        <v>708.7</v>
      </c>
      <c r="E48" s="364" t="s">
        <v>1524</v>
      </c>
      <c r="F48" s="529">
        <f>D48/C48*100</f>
        <v>80.717539863325754</v>
      </c>
      <c r="G48" s="510"/>
      <c r="H48" s="364">
        <f t="shared" si="1"/>
        <v>10</v>
      </c>
      <c r="I48" s="364" t="s">
        <v>1629</v>
      </c>
      <c r="J48" s="63" t="s">
        <v>268</v>
      </c>
      <c r="K48" s="464"/>
    </row>
    <row r="49" spans="1:12" ht="15">
      <c r="A49" s="364"/>
      <c r="B49" s="364" t="s">
        <v>177</v>
      </c>
      <c r="C49" s="315">
        <v>60948</v>
      </c>
      <c r="D49" s="526">
        <f>C49/12/30</f>
        <v>169.3</v>
      </c>
      <c r="E49" s="364" t="s">
        <v>1504</v>
      </c>
      <c r="F49" s="529">
        <f>D49/C48*100</f>
        <v>19.282460136674263</v>
      </c>
      <c r="G49" s="510"/>
      <c r="H49" s="364">
        <v>11</v>
      </c>
      <c r="I49" s="364" t="s">
        <v>1699</v>
      </c>
      <c r="J49" s="436" t="s">
        <v>1625</v>
      </c>
      <c r="K49" s="464" t="s">
        <v>1700</v>
      </c>
    </row>
    <row r="50" spans="1:12" ht="15">
      <c r="A50" s="364"/>
      <c r="B50" s="364"/>
      <c r="C50" s="315"/>
      <c r="D50" s="526">
        <f>D48+D49</f>
        <v>878</v>
      </c>
      <c r="E50" s="364"/>
      <c r="F50" s="528"/>
      <c r="G50" s="377"/>
      <c r="H50" s="364">
        <v>12</v>
      </c>
      <c r="I50" s="364" t="s">
        <v>1705</v>
      </c>
      <c r="J50" s="436" t="s">
        <v>1625</v>
      </c>
      <c r="K50" s="520"/>
    </row>
    <row r="51" spans="1:12" ht="15">
      <c r="A51" s="364"/>
      <c r="B51" s="364" t="s">
        <v>1516</v>
      </c>
      <c r="C51" s="315">
        <v>100</v>
      </c>
      <c r="D51" s="527" t="s">
        <v>1530</v>
      </c>
      <c r="E51" s="364">
        <f>100*12*25</f>
        <v>30000</v>
      </c>
    </row>
    <row r="52" spans="1:12" ht="15">
      <c r="A52" s="364"/>
      <c r="B52" s="364" t="s">
        <v>1525</v>
      </c>
      <c r="C52" s="315">
        <v>50</v>
      </c>
      <c r="D52" s="527" t="s">
        <v>1530</v>
      </c>
      <c r="E52" s="63"/>
    </row>
    <row r="53" spans="1:12" ht="15">
      <c r="A53" s="364"/>
      <c r="B53" s="364" t="s">
        <v>1519</v>
      </c>
      <c r="C53" s="315">
        <f>300/12</f>
        <v>25</v>
      </c>
      <c r="D53" s="527" t="s">
        <v>1530</v>
      </c>
      <c r="E53" s="63"/>
      <c r="J53" s="376" t="s">
        <v>1529</v>
      </c>
      <c r="K53" s="63"/>
      <c r="L53" s="63"/>
    </row>
    <row r="54" spans="1:12" ht="15">
      <c r="A54" s="364"/>
      <c r="B54" s="364" t="s">
        <v>1520</v>
      </c>
      <c r="C54" s="458">
        <f>C48+C51+C52+C53</f>
        <v>1053</v>
      </c>
      <c r="D54" s="524"/>
      <c r="E54" s="63"/>
      <c r="J54" s="364" t="s">
        <v>1776</v>
      </c>
      <c r="K54" s="562">
        <v>202500</v>
      </c>
      <c r="L54" s="63"/>
    </row>
    <row r="55" spans="1:12" ht="15">
      <c r="A55" s="364"/>
      <c r="B55" s="364" t="s">
        <v>1526</v>
      </c>
      <c r="C55" s="315">
        <f>C54*90</f>
        <v>94770</v>
      </c>
      <c r="D55" s="524"/>
      <c r="E55" s="63"/>
      <c r="J55" s="364" t="s">
        <v>1778</v>
      </c>
      <c r="K55" s="562">
        <f>C83*300</f>
        <v>263448</v>
      </c>
      <c r="L55" s="63"/>
    </row>
    <row r="56" spans="1:12" ht="15">
      <c r="J56" s="364" t="s">
        <v>1777</v>
      </c>
      <c r="K56" s="563">
        <v>45597</v>
      </c>
      <c r="L56" s="564">
        <v>54697</v>
      </c>
    </row>
    <row r="57" spans="1:12" ht="15">
      <c r="J57" s="364"/>
      <c r="K57" s="478"/>
      <c r="L57" s="63"/>
    </row>
    <row r="58" spans="1:12" ht="15">
      <c r="A58" s="376" t="s">
        <v>1799</v>
      </c>
      <c r="B58" s="376"/>
      <c r="C58" s="376"/>
      <c r="E58" s="376" t="s">
        <v>1385</v>
      </c>
      <c r="J58" s="63"/>
      <c r="K58" s="63"/>
      <c r="L58" s="63"/>
    </row>
    <row r="59" spans="1:12" ht="15">
      <c r="A59" s="364">
        <v>1</v>
      </c>
      <c r="B59" s="364" t="s">
        <v>1800</v>
      </c>
      <c r="C59" s="364">
        <v>425</v>
      </c>
      <c r="E59" s="364" t="s">
        <v>1384</v>
      </c>
      <c r="J59" s="63"/>
      <c r="K59" s="63"/>
      <c r="L59" s="63"/>
    </row>
    <row r="60" spans="1:12" ht="15">
      <c r="A60" s="364">
        <v>2</v>
      </c>
      <c r="B60" s="364" t="s">
        <v>1801</v>
      </c>
      <c r="C60" s="364">
        <v>630</v>
      </c>
      <c r="E60" s="364" t="s">
        <v>1683</v>
      </c>
    </row>
    <row r="61" spans="1:12" ht="15">
      <c r="A61" s="364">
        <v>3</v>
      </c>
      <c r="B61" s="364" t="s">
        <v>1802</v>
      </c>
      <c r="C61" s="364">
        <v>400</v>
      </c>
      <c r="E61" s="364" t="s">
        <v>1684</v>
      </c>
    </row>
    <row r="62" spans="1:12" ht="15">
      <c r="A62" s="364"/>
      <c r="B62" s="364"/>
      <c r="C62" s="364"/>
    </row>
    <row r="63" spans="1:12" ht="15">
      <c r="A63" s="364"/>
      <c r="B63" s="364"/>
      <c r="C63" s="364"/>
    </row>
    <row r="64" spans="1:12" ht="15">
      <c r="A64" s="364"/>
      <c r="B64" s="364"/>
      <c r="C64" s="364"/>
    </row>
    <row r="65" spans="1:7" ht="15">
      <c r="A65" s="364"/>
      <c r="B65" s="364"/>
      <c r="C65" s="364"/>
    </row>
    <row r="68" spans="1:7" ht="15">
      <c r="A68" s="459" t="s">
        <v>1533</v>
      </c>
    </row>
    <row r="69" spans="1:7" ht="15">
      <c r="A69" s="448"/>
      <c r="B69" s="460" t="s">
        <v>311</v>
      </c>
      <c r="C69" s="460" t="s">
        <v>1534</v>
      </c>
      <c r="D69" s="460" t="s">
        <v>1535</v>
      </c>
      <c r="E69" s="460" t="s">
        <v>308</v>
      </c>
      <c r="F69" s="460" t="s">
        <v>308</v>
      </c>
      <c r="G69" s="511"/>
    </row>
    <row r="70" spans="1:7" ht="114">
      <c r="A70" s="461">
        <v>1</v>
      </c>
      <c r="B70" s="461" t="s">
        <v>1431</v>
      </c>
      <c r="C70" s="461" t="s">
        <v>1433</v>
      </c>
      <c r="D70" s="461"/>
      <c r="E70" s="461" t="s">
        <v>1432</v>
      </c>
      <c r="F70" s="462" t="s">
        <v>1434</v>
      </c>
      <c r="G70" s="512"/>
    </row>
    <row r="81" spans="1:8" ht="15">
      <c r="A81" s="459" t="s">
        <v>1774</v>
      </c>
      <c r="B81" s="569"/>
      <c r="C81" s="569"/>
      <c r="D81" s="569"/>
      <c r="E81" s="569"/>
      <c r="F81" s="569"/>
      <c r="G81" s="569"/>
      <c r="H81" s="569"/>
    </row>
    <row r="82" spans="1:8" ht="15">
      <c r="A82" s="383" t="s">
        <v>25</v>
      </c>
      <c r="B82" s="383" t="s">
        <v>403</v>
      </c>
      <c r="C82" s="383" t="s">
        <v>43</v>
      </c>
      <c r="D82" s="383" t="s">
        <v>1803</v>
      </c>
      <c r="E82" s="383" t="s">
        <v>1804</v>
      </c>
      <c r="F82" s="383" t="s">
        <v>1805</v>
      </c>
      <c r="G82" s="383" t="s">
        <v>308</v>
      </c>
      <c r="H82" s="384"/>
    </row>
    <row r="83" spans="1:8" ht="15">
      <c r="A83" s="63">
        <v>1</v>
      </c>
      <c r="B83" s="561">
        <v>45626</v>
      </c>
      <c r="C83" s="478">
        <v>878.16</v>
      </c>
      <c r="D83" s="63"/>
      <c r="E83" s="63"/>
      <c r="F83" s="63">
        <v>50</v>
      </c>
      <c r="G83" s="464" t="s">
        <v>1807</v>
      </c>
      <c r="H83" s="63"/>
    </row>
    <row r="84" spans="1:8" ht="15">
      <c r="A84" s="63">
        <f>A83+1</f>
        <v>2</v>
      </c>
      <c r="B84" s="561">
        <f>B83+30</f>
        <v>45656</v>
      </c>
      <c r="C84" s="478">
        <v>878.16</v>
      </c>
      <c r="D84" s="63"/>
      <c r="E84" s="63"/>
      <c r="F84" s="63">
        <v>50</v>
      </c>
      <c r="G84" s="464"/>
      <c r="H84" s="63"/>
    </row>
    <row r="85" spans="1:8" ht="15">
      <c r="A85" s="63">
        <f t="shared" ref="A85:A88" si="2">A84+1</f>
        <v>3</v>
      </c>
      <c r="B85" s="561">
        <f>B84+30</f>
        <v>45686</v>
      </c>
      <c r="C85" s="478">
        <v>878.16</v>
      </c>
      <c r="D85" s="63"/>
      <c r="E85" s="63"/>
      <c r="F85" s="63">
        <v>50</v>
      </c>
      <c r="G85" s="464"/>
      <c r="H85" s="63"/>
    </row>
    <row r="86" spans="1:8" ht="15">
      <c r="A86" s="63">
        <f t="shared" si="2"/>
        <v>4</v>
      </c>
      <c r="B86" s="561">
        <f t="shared" ref="B86:B88" si="3">B85+30</f>
        <v>45716</v>
      </c>
      <c r="C86" s="478">
        <v>878.16</v>
      </c>
      <c r="D86" s="63"/>
      <c r="E86" s="63"/>
      <c r="F86" s="63">
        <v>50</v>
      </c>
      <c r="G86" s="464"/>
      <c r="H86" s="63"/>
    </row>
    <row r="87" spans="1:8" ht="15">
      <c r="A87" s="63">
        <f t="shared" si="2"/>
        <v>5</v>
      </c>
      <c r="B87" s="561">
        <f t="shared" si="3"/>
        <v>45746</v>
      </c>
      <c r="C87" s="478">
        <v>878.16</v>
      </c>
      <c r="D87" s="63"/>
      <c r="E87" s="63"/>
      <c r="F87" s="63">
        <v>50</v>
      </c>
      <c r="G87" s="464"/>
      <c r="H87" s="63"/>
    </row>
    <row r="88" spans="1:8" ht="15">
      <c r="A88" s="63">
        <f t="shared" si="2"/>
        <v>6</v>
      </c>
      <c r="B88" s="561">
        <f t="shared" si="3"/>
        <v>45776</v>
      </c>
      <c r="C88" s="478">
        <v>878.16</v>
      </c>
      <c r="D88" s="63"/>
      <c r="E88" s="63"/>
      <c r="F88" s="63">
        <v>50</v>
      </c>
      <c r="G88" s="464" t="s">
        <v>1775</v>
      </c>
      <c r="H88" s="63"/>
    </row>
    <row r="90" spans="1:8" ht="15">
      <c r="A90" s="570" t="s">
        <v>1806</v>
      </c>
    </row>
  </sheetData>
  <hyperlinks>
    <hyperlink ref="E3" r:id="rId1" xr:uid="{EF7E9170-88A9-4DE5-881E-F1029C44BBF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K60"/>
  <sheetViews>
    <sheetView zoomScaleNormal="100" workbookViewId="0">
      <selection activeCell="D34" sqref="D34"/>
    </sheetView>
  </sheetViews>
  <sheetFormatPr defaultColWidth="8.875" defaultRowHeight="14.25"/>
  <cols>
    <col min="1" max="1" width="20" customWidth="1"/>
    <col min="2" max="2" width="11" bestFit="1" customWidth="1"/>
    <col min="3" max="3" width="15.875" customWidth="1"/>
    <col min="4" max="4" width="17.625" customWidth="1"/>
    <col min="5" max="5" width="28.125" customWidth="1"/>
    <col min="6" max="6" width="22.625" customWidth="1"/>
    <col min="7" max="7" width="14.875" customWidth="1"/>
    <col min="8" max="8" width="9.875" customWidth="1"/>
    <col min="10" max="10" width="12.25" customWidth="1"/>
    <col min="11" max="11" width="20.375" customWidth="1"/>
  </cols>
  <sheetData>
    <row r="2" spans="1:11" ht="15.75">
      <c r="A2" s="331" t="s">
        <v>394</v>
      </c>
      <c r="B2" s="331" t="s">
        <v>19</v>
      </c>
      <c r="C2" s="331" t="s">
        <v>7</v>
      </c>
      <c r="D2" s="331" t="s">
        <v>605</v>
      </c>
      <c r="J2" s="331" t="s">
        <v>311</v>
      </c>
      <c r="K2" s="331" t="s">
        <v>1369</v>
      </c>
    </row>
    <row r="3" spans="1:11" ht="15.75">
      <c r="A3" s="330" t="s">
        <v>264</v>
      </c>
      <c r="B3" s="330" t="s">
        <v>613</v>
      </c>
      <c r="C3" s="330" t="s">
        <v>614</v>
      </c>
      <c r="D3" s="330" t="s">
        <v>1294</v>
      </c>
      <c r="E3" s="332"/>
      <c r="J3" s="330" t="s">
        <v>1367</v>
      </c>
      <c r="K3" s="330" t="s">
        <v>1359</v>
      </c>
    </row>
    <row r="4" spans="1:11" ht="15.75">
      <c r="A4" s="330" t="s">
        <v>265</v>
      </c>
      <c r="B4" s="330" t="s">
        <v>697</v>
      </c>
      <c r="C4" s="330" t="s">
        <v>698</v>
      </c>
      <c r="D4" s="330" t="s">
        <v>612</v>
      </c>
      <c r="E4" s="332"/>
      <c r="J4" s="330" t="s">
        <v>1333</v>
      </c>
      <c r="K4" s="330" t="s">
        <v>1360</v>
      </c>
    </row>
    <row r="5" spans="1:11" ht="15.75">
      <c r="A5" s="330" t="s">
        <v>1295</v>
      </c>
      <c r="B5" s="330" t="s">
        <v>1292</v>
      </c>
      <c r="C5" s="330" t="s">
        <v>1293</v>
      </c>
      <c r="D5" s="330" t="s">
        <v>1298</v>
      </c>
      <c r="E5" s="332"/>
      <c r="J5" s="330" t="s">
        <v>1368</v>
      </c>
      <c r="K5" s="330" t="s">
        <v>1361</v>
      </c>
    </row>
    <row r="6" spans="1:11" ht="15.75">
      <c r="A6" s="330" t="s">
        <v>1296</v>
      </c>
      <c r="B6" s="333">
        <v>45261</v>
      </c>
      <c r="C6" s="330"/>
      <c r="D6" s="330" t="s">
        <v>1297</v>
      </c>
      <c r="E6" s="332"/>
      <c r="J6" s="330" t="s">
        <v>1045</v>
      </c>
      <c r="K6" s="330" t="s">
        <v>1362</v>
      </c>
    </row>
    <row r="7" spans="1:11" ht="15.75">
      <c r="A7" s="178"/>
      <c r="B7" s="178"/>
      <c r="J7" s="330" t="s">
        <v>1364</v>
      </c>
      <c r="K7" s="330" t="s">
        <v>1363</v>
      </c>
    </row>
    <row r="8" spans="1:11" ht="15.75">
      <c r="J8" s="330" t="s">
        <v>1366</v>
      </c>
      <c r="K8" s="330" t="s">
        <v>1365</v>
      </c>
    </row>
    <row r="9" spans="1:11" ht="15.75">
      <c r="A9" s="168" t="s">
        <v>597</v>
      </c>
      <c r="B9" s="168" t="s">
        <v>19</v>
      </c>
      <c r="C9" s="168" t="s">
        <v>598</v>
      </c>
      <c r="D9" s="168" t="s">
        <v>599</v>
      </c>
      <c r="E9" s="168" t="s">
        <v>600</v>
      </c>
      <c r="F9" s="168" t="s">
        <v>308</v>
      </c>
      <c r="G9" s="168"/>
    </row>
    <row r="10" spans="1:11" ht="15.75">
      <c r="A10" s="139" t="s">
        <v>587</v>
      </c>
      <c r="B10" s="139" t="s">
        <v>590</v>
      </c>
      <c r="C10" s="139" t="s">
        <v>588</v>
      </c>
      <c r="D10" s="139" t="s">
        <v>589</v>
      </c>
      <c r="E10" s="139" t="s">
        <v>583</v>
      </c>
      <c r="F10" s="139"/>
      <c r="G10" s="139"/>
    </row>
    <row r="11" spans="1:11" ht="15.75">
      <c r="A11" s="139" t="s">
        <v>582</v>
      </c>
      <c r="B11" s="139" t="s">
        <v>586</v>
      </c>
      <c r="C11" s="139" t="s">
        <v>584</v>
      </c>
      <c r="D11" s="139" t="s">
        <v>585</v>
      </c>
      <c r="E11" s="139" t="s">
        <v>583</v>
      </c>
      <c r="F11" s="139"/>
      <c r="G11" s="139"/>
    </row>
    <row r="12" spans="1:11" ht="15.75">
      <c r="A12" s="139" t="s">
        <v>594</v>
      </c>
      <c r="B12" s="139" t="s">
        <v>593</v>
      </c>
      <c r="C12" s="139" t="s">
        <v>591</v>
      </c>
      <c r="D12" s="139" t="s">
        <v>592</v>
      </c>
      <c r="E12" s="139" t="s">
        <v>596</v>
      </c>
      <c r="F12" s="139" t="s">
        <v>595</v>
      </c>
      <c r="G12" s="139"/>
    </row>
    <row r="13" spans="1:11" ht="15.75">
      <c r="A13" s="139"/>
      <c r="B13" s="139"/>
      <c r="C13" s="139"/>
      <c r="D13" s="139"/>
      <c r="E13" s="139"/>
      <c r="F13" s="139"/>
      <c r="G13" s="139"/>
    </row>
    <row r="17" spans="1:10" ht="15.75">
      <c r="A17" s="140" t="s">
        <v>309</v>
      </c>
      <c r="B17" s="140" t="s">
        <v>561</v>
      </c>
      <c r="C17" s="140" t="s">
        <v>569</v>
      </c>
      <c r="D17" s="140" t="s">
        <v>897</v>
      </c>
      <c r="E17" s="140" t="s">
        <v>7</v>
      </c>
      <c r="F17" s="140" t="s">
        <v>601</v>
      </c>
      <c r="G17" s="140" t="s">
        <v>603</v>
      </c>
      <c r="H17" s="140" t="s">
        <v>647</v>
      </c>
      <c r="I17" s="140" t="s">
        <v>605</v>
      </c>
      <c r="J17" s="140" t="s">
        <v>111</v>
      </c>
    </row>
    <row r="18" spans="1:10" ht="15.75">
      <c r="A18" s="139" t="s">
        <v>623</v>
      </c>
      <c r="B18" s="139" t="s">
        <v>314</v>
      </c>
      <c r="C18" s="139" t="s">
        <v>622</v>
      </c>
      <c r="D18" s="139" t="s">
        <v>621</v>
      </c>
      <c r="E18" s="139"/>
      <c r="F18" s="139"/>
      <c r="G18" s="139"/>
      <c r="H18" s="139" t="s">
        <v>265</v>
      </c>
      <c r="I18" s="139"/>
      <c r="J18" s="139"/>
    </row>
    <row r="19" spans="1:10" ht="15.75">
      <c r="A19" s="139" t="s">
        <v>617</v>
      </c>
      <c r="B19" s="139" t="s">
        <v>314</v>
      </c>
      <c r="C19" s="139"/>
      <c r="D19" s="139" t="s">
        <v>903</v>
      </c>
      <c r="E19" s="139"/>
      <c r="F19" s="139"/>
      <c r="G19" s="139"/>
      <c r="H19" s="139" t="s">
        <v>264</v>
      </c>
      <c r="I19" s="139"/>
      <c r="J19" s="139"/>
    </row>
    <row r="20" spans="1:10" ht="15.75">
      <c r="A20" s="139" t="s">
        <v>619</v>
      </c>
      <c r="B20" s="139" t="s">
        <v>314</v>
      </c>
      <c r="C20" s="139" t="s">
        <v>620</v>
      </c>
      <c r="D20" s="139" t="s">
        <v>903</v>
      </c>
      <c r="E20" s="139"/>
      <c r="F20" s="139"/>
      <c r="G20" s="139"/>
      <c r="H20" s="139" t="s">
        <v>264</v>
      </c>
      <c r="I20" s="139"/>
      <c r="J20" s="139"/>
    </row>
    <row r="21" spans="1:10" ht="15.75">
      <c r="A21" s="139" t="s">
        <v>615</v>
      </c>
      <c r="B21" s="139"/>
      <c r="C21" s="139"/>
      <c r="D21" s="139" t="s">
        <v>904</v>
      </c>
      <c r="E21" s="139" t="s">
        <v>618</v>
      </c>
      <c r="F21" s="139"/>
      <c r="G21" s="139"/>
      <c r="H21" s="139" t="s">
        <v>624</v>
      </c>
      <c r="I21" s="139"/>
      <c r="J21" s="139"/>
    </row>
    <row r="22" spans="1:10" ht="15.75">
      <c r="A22" s="139" t="s">
        <v>616</v>
      </c>
      <c r="B22" s="139" t="s">
        <v>314</v>
      </c>
      <c r="C22" s="139"/>
      <c r="D22" s="139" t="s">
        <v>904</v>
      </c>
      <c r="E22" s="139"/>
      <c r="F22" s="139"/>
      <c r="G22" s="139"/>
      <c r="H22" s="139" t="s">
        <v>625</v>
      </c>
      <c r="I22" s="139"/>
      <c r="J22" s="139"/>
    </row>
    <row r="23" spans="1:10" ht="15.75">
      <c r="A23" s="139" t="s">
        <v>486</v>
      </c>
      <c r="B23" s="139" t="s">
        <v>564</v>
      </c>
      <c r="C23" s="139"/>
      <c r="D23" s="139" t="s">
        <v>905</v>
      </c>
      <c r="E23" s="258" t="s">
        <v>984</v>
      </c>
      <c r="F23" s="139"/>
      <c r="G23" s="139"/>
      <c r="H23" s="139" t="s">
        <v>315</v>
      </c>
      <c r="I23" s="139" t="s">
        <v>637</v>
      </c>
      <c r="J23" s="139" t="s">
        <v>642</v>
      </c>
    </row>
    <row r="24" spans="1:10" ht="15.75">
      <c r="A24" s="139" t="s">
        <v>490</v>
      </c>
      <c r="B24" s="139" t="s">
        <v>562</v>
      </c>
      <c r="C24" s="139"/>
      <c r="D24" s="139"/>
      <c r="E24" s="139"/>
      <c r="F24" s="139"/>
      <c r="G24" s="139"/>
      <c r="H24" s="139" t="s">
        <v>315</v>
      </c>
      <c r="I24" s="139" t="s">
        <v>638</v>
      </c>
      <c r="J24" s="139" t="s">
        <v>643</v>
      </c>
    </row>
    <row r="25" spans="1:10" ht="15.75">
      <c r="A25" s="139" t="s">
        <v>492</v>
      </c>
      <c r="B25" s="139" t="s">
        <v>563</v>
      </c>
      <c r="C25" s="139"/>
      <c r="D25" s="139"/>
      <c r="E25" s="139"/>
      <c r="F25" s="139"/>
      <c r="G25" s="139"/>
      <c r="H25" s="139" t="s">
        <v>315</v>
      </c>
      <c r="I25" s="139" t="s">
        <v>639</v>
      </c>
      <c r="J25" s="139"/>
    </row>
    <row r="26" spans="1:10" ht="15.75">
      <c r="A26" s="139" t="s">
        <v>494</v>
      </c>
      <c r="B26" s="139" t="s">
        <v>566</v>
      </c>
      <c r="C26" s="139" t="s">
        <v>743</v>
      </c>
      <c r="D26" s="139" t="s">
        <v>898</v>
      </c>
      <c r="E26" s="139" t="s">
        <v>1005</v>
      </c>
      <c r="F26" s="139"/>
      <c r="G26" s="139"/>
      <c r="H26" s="139" t="s">
        <v>315</v>
      </c>
      <c r="I26" s="139" t="s">
        <v>565</v>
      </c>
      <c r="J26" s="139" t="s">
        <v>644</v>
      </c>
    </row>
    <row r="27" spans="1:10" ht="15.75">
      <c r="A27" s="139" t="s">
        <v>981</v>
      </c>
      <c r="B27" s="139" t="s">
        <v>567</v>
      </c>
      <c r="C27" s="139" t="s">
        <v>568</v>
      </c>
      <c r="D27" s="139" t="s">
        <v>899</v>
      </c>
      <c r="E27" s="139" t="s">
        <v>980</v>
      </c>
      <c r="F27" s="139" t="s">
        <v>602</v>
      </c>
      <c r="G27" s="139" t="s">
        <v>604</v>
      </c>
      <c r="H27" s="139" t="s">
        <v>315</v>
      </c>
      <c r="I27" s="139" t="s">
        <v>640</v>
      </c>
      <c r="J27" s="139" t="s">
        <v>645</v>
      </c>
    </row>
    <row r="28" spans="1:10" ht="15.75">
      <c r="A28" s="139" t="s">
        <v>606</v>
      </c>
      <c r="B28" s="139" t="s">
        <v>570</v>
      </c>
      <c r="C28" s="139" t="s">
        <v>571</v>
      </c>
      <c r="D28" s="139" t="s">
        <v>900</v>
      </c>
      <c r="E28" s="139" t="s">
        <v>982</v>
      </c>
      <c r="F28" s="139" t="s">
        <v>608</v>
      </c>
      <c r="G28" s="139" t="s">
        <v>607</v>
      </c>
      <c r="H28" s="139" t="s">
        <v>315</v>
      </c>
      <c r="I28" s="139" t="s">
        <v>641</v>
      </c>
      <c r="J28" s="139" t="s">
        <v>646</v>
      </c>
    </row>
    <row r="29" spans="1:10" ht="15.75">
      <c r="A29" s="139" t="s">
        <v>611</v>
      </c>
      <c r="B29" s="139" t="s">
        <v>572</v>
      </c>
      <c r="C29" s="139" t="s">
        <v>573</v>
      </c>
      <c r="D29" s="139" t="s">
        <v>902</v>
      </c>
      <c r="E29" s="258" t="s">
        <v>983</v>
      </c>
      <c r="F29" s="139" t="s">
        <v>609</v>
      </c>
      <c r="G29" s="139" t="s">
        <v>610</v>
      </c>
      <c r="H29" s="139" t="s">
        <v>265</v>
      </c>
      <c r="I29" s="139" t="s">
        <v>574</v>
      </c>
      <c r="J29" s="139"/>
    </row>
    <row r="30" spans="1:10" ht="15.75">
      <c r="A30" s="139" t="s">
        <v>901</v>
      </c>
      <c r="B30" s="139" t="s">
        <v>572</v>
      </c>
      <c r="C30" s="139" t="s">
        <v>573</v>
      </c>
      <c r="D30" s="139" t="s">
        <v>900</v>
      </c>
      <c r="E30" s="258" t="s">
        <v>1061</v>
      </c>
      <c r="F30" s="258" t="s">
        <v>958</v>
      </c>
      <c r="G30" s="139"/>
      <c r="H30" s="139" t="s">
        <v>871</v>
      </c>
      <c r="I30" s="139" t="s">
        <v>574</v>
      </c>
      <c r="J30" s="139"/>
    </row>
    <row r="31" spans="1:10" ht="15.75">
      <c r="A31" s="139" t="s">
        <v>1062</v>
      </c>
      <c r="B31" s="258" t="s">
        <v>1063</v>
      </c>
      <c r="C31" s="139" t="s">
        <v>1064</v>
      </c>
      <c r="D31" s="139"/>
      <c r="E31" s="258" t="s">
        <v>1299</v>
      </c>
      <c r="F31" s="258" t="s">
        <v>1065</v>
      </c>
      <c r="G31" s="63"/>
      <c r="H31" s="139" t="s">
        <v>1300</v>
      </c>
      <c r="I31" s="139" t="s">
        <v>1066</v>
      </c>
      <c r="J31" s="63"/>
    </row>
    <row r="35" spans="1:9" ht="15">
      <c r="A35" s="179" t="s">
        <v>695</v>
      </c>
      <c r="B35" s="105"/>
      <c r="C35" s="105"/>
      <c r="D35" s="105"/>
      <c r="E35" s="105"/>
      <c r="F35" s="105"/>
      <c r="G35" s="105"/>
    </row>
    <row r="36" spans="1:9" ht="15.75">
      <c r="A36" s="139" t="s">
        <v>690</v>
      </c>
      <c r="B36" s="139"/>
      <c r="C36" s="105"/>
      <c r="D36" s="105"/>
      <c r="E36" s="105"/>
      <c r="F36" s="105"/>
      <c r="G36" s="105"/>
    </row>
    <row r="37" spans="1:9" ht="15.75">
      <c r="A37" s="139" t="s">
        <v>573</v>
      </c>
      <c r="B37" s="139"/>
      <c r="C37" s="105"/>
      <c r="D37" s="105"/>
      <c r="E37" s="105"/>
      <c r="F37" s="105"/>
      <c r="G37" s="105"/>
    </row>
    <row r="38" spans="1:9" ht="15.75">
      <c r="A38" s="139" t="s">
        <v>693</v>
      </c>
      <c r="B38" s="139"/>
      <c r="C38" s="105"/>
      <c r="D38" s="105"/>
      <c r="E38" s="105"/>
      <c r="F38" s="105"/>
      <c r="G38" s="105"/>
    </row>
    <row r="39" spans="1:9" ht="15.75">
      <c r="A39" s="139" t="s">
        <v>694</v>
      </c>
      <c r="B39" s="139"/>
      <c r="C39" s="105"/>
      <c r="D39" s="105"/>
      <c r="E39" s="105"/>
      <c r="F39" s="105"/>
      <c r="G39" s="105"/>
    </row>
    <row r="40" spans="1:9" ht="15.75">
      <c r="A40" s="139" t="s">
        <v>696</v>
      </c>
      <c r="B40" s="139"/>
      <c r="C40" s="105"/>
      <c r="D40" s="105"/>
      <c r="E40" s="105"/>
      <c r="F40" s="105"/>
      <c r="G40" s="105"/>
    </row>
    <row r="41" spans="1:9" ht="15">
      <c r="A41" s="105"/>
      <c r="B41" s="180"/>
      <c r="C41" s="105"/>
      <c r="D41" s="105"/>
      <c r="E41" s="105"/>
      <c r="F41" s="105"/>
      <c r="G41" s="105"/>
    </row>
    <row r="42" spans="1:9" ht="15">
      <c r="A42" s="181" t="s">
        <v>25</v>
      </c>
      <c r="B42" s="179" t="s">
        <v>311</v>
      </c>
      <c r="C42" s="179" t="s">
        <v>689</v>
      </c>
      <c r="D42" s="179" t="s">
        <v>678</v>
      </c>
      <c r="E42" s="179" t="s">
        <v>677</v>
      </c>
      <c r="F42" s="179" t="s">
        <v>679</v>
      </c>
      <c r="G42" s="179" t="s">
        <v>680</v>
      </c>
      <c r="H42" s="179" t="s">
        <v>691</v>
      </c>
    </row>
    <row r="43" spans="1:9" ht="15">
      <c r="A43" s="125">
        <v>1</v>
      </c>
      <c r="B43" s="125" t="s">
        <v>669</v>
      </c>
      <c r="C43" s="125" t="s">
        <v>136</v>
      </c>
      <c r="D43" s="125" t="s">
        <v>665</v>
      </c>
      <c r="E43" s="135" t="s">
        <v>673</v>
      </c>
      <c r="F43" s="135" t="s">
        <v>682</v>
      </c>
      <c r="G43" s="135" t="s">
        <v>681</v>
      </c>
      <c r="H43" s="125" t="s">
        <v>692</v>
      </c>
    </row>
    <row r="44" spans="1:9" ht="15">
      <c r="A44" s="125">
        <v>2</v>
      </c>
      <c r="B44" s="125" t="s">
        <v>670</v>
      </c>
      <c r="C44" s="125" t="s">
        <v>688</v>
      </c>
      <c r="D44" s="135" t="s">
        <v>666</v>
      </c>
      <c r="E44" s="135" t="s">
        <v>674</v>
      </c>
      <c r="F44" s="125" t="s">
        <v>684</v>
      </c>
      <c r="G44" s="334"/>
      <c r="H44" s="135" t="s">
        <v>864</v>
      </c>
      <c r="I44" s="167" t="s">
        <v>717</v>
      </c>
    </row>
    <row r="45" spans="1:9" ht="15">
      <c r="A45" s="125">
        <v>3</v>
      </c>
      <c r="B45" s="125" t="s">
        <v>671</v>
      </c>
      <c r="C45" s="125" t="s">
        <v>687</v>
      </c>
      <c r="D45" s="125" t="s">
        <v>667</v>
      </c>
      <c r="E45" s="135" t="s">
        <v>675</v>
      </c>
      <c r="F45" s="135" t="s">
        <v>683</v>
      </c>
      <c r="G45" s="125"/>
      <c r="H45" s="125"/>
    </row>
    <row r="46" spans="1:9" ht="15">
      <c r="A46" s="125">
        <v>4</v>
      </c>
      <c r="B46" s="125" t="s">
        <v>672</v>
      </c>
      <c r="C46" s="125" t="s">
        <v>686</v>
      </c>
      <c r="D46" s="125" t="s">
        <v>668</v>
      </c>
      <c r="E46" s="135" t="s">
        <v>676</v>
      </c>
      <c r="F46" s="125" t="s">
        <v>685</v>
      </c>
      <c r="G46" s="125"/>
      <c r="H46" s="125"/>
    </row>
    <row r="50" spans="1:7" ht="15">
      <c r="A50" s="179" t="s">
        <v>311</v>
      </c>
      <c r="B50" s="179" t="s">
        <v>842</v>
      </c>
      <c r="C50" s="179" t="s">
        <v>679</v>
      </c>
      <c r="D50" s="179" t="s">
        <v>678</v>
      </c>
      <c r="E50" s="179" t="s">
        <v>677</v>
      </c>
      <c r="F50" s="179" t="s">
        <v>1118</v>
      </c>
      <c r="G50" s="179" t="s">
        <v>1301</v>
      </c>
    </row>
    <row r="51" spans="1:7" ht="15">
      <c r="A51" s="125" t="s">
        <v>669</v>
      </c>
      <c r="B51" s="125" t="s">
        <v>843</v>
      </c>
      <c r="C51" s="125" t="s">
        <v>682</v>
      </c>
      <c r="D51" s="125" t="s">
        <v>665</v>
      </c>
      <c r="E51" s="125" t="s">
        <v>673</v>
      </c>
      <c r="F51" s="125"/>
      <c r="G51" s="135" t="s">
        <v>858</v>
      </c>
    </row>
    <row r="52" spans="1:7" ht="15">
      <c r="A52" s="125" t="s">
        <v>670</v>
      </c>
      <c r="B52" s="125" t="s">
        <v>844</v>
      </c>
      <c r="C52" s="125" t="s">
        <v>684</v>
      </c>
      <c r="D52" s="125" t="s">
        <v>666</v>
      </c>
      <c r="E52" s="125" t="s">
        <v>674</v>
      </c>
      <c r="F52" s="125"/>
      <c r="G52" s="125" t="s">
        <v>847</v>
      </c>
    </row>
    <row r="53" spans="1:7" ht="15">
      <c r="A53" s="125" t="s">
        <v>671</v>
      </c>
      <c r="B53" s="125" t="s">
        <v>845</v>
      </c>
      <c r="C53" s="125" t="s">
        <v>683</v>
      </c>
      <c r="D53" s="125" t="s">
        <v>667</v>
      </c>
      <c r="E53" s="125" t="s">
        <v>675</v>
      </c>
      <c r="F53" s="125"/>
      <c r="G53" s="135" t="s">
        <v>859</v>
      </c>
    </row>
    <row r="54" spans="1:7" ht="15">
      <c r="A54" s="125" t="s">
        <v>672</v>
      </c>
      <c r="B54" s="125" t="s">
        <v>846</v>
      </c>
      <c r="C54" s="125" t="s">
        <v>685</v>
      </c>
      <c r="D54" s="125" t="s">
        <v>668</v>
      </c>
      <c r="E54" s="125" t="s">
        <v>676</v>
      </c>
      <c r="F54" s="125"/>
      <c r="G54" s="135" t="s">
        <v>860</v>
      </c>
    </row>
    <row r="55" spans="1:7" ht="15">
      <c r="A55" s="125" t="s">
        <v>838</v>
      </c>
      <c r="B55" s="125">
        <v>603785707</v>
      </c>
      <c r="C55" s="125" t="s">
        <v>840</v>
      </c>
      <c r="D55" s="135" t="s">
        <v>861</v>
      </c>
      <c r="E55" s="135" t="s">
        <v>316</v>
      </c>
      <c r="F55" s="125"/>
    </row>
    <row r="56" spans="1:7" ht="15">
      <c r="A56" s="125" t="s">
        <v>839</v>
      </c>
      <c r="B56" s="125">
        <v>611465145</v>
      </c>
      <c r="C56" s="125" t="s">
        <v>841</v>
      </c>
      <c r="D56" s="135" t="s">
        <v>861</v>
      </c>
      <c r="E56" s="135" t="s">
        <v>717</v>
      </c>
      <c r="F56" s="125"/>
    </row>
    <row r="57" spans="1:7" ht="15">
      <c r="A57" s="125" t="s">
        <v>848</v>
      </c>
      <c r="B57" s="125" t="s">
        <v>849</v>
      </c>
      <c r="C57" s="125"/>
      <c r="D57" s="125"/>
      <c r="E57" s="125"/>
      <c r="F57" s="125"/>
    </row>
    <row r="58" spans="1:7" ht="15">
      <c r="A58" s="125" t="s">
        <v>850</v>
      </c>
      <c r="B58" s="125" t="s">
        <v>851</v>
      </c>
      <c r="C58" s="63"/>
      <c r="D58" s="125" t="s">
        <v>853</v>
      </c>
      <c r="E58" s="125" t="s">
        <v>852</v>
      </c>
      <c r="F58" s="125"/>
    </row>
    <row r="59" spans="1:7" ht="15">
      <c r="A59" s="125" t="s">
        <v>854</v>
      </c>
      <c r="B59" s="125" t="s">
        <v>855</v>
      </c>
      <c r="C59" s="63"/>
      <c r="D59" s="125" t="s">
        <v>857</v>
      </c>
      <c r="E59" s="125" t="s">
        <v>856</v>
      </c>
      <c r="F59" s="125"/>
    </row>
    <row r="60" spans="1:7" ht="15">
      <c r="A60" s="125"/>
      <c r="B60" s="125"/>
      <c r="C60" s="63"/>
      <c r="D60" s="63"/>
      <c r="E60" s="63"/>
      <c r="F60" s="63"/>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
  <sheetViews>
    <sheetView workbookViewId="0">
      <selection activeCell="E35" sqref="E35"/>
    </sheetView>
  </sheetViews>
  <sheetFormatPr defaultColWidth="8.625" defaultRowHeight="15"/>
  <cols>
    <col min="1" max="1" width="8.625" style="11"/>
    <col min="2" max="2" width="14.125" style="11" customWidth="1"/>
    <col min="3" max="3" width="22.625" style="11" customWidth="1"/>
    <col min="4" max="4" width="15.375" style="11" customWidth="1"/>
    <col min="5" max="5" width="16.625" style="11" customWidth="1"/>
    <col min="6" max="6" width="20.625" style="11" customWidth="1"/>
    <col min="7" max="7" width="66.125" style="11" bestFit="1" customWidth="1"/>
    <col min="8" max="16384" width="8.625" style="11"/>
  </cols>
  <sheetData>
    <row r="1" spans="1:7">
      <c r="B1" s="90" t="s">
        <v>49</v>
      </c>
      <c r="C1" s="133" t="s">
        <v>50</v>
      </c>
    </row>
    <row r="3" spans="1:7">
      <c r="A3" s="134"/>
      <c r="B3" s="134" t="s">
        <v>19</v>
      </c>
      <c r="C3" s="134"/>
      <c r="D3" s="134" t="s">
        <v>57</v>
      </c>
      <c r="E3" s="134" t="s">
        <v>51</v>
      </c>
      <c r="F3" s="134" t="s">
        <v>53</v>
      </c>
      <c r="G3" s="134" t="s">
        <v>111</v>
      </c>
    </row>
    <row r="4" spans="1:7">
      <c r="A4" s="125">
        <v>1</v>
      </c>
      <c r="B4" s="125" t="s">
        <v>47</v>
      </c>
      <c r="C4" s="125">
        <v>50000</v>
      </c>
      <c r="D4" s="132">
        <v>42522</v>
      </c>
      <c r="E4" s="125" t="s">
        <v>52</v>
      </c>
      <c r="F4" s="125">
        <v>60000</v>
      </c>
      <c r="G4" s="125"/>
    </row>
    <row r="5" spans="1:7">
      <c r="A5" s="125">
        <v>2</v>
      </c>
      <c r="B5" s="125" t="s">
        <v>48</v>
      </c>
      <c r="C5" s="125">
        <v>1000</v>
      </c>
      <c r="D5" s="132">
        <v>43070</v>
      </c>
      <c r="E5" s="125" t="s">
        <v>52</v>
      </c>
      <c r="F5" s="125"/>
      <c r="G5" s="125"/>
    </row>
    <row r="6" spans="1:7">
      <c r="A6" s="125">
        <v>3</v>
      </c>
      <c r="B6" s="125" t="s">
        <v>299</v>
      </c>
      <c r="C6" s="125">
        <v>1000</v>
      </c>
      <c r="D6" s="132">
        <v>43435</v>
      </c>
      <c r="E6" s="125" t="s">
        <v>52</v>
      </c>
      <c r="F6" s="125">
        <v>70000</v>
      </c>
      <c r="G6" s="125" t="s">
        <v>305</v>
      </c>
    </row>
    <row r="7" spans="1:7">
      <c r="A7" s="125">
        <v>4</v>
      </c>
      <c r="B7" s="125" t="s">
        <v>363</v>
      </c>
      <c r="C7" s="125">
        <v>2000</v>
      </c>
      <c r="D7" s="125"/>
      <c r="E7" s="125"/>
      <c r="F7" s="125"/>
      <c r="G7" s="125"/>
    </row>
    <row r="8" spans="1:7">
      <c r="A8" s="125">
        <v>5</v>
      </c>
      <c r="B8" s="125" t="s">
        <v>653</v>
      </c>
      <c r="C8" s="125">
        <v>50000</v>
      </c>
      <c r="D8" s="132" t="s">
        <v>654</v>
      </c>
      <c r="E8" s="125" t="s">
        <v>52</v>
      </c>
      <c r="F8" s="125"/>
      <c r="G8" s="125"/>
    </row>
    <row r="9" spans="1:7">
      <c r="A9" s="125"/>
      <c r="B9" s="125" t="s">
        <v>943</v>
      </c>
      <c r="C9" s="125">
        <v>0</v>
      </c>
      <c r="D9" s="125"/>
      <c r="E9" s="125"/>
      <c r="F9" s="125"/>
      <c r="G9" s="125"/>
    </row>
    <row r="10" spans="1:7">
      <c r="A10" s="125">
        <v>6</v>
      </c>
      <c r="B10" s="125" t="s">
        <v>942</v>
      </c>
      <c r="C10" s="125">
        <v>50000</v>
      </c>
      <c r="D10" s="125" t="s">
        <v>944</v>
      </c>
      <c r="E10" s="125" t="s">
        <v>945</v>
      </c>
      <c r="F10" s="125"/>
      <c r="G10" s="125" t="s">
        <v>946</v>
      </c>
    </row>
    <row r="11" spans="1:7">
      <c r="A11" s="125"/>
      <c r="B11" s="125"/>
      <c r="C11" s="125">
        <f>SUM(C4:C10)</f>
        <v>154000</v>
      </c>
      <c r="D11" s="125"/>
      <c r="E11" s="125"/>
      <c r="F11" s="125"/>
      <c r="G11" s="1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198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Money</vt:lpstr>
      <vt:lpstr>Papa</vt:lpstr>
      <vt:lpstr>Coins</vt:lpstr>
      <vt:lpstr>PF</vt:lpstr>
      <vt:lpstr>MFs</vt:lpstr>
      <vt:lpstr>MFs Old</vt:lpstr>
      <vt:lpstr>MadridHome</vt:lpstr>
      <vt:lpstr>INFO</vt:lpstr>
      <vt:lpstr>NPS</vt:lpstr>
      <vt:lpstr>PDM</vt:lpstr>
      <vt:lpstr>LogNew</vt:lpstr>
      <vt:lpstr>consultants</vt:lpstr>
      <vt:lpstr>Zerodha</vt:lpstr>
      <vt:lpstr>BuyVsRent</vt:lpstr>
      <vt:lpstr>Rent Calc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Sheetal</dc:creator>
  <cp:lastModifiedBy>Singh, Sheetal (Cognizant)</cp:lastModifiedBy>
  <cp:revision>52</cp:revision>
  <dcterms:created xsi:type="dcterms:W3CDTF">2017-08-21T17:44:16Z</dcterms:created>
  <dcterms:modified xsi:type="dcterms:W3CDTF">2025-01-06T09:50:41Z</dcterms:modified>
</cp:coreProperties>
</file>