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580086_ed_ac_uk/Documents/Documents/University of Edinburgh/Year 2/iMechE Design Challenge/iMechE-Design-Challenge-2024/Documents/"/>
    </mc:Choice>
  </mc:AlternateContent>
  <xr:revisionPtr revIDLastSave="11" documentId="8_{5620C8F2-8641-4301-82AE-14DD634E60F3}" xr6:coauthVersionLast="47" xr6:coauthVersionMax="47" xr10:uidLastSave="{23536FE3-7BBC-48DE-A5F5-B1CD29F4357E}"/>
  <bookViews>
    <workbookView xWindow="-108" yWindow="-108" windowWidth="23256" windowHeight="12576" firstSheet="1" activeTab="1" xr2:uid="{00000000-000D-0000-FFFF-FFFF00000000}"/>
  </bookViews>
  <sheets>
    <sheet name="Summary" sheetId="2" r:id="rId1"/>
    <sheet name="Bill of Material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J60" i="1" s="1"/>
  <c r="J61" i="1" s="1"/>
  <c r="J54" i="1"/>
  <c r="I54" i="1"/>
  <c r="N54" i="1"/>
  <c r="O11" i="1"/>
  <c r="N11" i="1"/>
  <c r="N19" i="1"/>
  <c r="O19" i="1" s="1"/>
  <c r="G15" i="1"/>
  <c r="H19" i="1"/>
  <c r="I19" i="1" s="1"/>
  <c r="J19" i="1" s="1"/>
  <c r="O55" i="1"/>
  <c r="O53" i="1"/>
  <c r="O54" i="1" s="1"/>
  <c r="H53" i="1"/>
  <c r="I53" i="1" s="1"/>
  <c r="H55" i="1"/>
  <c r="I55" i="1" s="1"/>
  <c r="I46" i="1"/>
  <c r="J46" i="1" s="1"/>
  <c r="I31" i="1"/>
  <c r="J31" i="1" s="1"/>
  <c r="H56" i="1"/>
  <c r="I56" i="1" s="1"/>
  <c r="H50" i="1"/>
  <c r="I50" i="1" s="1"/>
  <c r="J50" i="1" s="1"/>
  <c r="H48" i="1"/>
  <c r="I48" i="1" s="1"/>
  <c r="J49" i="1"/>
  <c r="H49" i="1"/>
  <c r="I49" i="1" s="1"/>
  <c r="J48" i="1"/>
  <c r="H39" i="1"/>
  <c r="I39" i="1" s="1"/>
  <c r="J39" i="1" s="1"/>
  <c r="O35" i="1"/>
  <c r="O56" i="1"/>
  <c r="O57" i="1"/>
  <c r="O58" i="1"/>
  <c r="O52" i="1"/>
  <c r="J58" i="1"/>
  <c r="H52" i="1"/>
  <c r="I52" i="1" s="1"/>
  <c r="H45" i="1"/>
  <c r="I45" i="1" s="1"/>
  <c r="H57" i="1"/>
  <c r="I57" i="1" s="1"/>
  <c r="H59" i="1"/>
  <c r="I59" i="1" s="1"/>
  <c r="H47" i="1"/>
  <c r="I47" i="1" s="1"/>
  <c r="H51" i="1"/>
  <c r="I51" i="1" s="1"/>
  <c r="H35" i="1"/>
  <c r="I35" i="1" s="1"/>
  <c r="J35" i="1" s="1"/>
  <c r="O6" i="1"/>
  <c r="N6" i="1"/>
  <c r="O41" i="1"/>
  <c r="I18" i="1"/>
  <c r="J18" i="1" s="1"/>
  <c r="I15" i="1"/>
  <c r="J15" i="1" s="1"/>
  <c r="I10" i="1"/>
  <c r="J10" i="1" s="1"/>
  <c r="I11" i="1"/>
  <c r="J11" i="1" s="1"/>
  <c r="I12" i="1"/>
  <c r="J12" i="1" s="1"/>
  <c r="I13" i="1"/>
  <c r="J13" i="1" s="1"/>
  <c r="I14" i="1"/>
  <c r="J14" i="1" s="1"/>
  <c r="I16" i="1"/>
  <c r="J16" i="1" s="1"/>
  <c r="I17" i="1"/>
  <c r="J17" i="1" s="1"/>
  <c r="H6" i="1"/>
  <c r="I6" i="1" s="1"/>
  <c r="J6" i="1" s="1"/>
  <c r="O9" i="1"/>
  <c r="O8" i="1"/>
  <c r="N9" i="1"/>
  <c r="N8" i="1"/>
  <c r="I8" i="1"/>
  <c r="J8" i="1" s="1"/>
  <c r="I9" i="1"/>
  <c r="J9" i="1" s="1"/>
  <c r="I38" i="1"/>
  <c r="J38" i="1" s="1"/>
  <c r="I40" i="1"/>
  <c r="J40" i="1" s="1"/>
  <c r="I37" i="1"/>
  <c r="J37" i="1" s="1"/>
  <c r="I36" i="1"/>
  <c r="J36" i="1" s="1"/>
  <c r="H41" i="1"/>
  <c r="I41" i="1" s="1"/>
  <c r="I25" i="1"/>
  <c r="O3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O7" i="1"/>
  <c r="C22" i="1" l="1"/>
  <c r="E10" i="2"/>
  <c r="O61" i="1"/>
  <c r="J41" i="1"/>
  <c r="H58" i="1"/>
  <c r="I58" i="1" s="1"/>
  <c r="J51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J25" i="1"/>
  <c r="I7" i="1"/>
  <c r="J7" i="1" s="1"/>
  <c r="I5" i="1"/>
  <c r="J5" i="1" s="1"/>
  <c r="I23" i="1"/>
  <c r="J23" i="1" s="1"/>
  <c r="I24" i="1"/>
  <c r="J24" i="1" s="1"/>
  <c r="I26" i="1"/>
  <c r="I27" i="1"/>
  <c r="J27" i="1" s="1"/>
  <c r="I28" i="1"/>
  <c r="J28" i="1" s="1"/>
  <c r="I29" i="1"/>
  <c r="J29" i="1" s="1"/>
  <c r="I30" i="1"/>
  <c r="J30" i="1" s="1"/>
  <c r="I32" i="1"/>
  <c r="J32" i="1" s="1"/>
  <c r="I33" i="1"/>
  <c r="J33" i="1" s="1"/>
  <c r="I34" i="1"/>
  <c r="J34" i="1" s="1"/>
  <c r="I22" i="1"/>
  <c r="J22" i="1" s="1"/>
  <c r="E8" i="2" l="1"/>
  <c r="E6" i="2"/>
  <c r="J26" i="1"/>
  <c r="J43" i="1" s="1"/>
  <c r="E5" i="2" s="1"/>
  <c r="J20" i="1"/>
  <c r="E4" i="2" s="1"/>
  <c r="E7" i="2" l="1"/>
</calcChain>
</file>

<file path=xl/sharedStrings.xml><?xml version="1.0" encoding="utf-8"?>
<sst xmlns="http://schemas.openxmlformats.org/spreadsheetml/2006/main" count="432" uniqueCount="184">
  <si>
    <t>BoM Summary Table</t>
  </si>
  <si>
    <t>Mechanical structure (IMechE BoM)</t>
  </si>
  <si>
    <t>Electric &amp; electronic components (IMechE BoM)</t>
  </si>
  <si>
    <t>Fixings, fasteners and other consumables (IMechE BoM)</t>
  </si>
  <si>
    <t>IMechE BoM cost</t>
  </si>
  <si>
    <t>Total device cost (comprehensive)</t>
  </si>
  <si>
    <t>Total mass (g)</t>
  </si>
  <si>
    <t>Bill of Materials</t>
  </si>
  <si>
    <t>Device Area</t>
  </si>
  <si>
    <t>BoM Item Line</t>
  </si>
  <si>
    <t>Part Number</t>
  </si>
  <si>
    <t>Design Iteration</t>
  </si>
  <si>
    <t>Part Name</t>
  </si>
  <si>
    <t>Quantity (units, g, mm, mm2)</t>
  </si>
  <si>
    <t>Unit Cost (£/unit; £/g; £/mm - VAT inc.)</t>
  </si>
  <si>
    <t>Total Cost ( £ - VAT inc.)</t>
  </si>
  <si>
    <t>IMechE BoM Cost ( £ - VAT inc.)</t>
  </si>
  <si>
    <t>Material</t>
  </si>
  <si>
    <t>Density (kg/m3)</t>
  </si>
  <si>
    <t>Mass (g)</t>
  </si>
  <si>
    <t>Total Mass (g)</t>
  </si>
  <si>
    <t>Manufacturing Technique / Purchased Item</t>
  </si>
  <si>
    <t>Supplier</t>
  </si>
  <si>
    <t>Hyperlink</t>
  </si>
  <si>
    <t>Invoices (see notes below)</t>
  </si>
  <si>
    <t>Mechanical</t>
  </si>
  <si>
    <t>M0001</t>
  </si>
  <si>
    <t>IMechE Standard datum pointer</t>
  </si>
  <si>
    <t>Brass</t>
  </si>
  <si>
    <t>COtS</t>
  </si>
  <si>
    <t>RS Components</t>
  </si>
  <si>
    <t>Link</t>
  </si>
  <si>
    <t>Invoice 4</t>
  </si>
  <si>
    <t>M0002</t>
  </si>
  <si>
    <t>8 mm Rod</t>
  </si>
  <si>
    <t>Hard Wood</t>
  </si>
  <si>
    <t>Cut to size</t>
  </si>
  <si>
    <t>WF Education Group</t>
  </si>
  <si>
    <t>Invoice 2</t>
  </si>
  <si>
    <t>M0003</t>
  </si>
  <si>
    <t>608zz Bearings</t>
  </si>
  <si>
    <t>-</t>
  </si>
  <si>
    <t>N/A</t>
  </si>
  <si>
    <t>Amazon UK</t>
  </si>
  <si>
    <t>Invoice 1</t>
  </si>
  <si>
    <t>M0004</t>
  </si>
  <si>
    <t>Ultrasonic sensor holder</t>
  </si>
  <si>
    <t>PLA+</t>
  </si>
  <si>
    <t>3D Printed</t>
  </si>
  <si>
    <t>M0005</t>
  </si>
  <si>
    <t>Motor mount</t>
  </si>
  <si>
    <t>M0006</t>
  </si>
  <si>
    <t>Chassis</t>
  </si>
  <si>
    <t>MDF</t>
  </si>
  <si>
    <t>Laser Cut</t>
  </si>
  <si>
    <t>Hobarts</t>
  </si>
  <si>
    <t>M0007</t>
  </si>
  <si>
    <t>Datum holder</t>
  </si>
  <si>
    <t>PLA</t>
  </si>
  <si>
    <t>M0008</t>
  </si>
  <si>
    <t>Drive gear</t>
  </si>
  <si>
    <t>Perspex</t>
  </si>
  <si>
    <t>M0009</t>
  </si>
  <si>
    <t>Output gear</t>
  </si>
  <si>
    <t>M0010</t>
  </si>
  <si>
    <t>Wheel</t>
  </si>
  <si>
    <t>M0011</t>
  </si>
  <si>
    <t>Axle holder</t>
  </si>
  <si>
    <t>M0012</t>
  </si>
  <si>
    <t>Bottom bracket</t>
  </si>
  <si>
    <t>M0013</t>
  </si>
  <si>
    <t>Camera holder</t>
  </si>
  <si>
    <t>M0014</t>
  </si>
  <si>
    <t>Camera arm</t>
  </si>
  <si>
    <t>M0015</t>
  </si>
  <si>
    <t>Stiffener</t>
  </si>
  <si>
    <t>Mechanical IMechE BoM - Partial (£)</t>
  </si>
  <si>
    <t>Electronics</t>
  </si>
  <si>
    <t>E0001</t>
  </si>
  <si>
    <t>Raspberry Pi Zero 2 W</t>
  </si>
  <si>
    <t>CPC Farnell</t>
  </si>
  <si>
    <t>Invoice 11</t>
  </si>
  <si>
    <t>E0002</t>
  </si>
  <si>
    <t>Webcam</t>
  </si>
  <si>
    <t>Argos</t>
  </si>
  <si>
    <t>Invoice 3</t>
  </si>
  <si>
    <t>E0003</t>
  </si>
  <si>
    <t>NEMA 17</t>
  </si>
  <si>
    <t>RS components</t>
  </si>
  <si>
    <t>Invoice 7</t>
  </si>
  <si>
    <t>E0004</t>
  </si>
  <si>
    <t>TMC2208 Driver</t>
  </si>
  <si>
    <t>3DJake</t>
  </si>
  <si>
    <t>Invoice 12</t>
  </si>
  <si>
    <t>E0005</t>
  </si>
  <si>
    <t>MicroSD card</t>
  </si>
  <si>
    <t>Invoice 6</t>
  </si>
  <si>
    <t>E0006</t>
  </si>
  <si>
    <t>Microswitch</t>
  </si>
  <si>
    <t>Invoice 8</t>
  </si>
  <si>
    <t>E0007</t>
  </si>
  <si>
    <t>8x Battery holder</t>
  </si>
  <si>
    <t>E0008</t>
  </si>
  <si>
    <t>Snap-on battery connector</t>
  </si>
  <si>
    <t>E0009</t>
  </si>
  <si>
    <t>Micro USB adapter</t>
  </si>
  <si>
    <t>E0010</t>
  </si>
  <si>
    <t>Micro USB Cable</t>
  </si>
  <si>
    <t>E0011</t>
  </si>
  <si>
    <t>DC-DC buck converter</t>
  </si>
  <si>
    <t>E0012</t>
  </si>
  <si>
    <t>Header pin, 1 row, 20 way</t>
  </si>
  <si>
    <t>Invoice 5</t>
  </si>
  <si>
    <t>E0013</t>
  </si>
  <si>
    <t>SPDT Switch</t>
  </si>
  <si>
    <t>Invoice 9</t>
  </si>
  <si>
    <t>E0014</t>
  </si>
  <si>
    <t>AA  Battery</t>
  </si>
  <si>
    <t>E0015</t>
  </si>
  <si>
    <t>100uF capacitor</t>
  </si>
  <si>
    <t>Invoice 10</t>
  </si>
  <si>
    <t>E0016</t>
  </si>
  <si>
    <t>Breadboard</t>
  </si>
  <si>
    <t>E0017</t>
  </si>
  <si>
    <t>6.3A fuse</t>
  </si>
  <si>
    <t>E0018</t>
  </si>
  <si>
    <t>Buttons</t>
  </si>
  <si>
    <t>E0019</t>
  </si>
  <si>
    <t>In-line fuse holder</t>
  </si>
  <si>
    <t>E0020</t>
  </si>
  <si>
    <t>Jumper wire</t>
  </si>
  <si>
    <t>E0021</t>
  </si>
  <si>
    <t>Ultrasonic distance sensor</t>
  </si>
  <si>
    <t>Electronics IMechE BoM - Partial (£)</t>
  </si>
  <si>
    <t>Fixings, Fasteners, and other consumeables</t>
  </si>
  <si>
    <t>CF0001</t>
  </si>
  <si>
    <t>Heatshrink</t>
  </si>
  <si>
    <t>EVA</t>
  </si>
  <si>
    <t>CF0002</t>
  </si>
  <si>
    <t>Hot glue</t>
  </si>
  <si>
    <t>CotS</t>
  </si>
  <si>
    <t>Screwfix</t>
  </si>
  <si>
    <t>CF0003</t>
  </si>
  <si>
    <t>Lead-free solder</t>
  </si>
  <si>
    <t>CF0004</t>
  </si>
  <si>
    <t>Stranded-core wire</t>
  </si>
  <si>
    <t>Pi Hut UK</t>
  </si>
  <si>
    <t>CF0005</t>
  </si>
  <si>
    <t>Solid-core wire</t>
  </si>
  <si>
    <t>CF0006</t>
  </si>
  <si>
    <t>Super glue</t>
  </si>
  <si>
    <t>CF0007</t>
  </si>
  <si>
    <t>Velcro tape</t>
  </si>
  <si>
    <t>CF0009</t>
  </si>
  <si>
    <t>M3x6</t>
  </si>
  <si>
    <t>Stainless Steel</t>
  </si>
  <si>
    <t>CF0010</t>
  </si>
  <si>
    <t>M3 nut</t>
  </si>
  <si>
    <t>CF0011</t>
  </si>
  <si>
    <t>M3 nylock nut</t>
  </si>
  <si>
    <t>BoltWorld</t>
  </si>
  <si>
    <t>CF0012</t>
  </si>
  <si>
    <t>M2 nut</t>
  </si>
  <si>
    <t>CF0013</t>
  </si>
  <si>
    <t>M3x10</t>
  </si>
  <si>
    <t>CF0014</t>
  </si>
  <si>
    <t>M2.5x12</t>
  </si>
  <si>
    <t>CF0015</t>
  </si>
  <si>
    <t>M2x10</t>
  </si>
  <si>
    <t>CF0016</t>
  </si>
  <si>
    <t>Electrical tape</t>
  </si>
  <si>
    <t>PVC</t>
  </si>
  <si>
    <t>CF0017</t>
  </si>
  <si>
    <t>Printing + Glue Stick</t>
  </si>
  <si>
    <t>Paper</t>
  </si>
  <si>
    <t>Printed</t>
  </si>
  <si>
    <t>in-house</t>
  </si>
  <si>
    <t>Consumables IMechE BoM - Partial (£)</t>
  </si>
  <si>
    <t>Notes:</t>
  </si>
  <si>
    <t>Unit costs that are too small are denoted in scientific form (ie 4.06E-6) and are still in the unit £</t>
  </si>
  <si>
    <t>Quantity is in units, except for those which are laser cut (mm2), those which are 3D printed (g), or tape/cut (mm)</t>
  </si>
  <si>
    <t>Access invoices here</t>
  </si>
  <si>
    <t>Back up link:</t>
  </si>
  <si>
    <t>https://uoe-my.sharepoint.com/:f:/g/personal/s2289738_ed_ac_uk/EtWzKMgK9zBFi7NRyLfgglQBb7IdocdMV8jteqt58a28lA?e=eVg11O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</si>
</sst>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</font>
    <font>
      <u/>
      <sz val="11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2" borderId="1" xfId="1" applyNumberFormat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1" fontId="4" fillId="3" borderId="1" xfId="0" applyNumberFormat="1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2" applyFill="1" applyAlignment="1">
      <alignment horizontal="center" vertical="center" wrapText="1"/>
    </xf>
    <xf numFmtId="0" fontId="3" fillId="3" borderId="1" xfId="2" applyFill="1" applyBorder="1" applyAlignment="1">
      <alignment horizontal="center" vertical="center" wrapText="1"/>
    </xf>
    <xf numFmtId="0" fontId="3" fillId="0" borderId="0" xfId="2"/>
    <xf numFmtId="0" fontId="3" fillId="0" borderId="0" xfId="2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164" fontId="4" fillId="3" borderId="2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164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11" fontId="4" fillId="3" borderId="22" xfId="0" applyNumberFormat="1" applyFont="1" applyFill="1" applyBorder="1" applyAlignment="1">
      <alignment horizontal="center" vertical="center" wrapText="1"/>
    </xf>
    <xf numFmtId="164" fontId="4" fillId="2" borderId="29" xfId="1" applyNumberFormat="1" applyFont="1" applyBorder="1" applyAlignment="1">
      <alignment horizontal="center" vertical="center" wrapText="1"/>
    </xf>
    <xf numFmtId="165" fontId="4" fillId="3" borderId="27" xfId="0" applyNumberFormat="1" applyFont="1" applyFill="1" applyBorder="1" applyAlignment="1">
      <alignment horizontal="center" vertical="center" wrapText="1"/>
    </xf>
    <xf numFmtId="0" fontId="6" fillId="3" borderId="27" xfId="2" applyFont="1" applyFill="1" applyBorder="1" applyAlignment="1">
      <alignment horizontal="center" vertical="center" wrapText="1"/>
    </xf>
    <xf numFmtId="0" fontId="6" fillId="3" borderId="22" xfId="2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 textRotation="90" wrapText="1"/>
    </xf>
    <xf numFmtId="0" fontId="4" fillId="3" borderId="15" xfId="0" applyFont="1" applyFill="1" applyBorder="1" applyAlignment="1">
      <alignment horizontal="center" vertical="center" textRotation="90" wrapText="1"/>
    </xf>
    <xf numFmtId="0" fontId="4" fillId="2" borderId="1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12" xfId="1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</cellXfs>
  <cellStyles count="3">
    <cellStyle name="40% - Accent6" xfId="1" builtinId="51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BoM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BoM Summary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7-4C8C-80BE-FEE00FC76E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77-4C8C-80BE-FEE00FC76E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7-4C8C-80BE-FEE00FC76E4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849DC87-0318-4038-9A9B-B0FDBE58A2AF}" type="PERCENTAGE">
                      <a:rPr lang="en-US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[PERCENTAGE]</a:t>
                    </a:fld>
                    <a:endParaRPr lang="en-MY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D77-4C8C-80BE-FEE00FC76E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EAAC5E-1A13-4FE8-848B-0A9B8C815A94}" type="PERCENTAGE">
                      <a:rPr lang="en-US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[PERCENTAGE]</a:t>
                    </a:fld>
                    <a:endParaRPr lang="en-MY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D77-4C8C-80BE-FEE00FC76E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031497-3ED6-4E3D-A214-2BE16154301B}" type="PERCENTAGE">
                      <a:rPr lang="en-US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[PERCENTAGE]</a:t>
                    </a:fld>
                    <a:endParaRPr lang="en-MY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D77-4C8C-80BE-FEE00FC76E42}"/>
                </c:ext>
              </c:extLst>
            </c:dLbl>
            <c:spPr>
              <a:solidFill>
                <a:schemeClr val="tx1">
                  <a:alpha val="3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Summary!$B$4:$D$6</c:f>
              <c:strCache>
                <c:ptCount val="3"/>
                <c:pt idx="0">
                  <c:v>Mechanical structure (IMechE BoM)</c:v>
                </c:pt>
                <c:pt idx="1">
                  <c:v>Electric &amp; electronic components (IMechE BoM)</c:v>
                </c:pt>
                <c:pt idx="2">
                  <c:v>Fixings, fasteners and other consumables (IMechE BoM)</c:v>
                </c:pt>
              </c:strCache>
            </c:strRef>
          </c:cat>
          <c:val>
            <c:numRef>
              <c:f>Summary!$E$4:$E$6</c:f>
              <c:numCache>
                <c:formatCode>"£"#,##0.00</c:formatCode>
                <c:ptCount val="3"/>
                <c:pt idx="0">
                  <c:v>15.101899200000002</c:v>
                </c:pt>
                <c:pt idx="1">
                  <c:v>62.167000000000016</c:v>
                </c:pt>
                <c:pt idx="2">
                  <c:v>1.7990933333333332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7-4C8C-80BE-FEE00FC76E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1</xdr:row>
      <xdr:rowOff>11430</xdr:rowOff>
    </xdr:from>
    <xdr:to>
      <xdr:col>13</xdr:col>
      <xdr:colOff>251460</xdr:colOff>
      <xdr:row>12</xdr:row>
      <xdr:rowOff>59055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062D2C-F1FB-7301-03D5-3D7CF3A9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hobarts.com/products/clear-cast-perspex-acrylic-large?variant=43956358775021" TargetMode="External"/><Relationship Id="rId18" Type="http://schemas.openxmlformats.org/officeDocument/2006/relationships/hyperlink" Target="https://www.amazon.co.uk/VELCRO-Brand-Fasteners-Perfect-Office/dp/B0013D8IUC/ref=asc_df_B0013D8IUC/?tag=googshopuk-21&amp;linkCode=df0&amp;hvadid=214440742293&amp;hvpos=&amp;hvnetw=g&amp;hvrand=10212361422519813387&amp;hvpone=&amp;hvptwo=&amp;hvqmt=&amp;hvdev=c&amp;hvdvcmdl=&amp;hvlocint=&amp;hvlocphy=9046887&amp;hvtargid=pla-420778815339&amp;mcid=5ea8ec56083f39b5893eccb5f18df06b&amp;th=1" TargetMode="External"/><Relationship Id="rId26" Type="http://schemas.openxmlformats.org/officeDocument/2006/relationships/hyperlink" Target="https://www.amazon.co.uk/dp/B08734MSDD?psc=1&amp;ref=ppx_yo2ov_dt_b_product_details" TargetMode="External"/><Relationship Id="rId39" Type="http://schemas.openxmlformats.org/officeDocument/2006/relationships/hyperlink" Target="https://www.amazon.co.uk/dp/B0BR4WQP4R?psc=1&amp;ref=ppx_yo2ov_dt_b_product_details" TargetMode="External"/><Relationship Id="rId21" Type="http://schemas.openxmlformats.org/officeDocument/2006/relationships/hyperlink" Target="https://www.amazon.co.uk/ASHINER-Heat-Shrink-Tubing-User-Friendly-Multicolored/dp/B08XXGNJHG/ref=asc_df_B08XXGNJHG/?tag=googshopuk-21&amp;linkCode=df0&amp;hvadid=499306924014&amp;hvpos=&amp;hvnetw=g&amp;hvrand=9321289264635406776&amp;hvpone=&amp;hvptwo=&amp;hvqmt=&amp;hvdev=c&amp;hvdvcmdl=&amp;hvlocint=&amp;hvlocphy=9046887&amp;hvtargid=pla-1228160880141&amp;mcid=c4c55b2f0fd33c3891ae411112f1f810&amp;th=1" TargetMode="External"/><Relationship Id="rId34" Type="http://schemas.openxmlformats.org/officeDocument/2006/relationships/hyperlink" Target="https://www.amazon.co.uk/dp/B0BR4WQP4R?psc=1&amp;ref=ppx_yo2ov_dt_b_product_details" TargetMode="External"/><Relationship Id="rId42" Type="http://schemas.openxmlformats.org/officeDocument/2006/relationships/hyperlink" Target="../../../../../../../../../:f:/g/personal/s2289738_ed_ac_uk/EtWzKMgK9zBFi7NRyLfgglQBb7IdocdMV8jteqt58a28lA?e=eVg11O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www.amazon.co.uk/Yizhet-Efficiency-Regulator-Converter-Adjustable/dp/B0823P6PW6/ref=sr_1_6?crid=Z8FH3TDTBG1G&amp;keywords=buck%2Bconverter&amp;qid=1701555795&amp;sprefix=buck%2Bconverter%2Caps%2C225&amp;sr=8-6&amp;th=1" TargetMode="External"/><Relationship Id="rId2" Type="http://schemas.openxmlformats.org/officeDocument/2006/relationships/hyperlink" Target="https://uk.rs-online.com/web/p/power-motor-robotics-development-tools/1845109?cm_mmc=UK-PLA-DS3A-_-google-_-CSS_UK_EN_PMAX_Catch+All-_--_-1845109&amp;matchtype=&amp;&amp;gad_source=1&amp;gclid=Cj0KCQiAw6yuBhDrARIsACf94RU3e-VT7b1sqOscbW7WU6_KoJu4tlSqjsC2guiALE059wz4765kY4YaAp8rEALw_wcB&amp;gclsrc=aw.ds" TargetMode="External"/><Relationship Id="rId16" Type="http://schemas.openxmlformats.org/officeDocument/2006/relationships/hyperlink" Target="https://uk.rs-online.com/web/p/hooks/3974954" TargetMode="External"/><Relationship Id="rId29" Type="http://schemas.openxmlformats.org/officeDocument/2006/relationships/hyperlink" Target="https://cpc.farnell.com/pro-signal/psg-bb-400/breadboard-400-pin-white/dp/PC01770" TargetMode="External"/><Relationship Id="rId1" Type="http://schemas.openxmlformats.org/officeDocument/2006/relationships/hyperlink" Target="https://cpc.farnell.com/multicomp/mc34739/header-1-row-vert-20way/dp/CN14497?st=headers%2020%20way" TargetMode="External"/><Relationship Id="rId6" Type="http://schemas.openxmlformats.org/officeDocument/2006/relationships/hyperlink" Target="https://cpc.farnell.com/pro-power/pp002032/battery-snaps-side-entry-safety/dp/BT06483?st=clip%20on%20connector" TargetMode="External"/><Relationship Id="rId11" Type="http://schemas.openxmlformats.org/officeDocument/2006/relationships/hyperlink" Target="https://hobarts.com/products/pack-13-4-0mm-laser-grade-mdf-size-600x300mm-x50-sheets?variant=44274900435181" TargetMode="External"/><Relationship Id="rId24" Type="http://schemas.openxmlformats.org/officeDocument/2006/relationships/hyperlink" Target="https://www.3djake.uk/bigtreetech/stepper-motor-driver?sai=9877" TargetMode="External"/><Relationship Id="rId32" Type="http://schemas.openxmlformats.org/officeDocument/2006/relationships/hyperlink" Target="https://www.amazon.co.uk/dp/B0BR4WQP4R?psc=1&amp;ref=ppx_yo2ov_dt_b_product_details" TargetMode="External"/><Relationship Id="rId37" Type="http://schemas.openxmlformats.org/officeDocument/2006/relationships/hyperlink" Target="https://www.amazon.co.uk/Gorilla-4044205-Superglue-15g/dp/B003CT4XT0/ref=sr_1_5?crid=3D7OR8RFRDMS6&amp;dib=eyJ2IjoiMSJ9.AJ8X3NV_orsvH_aqlGzznktCPztYZPuk1AACwNFnvwmxAwiw6CzzSYXLI9PFeaLeZHSc03cK3VLJi12EaL6k2chqQJOiE4UVcMT0a38TMmPg9i9SdtCRtXMbkL3NYp9y7vN5O1Sl0sM0WBPdu3JxB40f7hACHTPT6mS7KrQuBCJcKeKpv5LeaX33Btn_jsNSE3DL-bMrmVVj3S4aog6ig0zYQSG2XLYUtfR7W4fg61YW9BLZELdBDzCZF14YqFmbbfXUHAFDra2DS57rcGoD6MoX-RYywPzsZOMfwaeO-7c._mjt2btRjshq7DLevINvn4Ni-_WU5wpKk6U8DgojLqg&amp;dib_tag=se&amp;keywords=super+glue&amp;qid=1716332623&amp;s=industrial&amp;sprefix=super+glue%2Cindustrial%2C94&amp;sr=1-5" TargetMode="External"/><Relationship Id="rId40" Type="http://schemas.openxmlformats.org/officeDocument/2006/relationships/hyperlink" Target="../../../../../../../../../:f:/g/personal/s2289738_ed_ac_uk/EtWzKMgK9zBFi7NRyLfgglQBb7IdocdMV8jteqt58a28lA?e=UFELOc" TargetMode="External"/><Relationship Id="rId45" Type="http://schemas.openxmlformats.org/officeDocument/2006/relationships/hyperlink" Target="https://hobarts.com/products/clear-cast-perspex-acrylic-large?variant=43956358775021" TargetMode="External"/><Relationship Id="rId5" Type="http://schemas.openxmlformats.org/officeDocument/2006/relationships/hyperlink" Target="https://cpc.farnell.com/raspberry-pi/sc0006/rpi-zero-v2-otg-adapter/dp/SC19068?st=otg" TargetMode="External"/><Relationship Id="rId15" Type="http://schemas.openxmlformats.org/officeDocument/2006/relationships/hyperlink" Target="https://hobarts.com/products/clear-cast-perspex-acrylic-large?variant=43956358775021" TargetMode="External"/><Relationship Id="rId23" Type="http://schemas.openxmlformats.org/officeDocument/2006/relationships/hyperlink" Target="https://www.amazon.co.uk/dp/B09PVDDBWF?psc=1&amp;ref=ppx_yo2ov_dt_b_product_details" TargetMode="External"/><Relationship Id="rId28" Type="http://schemas.openxmlformats.org/officeDocument/2006/relationships/hyperlink" Target="https://cpc.farnell.com/multicomp/mc000887/fuse-5x20mm-glass-quick-blow-6/dp/FF03079" TargetMode="External"/><Relationship Id="rId36" Type="http://schemas.openxmlformats.org/officeDocument/2006/relationships/hyperlink" Target="https://thepihut.com/products/prototyping-wire-spool-set" TargetMode="External"/><Relationship Id="rId10" Type="http://schemas.openxmlformats.org/officeDocument/2006/relationships/hyperlink" Target="https://cpc.farnell.com/multicomp/mcglr35v107m8x11/capacitor-100uf-35v-radial-105/dp/CA08278" TargetMode="External"/><Relationship Id="rId19" Type="http://schemas.openxmlformats.org/officeDocument/2006/relationships/hyperlink" Target="https://uk.rs-online.com/web/p/solder/2441549?cm_mmc=UK-PLA-DS3A-_-google-_-CSS_UK_EN_ePMax_Prio1-_--_-2441549&amp;matchtype=&amp;&amp;gad_source=1&amp;gclid=Cj0KCQjwjLGyBhCYARIsAPqTz1_Kdse32kgUi-JfLEizYuTEe5v8nuGEmWPcSroVo1MpBRH1-rxoc7oaAitBEALw_wcB&amp;gclsrc=aw.ds" TargetMode="External"/><Relationship Id="rId31" Type="http://schemas.openxmlformats.org/officeDocument/2006/relationships/hyperlink" Target="https://www.amazon.co.uk/dp/B01EV70C78?psc=1&amp;ref=ppx_yo2ov_dt_b_product_details" TargetMode="External"/><Relationship Id="rId44" Type="http://schemas.openxmlformats.org/officeDocument/2006/relationships/hyperlink" Target="https://www.amazon.co.uk/dp/B0BR4WQP4R?psc=1&amp;ref=ppx_yo2ov_dt_b_product_details" TargetMode="External"/><Relationship Id="rId4" Type="http://schemas.openxmlformats.org/officeDocument/2006/relationships/hyperlink" Target="https://cpc.farnell.com/raspberry-pi/rpi-zero-w-v2/raspberry-pi-zero-w-v2/dp/SC19061?st=raspberry%20pi%20zero" TargetMode="External"/><Relationship Id="rId9" Type="http://schemas.openxmlformats.org/officeDocument/2006/relationships/hyperlink" Target="https://uk.rs-online.com/web/p/bbc-micro-bit-add-ons/2153181?gb=s" TargetMode="External"/><Relationship Id="rId14" Type="http://schemas.openxmlformats.org/officeDocument/2006/relationships/hyperlink" Target="https://hobarts.com/products/clear-cast-perspex-acrylic-large?variant=43956358775021" TargetMode="External"/><Relationship Id="rId22" Type="http://schemas.openxmlformats.org/officeDocument/2006/relationships/hyperlink" Target="https://shop.wf-education.com/dnt/950-694.html" TargetMode="External"/><Relationship Id="rId27" Type="http://schemas.openxmlformats.org/officeDocument/2006/relationships/hyperlink" Target="https://www.amazon.co.uk/dp/B0B56S4F1X?psc=1&amp;ref=ppx_yo2ov_dt_b_product_details" TargetMode="External"/><Relationship Id="rId30" Type="http://schemas.openxmlformats.org/officeDocument/2006/relationships/hyperlink" Target="https://cpc.farnell.com/multicomp/mc11wf031/fuse-holder-in-line-5x20mm/dp/FF03278" TargetMode="External"/><Relationship Id="rId35" Type="http://schemas.openxmlformats.org/officeDocument/2006/relationships/hyperlink" Target="https://thepihut.com/products/hook-up-wire-spool-set-22awg-stranded-core-10-x-25ft" TargetMode="External"/><Relationship Id="rId43" Type="http://schemas.openxmlformats.org/officeDocument/2006/relationships/hyperlink" Target="https://www.screwfix.com/p/loctite-hot-melt-glue-gun-sticks-6-pack/86731?tc=UB6" TargetMode="External"/><Relationship Id="rId8" Type="http://schemas.openxmlformats.org/officeDocument/2006/relationships/hyperlink" Target="https://www.argos.co.uk/product/8739816" TargetMode="External"/><Relationship Id="rId3" Type="http://schemas.openxmlformats.org/officeDocument/2006/relationships/hyperlink" Target="https://cpc.farnell.com/integral/inmsdh16g-100v10/16gb-microsdhc-v10-uhs-i-u1/dp/MD01157?st=micro%20sd%20card" TargetMode="External"/><Relationship Id="rId12" Type="http://schemas.openxmlformats.org/officeDocument/2006/relationships/hyperlink" Target="https://hobarts.com/products/pack-13-4-0mm-laser-grade-mdf-size-600x300mm-x50-sheets?variant=44274900435181" TargetMode="External"/><Relationship Id="rId17" Type="http://schemas.openxmlformats.org/officeDocument/2006/relationships/hyperlink" Target="https://www.amazon.co.uk/Duracell-Plus-Alkaline-Batteries-MN1500/dp/B093CC7XJQ/ref=asc_df_B093CC7XJQ/?tag=googshopuk-21&amp;linkCode=df0&amp;hvadid=534886019997&amp;hvpos=&amp;hvnetw=g&amp;hvrand=13302766448357345113&amp;hvpone=&amp;hvptwo=&amp;hvqmt=&amp;hvdev=c&amp;hvdvcmdl=&amp;hvlocint=&amp;hvlocphy=1007326&amp;hvtargid=pla-1380434660064&amp;psc=1&amp;mcid=8c95cb244a6c39ab815df181864d6b86&amp;th=1&amp;psc=1" TargetMode="External"/><Relationship Id="rId25" Type="http://schemas.openxmlformats.org/officeDocument/2006/relationships/hyperlink" Target="https://cpc.farnell.com/pro-power/pp002048/battery-holder-8x-aa-long-snap/dp/BT06499" TargetMode="External"/><Relationship Id="rId33" Type="http://schemas.openxmlformats.org/officeDocument/2006/relationships/hyperlink" Target="https://www.amazon.co.uk/dp/B0BR4WQP4R?psc=1&amp;ref=ppx_yo2ov_dt_b_product_details" TargetMode="External"/><Relationship Id="rId38" Type="http://schemas.openxmlformats.org/officeDocument/2006/relationships/hyperlink" Target="https://www.amazon.co.uk/Youmile-100PACK-6x6x4-5mm-Momentary-Tactile/dp/B07XWY2NBK/ref=sr_1_24_sspa?crid=3JVQNYMVIQEOL&amp;dib=eyJ2IjoiMSJ9.BtnSxqEB3er4K3a4JxxOvc0Pq-Sugh2OSBR-NWj_uQ8mNc7WFXSrAl5akJMPlmYhw4pzJ-iE89OxwGnOIQSwPIchYSzs49KXLxtv6tCoyhG93XPi3w943Arj0MRr48EgTMluYazUVGqVVjNJL3V6b_dUJLHLhKfVLfMSJeUONwoI1hQ-M88UTUyTSnELszQv0vxhhgMw9M8zc3iJ83Gy-cMd3Hj0ahXh801RIHJ_jFLHp9LR73FepK0yqxOzN2RCz7Gvh47jJwDGGA-0mgF2QfKM2hUhbPm7ZJz2D6U5OP8.zBkavy_EHf0GY0fEt4yFWAGys0R3ZzUx06rq9sQarK8&amp;dib_tag=se&amp;keywords=tactile+button&amp;qid=1716331852&amp;sprefix=tactile+buttton%2Caps%2C101&amp;sr=8-24-spons&amp;sp_csd=d2lkZ2V0TmFtZT1zcF9tdGY&amp;psc=1" TargetMode="External"/><Relationship Id="rId46" Type="http://schemas.openxmlformats.org/officeDocument/2006/relationships/hyperlink" Target="https://boltworld.co.uk/products/m3-nyloc-nuts-stainless-steel-a4-316-din-985-type-t/" TargetMode="External"/><Relationship Id="rId20" Type="http://schemas.openxmlformats.org/officeDocument/2006/relationships/hyperlink" Target="https://www.screwfix.com/p/ced-insulation-tape-black-33m-x-19mm/122pm" TargetMode="External"/><Relationship Id="rId41" Type="http://schemas.openxmlformats.org/officeDocument/2006/relationships/hyperlink" Target="https://uk.rs-online.com/web/p/bbc-micro-bit-add-ons/2260167?searchId=5011204f-7990-4cec-8977-d2c376140beb&amp;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473D-5716-4866-9B66-3DD5A64F917B}">
  <sheetPr>
    <pageSetUpPr fitToPage="1"/>
  </sheetPr>
  <dimension ref="B1:E10"/>
  <sheetViews>
    <sheetView workbookViewId="0">
      <selection activeCell="B2" sqref="B2:N13"/>
    </sheetView>
  </sheetViews>
  <sheetFormatPr defaultColWidth="8.88671875" defaultRowHeight="13.8" x14ac:dyDescent="0.3"/>
  <cols>
    <col min="1" max="1" width="8.88671875" style="16"/>
    <col min="2" max="4" width="15.6640625" style="16" customWidth="1"/>
    <col min="5" max="5" width="12.6640625" style="16" customWidth="1"/>
    <col min="6" max="16384" width="8.88671875" style="16"/>
  </cols>
  <sheetData>
    <row r="1" spans="2:5" ht="14.4" thickBot="1" x14ac:dyDescent="0.35"/>
    <row r="2" spans="2:5" ht="34.200000000000003" customHeight="1" x14ac:dyDescent="0.3">
      <c r="B2" s="53" t="s">
        <v>0</v>
      </c>
      <c r="C2" s="54"/>
      <c r="D2" s="54"/>
      <c r="E2" s="55"/>
    </row>
    <row r="3" spans="2:5" x14ac:dyDescent="0.3">
      <c r="B3" s="50"/>
      <c r="C3" s="51"/>
      <c r="D3" s="51"/>
      <c r="E3" s="52"/>
    </row>
    <row r="4" spans="2:5" ht="30" customHeight="1" x14ac:dyDescent="0.3">
      <c r="B4" s="56" t="s">
        <v>1</v>
      </c>
      <c r="C4" s="57"/>
      <c r="D4" s="57"/>
      <c r="E4" s="17">
        <f>'Bill of Materials'!J20</f>
        <v>15.101899200000002</v>
      </c>
    </row>
    <row r="5" spans="2:5" ht="30" customHeight="1" x14ac:dyDescent="0.3">
      <c r="B5" s="56" t="s">
        <v>2</v>
      </c>
      <c r="C5" s="57"/>
      <c r="D5" s="57"/>
      <c r="E5" s="17">
        <f>'Bill of Materials'!J43</f>
        <v>62.167000000000016</v>
      </c>
    </row>
    <row r="6" spans="2:5" ht="30" customHeight="1" x14ac:dyDescent="0.3">
      <c r="B6" s="56" t="s">
        <v>3</v>
      </c>
      <c r="C6" s="57"/>
      <c r="D6" s="57"/>
      <c r="E6" s="17">
        <f>'Bill of Materials'!J61</f>
        <v>1.7990933333333332</v>
      </c>
    </row>
    <row r="7" spans="2:5" ht="30" customHeight="1" x14ac:dyDescent="0.3">
      <c r="B7" s="56" t="s">
        <v>4</v>
      </c>
      <c r="C7" s="57"/>
      <c r="D7" s="57"/>
      <c r="E7" s="17">
        <f>SUM(E4:E6)</f>
        <v>79.067992533333353</v>
      </c>
    </row>
    <row r="8" spans="2:5" ht="30" customHeight="1" x14ac:dyDescent="0.3">
      <c r="B8" s="56" t="s">
        <v>5</v>
      </c>
      <c r="C8" s="57"/>
      <c r="D8" s="57"/>
      <c r="E8" s="17">
        <f>SUM('Bill of Materials'!I5:I61)</f>
        <v>82.959496583182101</v>
      </c>
    </row>
    <row r="9" spans="2:5" x14ac:dyDescent="0.3">
      <c r="B9" s="50"/>
      <c r="C9" s="51"/>
      <c r="D9" s="51"/>
      <c r="E9" s="52"/>
    </row>
    <row r="10" spans="2:5" ht="22.2" customHeight="1" thickBot="1" x14ac:dyDescent="0.35">
      <c r="B10" s="48" t="s">
        <v>6</v>
      </c>
      <c r="C10" s="49"/>
      <c r="D10" s="49"/>
      <c r="E10" s="18">
        <f>SUM('Bill of Materials'!O5:O45)</f>
        <v>798.2</v>
      </c>
    </row>
  </sheetData>
  <mergeCells count="9">
    <mergeCell ref="B10:D10"/>
    <mergeCell ref="B3:E3"/>
    <mergeCell ref="B9:E9"/>
    <mergeCell ref="B2:E2"/>
    <mergeCell ref="B4:D4"/>
    <mergeCell ref="B5:D5"/>
    <mergeCell ref="B6:D6"/>
    <mergeCell ref="B7:D7"/>
    <mergeCell ref="B8:D8"/>
  </mergeCells>
  <pageMargins left="0.7" right="0.7" top="0.75" bottom="0.75" header="0.3" footer="0.3"/>
  <pageSetup paperSize="9" scale="88" fitToHeight="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66"/>
  <sheetViews>
    <sheetView tabSelected="1" topLeftCell="E50" zoomScale="94" zoomScaleNormal="100" workbookViewId="0">
      <selection activeCell="S59" sqref="S59"/>
    </sheetView>
  </sheetViews>
  <sheetFormatPr defaultColWidth="9.109375" defaultRowHeight="13.8" x14ac:dyDescent="0.3"/>
  <cols>
    <col min="1" max="1" width="9.109375" style="1"/>
    <col min="2" max="3" width="8.6640625" style="1" customWidth="1"/>
    <col min="4" max="5" width="15.6640625" style="1" customWidth="1"/>
    <col min="6" max="6" width="32.6640625" style="1" customWidth="1"/>
    <col min="7" max="10" width="12.6640625" style="1" customWidth="1"/>
    <col min="11" max="11" width="4.6640625" style="1" customWidth="1"/>
    <col min="12" max="15" width="12.6640625" style="1" customWidth="1"/>
    <col min="16" max="16" width="15.6640625" style="1" customWidth="1"/>
    <col min="17" max="17" width="16.88671875" style="1" customWidth="1"/>
    <col min="18" max="19" width="15.6640625" style="1" customWidth="1"/>
    <col min="20" max="20" width="12.6640625" style="1" customWidth="1"/>
    <col min="21" max="16384" width="9.109375" style="1"/>
  </cols>
  <sheetData>
    <row r="1" spans="2:19" ht="14.4" thickBot="1" x14ac:dyDescent="0.35"/>
    <row r="2" spans="2:19" x14ac:dyDescent="0.3">
      <c r="B2" s="58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2:19" x14ac:dyDescent="0.3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</row>
    <row r="4" spans="2:19" ht="55.2" x14ac:dyDescent="0.3">
      <c r="B4" s="4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6" t="s">
        <v>24</v>
      </c>
    </row>
    <row r="5" spans="2:19" x14ac:dyDescent="0.3">
      <c r="B5" s="64" t="s">
        <v>25</v>
      </c>
      <c r="C5" s="2">
        <v>1</v>
      </c>
      <c r="D5" s="2" t="s">
        <v>26</v>
      </c>
      <c r="E5" s="2">
        <v>1</v>
      </c>
      <c r="F5" s="2" t="s">
        <v>27</v>
      </c>
      <c r="G5" s="2">
        <v>1</v>
      </c>
      <c r="H5" s="7">
        <v>0.13900000000000001</v>
      </c>
      <c r="I5" s="7">
        <f>H5*G5</f>
        <v>0.13900000000000001</v>
      </c>
      <c r="J5" s="7">
        <f>IF(I5&gt;0.2,I5,0)</f>
        <v>0</v>
      </c>
      <c r="L5" s="2" t="s">
        <v>28</v>
      </c>
      <c r="M5" s="2">
        <v>8350</v>
      </c>
      <c r="N5" s="2">
        <v>1</v>
      </c>
      <c r="O5" s="2">
        <v>1</v>
      </c>
      <c r="P5" s="2" t="s">
        <v>29</v>
      </c>
      <c r="Q5" s="2" t="s">
        <v>30</v>
      </c>
      <c r="R5" s="12" t="s">
        <v>31</v>
      </c>
      <c r="S5" s="3" t="s">
        <v>32</v>
      </c>
    </row>
    <row r="6" spans="2:19" ht="27.6" x14ac:dyDescent="0.3">
      <c r="B6" s="64"/>
      <c r="C6" s="2">
        <f>C5+1</f>
        <v>2</v>
      </c>
      <c r="D6" s="2" t="s">
        <v>33</v>
      </c>
      <c r="E6" s="2">
        <v>2</v>
      </c>
      <c r="F6" s="2" t="s">
        <v>34</v>
      </c>
      <c r="G6" s="2">
        <v>620</v>
      </c>
      <c r="H6" s="19">
        <f>1.56/(10*600)</f>
        <v>2.6000000000000003E-4</v>
      </c>
      <c r="I6" s="7">
        <f>H6*G6</f>
        <v>0.16120000000000001</v>
      </c>
      <c r="J6" s="7">
        <f>IF(I6&gt;0.2,I6,0)</f>
        <v>0</v>
      </c>
      <c r="L6" s="2" t="s">
        <v>35</v>
      </c>
      <c r="M6" s="2">
        <v>650</v>
      </c>
      <c r="N6" s="2">
        <f>196/10</f>
        <v>19.600000000000001</v>
      </c>
      <c r="O6" s="2">
        <f>196/10</f>
        <v>19.600000000000001</v>
      </c>
      <c r="P6" s="2" t="s">
        <v>36</v>
      </c>
      <c r="Q6" s="2" t="s">
        <v>37</v>
      </c>
      <c r="R6" s="12" t="s">
        <v>31</v>
      </c>
      <c r="S6" s="3" t="s">
        <v>38</v>
      </c>
    </row>
    <row r="7" spans="2:19" x14ac:dyDescent="0.3">
      <c r="B7" s="64"/>
      <c r="C7" s="2">
        <f t="shared" ref="C7:C14" si="0">C6+1</f>
        <v>3</v>
      </c>
      <c r="D7" s="2" t="s">
        <v>39</v>
      </c>
      <c r="E7" s="2">
        <v>1</v>
      </c>
      <c r="F7" s="2" t="s">
        <v>40</v>
      </c>
      <c r="G7" s="2">
        <v>4</v>
      </c>
      <c r="H7" s="7">
        <v>0.29949999999999999</v>
      </c>
      <c r="I7" s="7">
        <f t="shared" ref="I7:I18" si="1">H7*G7</f>
        <v>1.198</v>
      </c>
      <c r="J7" s="7">
        <f>IF(H7&gt;0.2,I7,0)</f>
        <v>1.198</v>
      </c>
      <c r="L7" s="2" t="s">
        <v>41</v>
      </c>
      <c r="M7" s="2" t="s">
        <v>42</v>
      </c>
      <c r="N7" s="11">
        <v>10</v>
      </c>
      <c r="O7" s="11">
        <f>N7*G7</f>
        <v>40</v>
      </c>
      <c r="P7" s="2" t="s">
        <v>29</v>
      </c>
      <c r="Q7" s="2" t="s">
        <v>43</v>
      </c>
      <c r="R7" s="12" t="s">
        <v>31</v>
      </c>
      <c r="S7" s="3" t="s">
        <v>44</v>
      </c>
    </row>
    <row r="8" spans="2:19" x14ac:dyDescent="0.3">
      <c r="B8" s="64"/>
      <c r="C8" s="2">
        <f>C7+1</f>
        <v>4</v>
      </c>
      <c r="D8" s="2" t="s">
        <v>45</v>
      </c>
      <c r="E8" s="2">
        <v>1</v>
      </c>
      <c r="F8" s="2" t="s">
        <v>46</v>
      </c>
      <c r="G8" s="2">
        <v>1.62</v>
      </c>
      <c r="H8" s="7">
        <v>0.1</v>
      </c>
      <c r="I8" s="7">
        <f t="shared" si="1"/>
        <v>0.16200000000000003</v>
      </c>
      <c r="J8" s="7">
        <f t="shared" ref="J8:J18" si="2">IF(I8&gt;0.2,I8,0)</f>
        <v>0</v>
      </c>
      <c r="L8" s="2" t="s">
        <v>47</v>
      </c>
      <c r="M8" s="2">
        <v>1250</v>
      </c>
      <c r="N8" s="2">
        <f>G8</f>
        <v>1.62</v>
      </c>
      <c r="O8" s="2">
        <f>G8</f>
        <v>1.62</v>
      </c>
      <c r="P8" s="2" t="s">
        <v>48</v>
      </c>
      <c r="Q8" s="2" t="s">
        <v>41</v>
      </c>
      <c r="R8" s="2" t="s">
        <v>41</v>
      </c>
      <c r="S8" s="3" t="s">
        <v>41</v>
      </c>
    </row>
    <row r="9" spans="2:19" x14ac:dyDescent="0.3">
      <c r="B9" s="64"/>
      <c r="C9" s="2">
        <f t="shared" si="0"/>
        <v>5</v>
      </c>
      <c r="D9" s="2" t="s">
        <v>49</v>
      </c>
      <c r="E9" s="2">
        <v>2</v>
      </c>
      <c r="F9" s="2" t="s">
        <v>50</v>
      </c>
      <c r="G9" s="2">
        <v>2.46</v>
      </c>
      <c r="H9" s="7">
        <v>0.1</v>
      </c>
      <c r="I9" s="7">
        <f t="shared" si="1"/>
        <v>0.246</v>
      </c>
      <c r="J9" s="7">
        <f t="shared" si="2"/>
        <v>0.246</v>
      </c>
      <c r="L9" s="2" t="s">
        <v>47</v>
      </c>
      <c r="M9" s="2">
        <v>1250</v>
      </c>
      <c r="N9" s="2">
        <f>G9</f>
        <v>2.46</v>
      </c>
      <c r="O9" s="2">
        <f>G9</f>
        <v>2.46</v>
      </c>
      <c r="P9" s="2" t="s">
        <v>48</v>
      </c>
      <c r="Q9" s="2" t="s">
        <v>41</v>
      </c>
      <c r="R9" s="2" t="s">
        <v>41</v>
      </c>
      <c r="S9" s="3" t="s">
        <v>41</v>
      </c>
    </row>
    <row r="10" spans="2:19" x14ac:dyDescent="0.3">
      <c r="B10" s="64"/>
      <c r="C10" s="2">
        <f t="shared" si="0"/>
        <v>6</v>
      </c>
      <c r="D10" s="2" t="s">
        <v>51</v>
      </c>
      <c r="E10" s="2">
        <v>6</v>
      </c>
      <c r="F10" s="2" t="s">
        <v>52</v>
      </c>
      <c r="G10" s="2">
        <v>60700</v>
      </c>
      <c r="H10" s="19">
        <v>4.0559999999999998E-6</v>
      </c>
      <c r="I10" s="7">
        <f t="shared" si="1"/>
        <v>0.24619919999999998</v>
      </c>
      <c r="J10" s="7">
        <f t="shared" si="2"/>
        <v>0.24619919999999998</v>
      </c>
      <c r="L10" s="2" t="s">
        <v>53</v>
      </c>
      <c r="M10" s="2">
        <v>360</v>
      </c>
      <c r="N10" s="2">
        <v>87</v>
      </c>
      <c r="O10" s="2">
        <v>87</v>
      </c>
      <c r="P10" s="2" t="s">
        <v>54</v>
      </c>
      <c r="Q10" s="2" t="s">
        <v>55</v>
      </c>
      <c r="R10" s="12" t="s">
        <v>31</v>
      </c>
      <c r="S10" s="3" t="s">
        <v>41</v>
      </c>
    </row>
    <row r="11" spans="2:19" x14ac:dyDescent="0.3">
      <c r="B11" s="64"/>
      <c r="C11" s="2">
        <f t="shared" si="0"/>
        <v>7</v>
      </c>
      <c r="D11" s="2" t="s">
        <v>56</v>
      </c>
      <c r="E11" s="2">
        <v>4</v>
      </c>
      <c r="F11" s="2" t="s">
        <v>57</v>
      </c>
      <c r="G11" s="2">
        <v>1.6</v>
      </c>
      <c r="H11" s="7">
        <v>0.1</v>
      </c>
      <c r="I11" s="7">
        <f t="shared" si="1"/>
        <v>0.16000000000000003</v>
      </c>
      <c r="J11" s="7">
        <f t="shared" si="2"/>
        <v>0</v>
      </c>
      <c r="L11" s="2" t="s">
        <v>58</v>
      </c>
      <c r="M11" s="2">
        <v>800</v>
      </c>
      <c r="N11" s="2">
        <f>G11</f>
        <v>1.6</v>
      </c>
      <c r="O11" s="2">
        <f>G11</f>
        <v>1.6</v>
      </c>
      <c r="P11" s="2" t="s">
        <v>48</v>
      </c>
      <c r="Q11" s="2" t="s">
        <v>41</v>
      </c>
      <c r="R11" s="2" t="s">
        <v>41</v>
      </c>
      <c r="S11" s="3" t="s">
        <v>41</v>
      </c>
    </row>
    <row r="12" spans="2:19" x14ac:dyDescent="0.3">
      <c r="B12" s="64"/>
      <c r="C12" s="2">
        <f t="shared" si="0"/>
        <v>8</v>
      </c>
      <c r="D12" s="2" t="s">
        <v>59</v>
      </c>
      <c r="E12" s="2">
        <v>4</v>
      </c>
      <c r="F12" s="2" t="s">
        <v>60</v>
      </c>
      <c r="G12" s="2">
        <v>1500</v>
      </c>
      <c r="H12" s="19">
        <v>6.2100000000000002E-4</v>
      </c>
      <c r="I12" s="7">
        <f t="shared" si="1"/>
        <v>0.93149999999999999</v>
      </c>
      <c r="J12" s="7">
        <f t="shared" si="2"/>
        <v>0.93149999999999999</v>
      </c>
      <c r="L12" s="2" t="s">
        <v>61</v>
      </c>
      <c r="M12" s="2">
        <v>1250</v>
      </c>
      <c r="N12" s="2">
        <v>11.5</v>
      </c>
      <c r="O12" s="2">
        <v>11.5</v>
      </c>
      <c r="P12" s="2" t="s">
        <v>54</v>
      </c>
      <c r="Q12" s="2" t="s">
        <v>55</v>
      </c>
      <c r="R12" s="12" t="s">
        <v>31</v>
      </c>
      <c r="S12" s="3" t="s">
        <v>41</v>
      </c>
    </row>
    <row r="13" spans="2:19" x14ac:dyDescent="0.3">
      <c r="B13" s="64"/>
      <c r="C13" s="2">
        <f t="shared" si="0"/>
        <v>9</v>
      </c>
      <c r="D13" s="2" t="s">
        <v>62</v>
      </c>
      <c r="E13" s="2">
        <v>4</v>
      </c>
      <c r="F13" s="2" t="s">
        <v>63</v>
      </c>
      <c r="G13" s="2">
        <v>2700</v>
      </c>
      <c r="H13" s="19">
        <v>6.2100000000000002E-4</v>
      </c>
      <c r="I13" s="7">
        <f t="shared" si="1"/>
        <v>1.6767000000000001</v>
      </c>
      <c r="J13" s="7">
        <f t="shared" si="2"/>
        <v>1.6767000000000001</v>
      </c>
      <c r="L13" s="2" t="s">
        <v>61</v>
      </c>
      <c r="M13" s="2">
        <v>1250</v>
      </c>
      <c r="N13" s="2">
        <v>20.5</v>
      </c>
      <c r="O13" s="2">
        <v>20.5</v>
      </c>
      <c r="P13" s="2" t="s">
        <v>54</v>
      </c>
      <c r="Q13" s="2" t="s">
        <v>55</v>
      </c>
      <c r="R13" s="12" t="s">
        <v>31</v>
      </c>
      <c r="S13" s="3" t="s">
        <v>41</v>
      </c>
    </row>
    <row r="14" spans="2:19" x14ac:dyDescent="0.3">
      <c r="B14" s="64"/>
      <c r="C14" s="2">
        <f t="shared" si="0"/>
        <v>10</v>
      </c>
      <c r="D14" s="2" t="s">
        <v>64</v>
      </c>
      <c r="E14" s="2">
        <v>3</v>
      </c>
      <c r="F14" s="2" t="s">
        <v>65</v>
      </c>
      <c r="G14" s="2">
        <v>2500</v>
      </c>
      <c r="H14" s="19">
        <v>6.2100000000000002E-4</v>
      </c>
      <c r="I14" s="7">
        <f t="shared" si="1"/>
        <v>1.5525</v>
      </c>
      <c r="J14" s="7">
        <f t="shared" si="2"/>
        <v>1.5525</v>
      </c>
      <c r="L14" s="2" t="s">
        <v>61</v>
      </c>
      <c r="M14" s="2">
        <v>1250</v>
      </c>
      <c r="N14" s="2">
        <v>18.899999999999999</v>
      </c>
      <c r="O14" s="2">
        <v>18.899999999999999</v>
      </c>
      <c r="P14" s="2" t="s">
        <v>54</v>
      </c>
      <c r="Q14" s="2" t="s">
        <v>55</v>
      </c>
      <c r="R14" s="12" t="s">
        <v>31</v>
      </c>
      <c r="S14" s="3" t="s">
        <v>41</v>
      </c>
    </row>
    <row r="15" spans="2:19" x14ac:dyDescent="0.3">
      <c r="B15" s="64"/>
      <c r="C15" s="2">
        <f>C14+1</f>
        <v>11</v>
      </c>
      <c r="D15" s="2" t="s">
        <v>66</v>
      </c>
      <c r="E15" s="2">
        <v>1</v>
      </c>
      <c r="F15" s="2" t="s">
        <v>67</v>
      </c>
      <c r="G15" s="2">
        <f>3.8*4</f>
        <v>15.2</v>
      </c>
      <c r="H15" s="7">
        <v>0.1</v>
      </c>
      <c r="I15" s="7">
        <f t="shared" si="1"/>
        <v>1.52</v>
      </c>
      <c r="J15" s="7">
        <f t="shared" si="2"/>
        <v>1.52</v>
      </c>
      <c r="L15" s="2" t="s">
        <v>58</v>
      </c>
      <c r="M15" s="2">
        <v>1250</v>
      </c>
      <c r="N15" s="2">
        <v>5</v>
      </c>
      <c r="O15" s="2">
        <v>20</v>
      </c>
      <c r="P15" s="2" t="s">
        <v>48</v>
      </c>
      <c r="Q15" s="2" t="s">
        <v>41</v>
      </c>
      <c r="R15" s="2" t="s">
        <v>41</v>
      </c>
      <c r="S15" s="3" t="s">
        <v>41</v>
      </c>
    </row>
    <row r="16" spans="2:19" x14ac:dyDescent="0.3">
      <c r="B16" s="64"/>
      <c r="C16" s="2">
        <f t="shared" ref="C16:C19" si="3">C15+1</f>
        <v>12</v>
      </c>
      <c r="D16" s="2" t="s">
        <v>68</v>
      </c>
      <c r="E16" s="2">
        <v>1</v>
      </c>
      <c r="F16" s="2" t="s">
        <v>69</v>
      </c>
      <c r="G16" s="2">
        <v>3</v>
      </c>
      <c r="H16" s="7">
        <v>0.1</v>
      </c>
      <c r="I16" s="7">
        <f t="shared" si="1"/>
        <v>0.30000000000000004</v>
      </c>
      <c r="J16" s="7">
        <f t="shared" si="2"/>
        <v>0.30000000000000004</v>
      </c>
      <c r="L16" s="2" t="s">
        <v>58</v>
      </c>
      <c r="M16" s="2">
        <v>1250</v>
      </c>
      <c r="N16" s="2">
        <v>3</v>
      </c>
      <c r="O16" s="2">
        <v>3</v>
      </c>
      <c r="P16" s="2" t="s">
        <v>48</v>
      </c>
      <c r="Q16" s="2" t="s">
        <v>41</v>
      </c>
      <c r="R16" s="2" t="s">
        <v>41</v>
      </c>
      <c r="S16" s="3" t="s">
        <v>41</v>
      </c>
    </row>
    <row r="17" spans="2:19" x14ac:dyDescent="0.3">
      <c r="B17" s="64"/>
      <c r="C17" s="2">
        <f t="shared" si="3"/>
        <v>13</v>
      </c>
      <c r="D17" s="2" t="s">
        <v>70</v>
      </c>
      <c r="E17" s="2">
        <v>2</v>
      </c>
      <c r="F17" s="2" t="s">
        <v>71</v>
      </c>
      <c r="G17" s="2">
        <v>6</v>
      </c>
      <c r="H17" s="7">
        <v>0.1</v>
      </c>
      <c r="I17" s="7">
        <f t="shared" si="1"/>
        <v>0.60000000000000009</v>
      </c>
      <c r="J17" s="7">
        <f t="shared" si="2"/>
        <v>0.60000000000000009</v>
      </c>
      <c r="L17" s="2" t="s">
        <v>58</v>
      </c>
      <c r="M17" s="2">
        <v>1250</v>
      </c>
      <c r="N17" s="2">
        <v>6</v>
      </c>
      <c r="O17" s="2">
        <v>6</v>
      </c>
      <c r="P17" s="2" t="s">
        <v>48</v>
      </c>
      <c r="Q17" s="2" t="s">
        <v>41</v>
      </c>
      <c r="R17" s="2" t="s">
        <v>41</v>
      </c>
      <c r="S17" s="3" t="s">
        <v>41</v>
      </c>
    </row>
    <row r="18" spans="2:19" x14ac:dyDescent="0.3">
      <c r="B18" s="64"/>
      <c r="C18" s="2">
        <f t="shared" si="3"/>
        <v>14</v>
      </c>
      <c r="D18" s="2" t="s">
        <v>72</v>
      </c>
      <c r="E18" s="2">
        <v>2</v>
      </c>
      <c r="F18" s="32" t="s">
        <v>73</v>
      </c>
      <c r="G18" s="2">
        <v>5800</v>
      </c>
      <c r="H18" s="19">
        <v>4.0559999999999998E-6</v>
      </c>
      <c r="I18" s="7">
        <f t="shared" si="1"/>
        <v>2.3524799999999998E-2</v>
      </c>
      <c r="J18" s="7">
        <f t="shared" si="2"/>
        <v>0</v>
      </c>
      <c r="L18" s="2" t="s">
        <v>53</v>
      </c>
      <c r="M18" s="2">
        <v>360</v>
      </c>
      <c r="N18" s="2">
        <v>7</v>
      </c>
      <c r="O18" s="2">
        <v>14</v>
      </c>
      <c r="P18" s="2" t="s">
        <v>54</v>
      </c>
      <c r="Q18" s="2" t="s">
        <v>55</v>
      </c>
      <c r="R18" s="12" t="s">
        <v>31</v>
      </c>
      <c r="S18" s="3" t="s">
        <v>41</v>
      </c>
    </row>
    <row r="19" spans="2:19" x14ac:dyDescent="0.3">
      <c r="B19" s="64"/>
      <c r="C19" s="2">
        <f t="shared" si="3"/>
        <v>15</v>
      </c>
      <c r="D19" s="2" t="s">
        <v>74</v>
      </c>
      <c r="E19" s="20">
        <v>1</v>
      </c>
      <c r="F19" s="31" t="s">
        <v>75</v>
      </c>
      <c r="G19" s="21">
        <v>11000</v>
      </c>
      <c r="H19" s="19">
        <f>H13</f>
        <v>6.2100000000000002E-4</v>
      </c>
      <c r="I19" s="7">
        <f>H19*G19</f>
        <v>6.8310000000000004</v>
      </c>
      <c r="J19" s="7">
        <f>I19</f>
        <v>6.8310000000000004</v>
      </c>
      <c r="L19" s="2" t="s">
        <v>61</v>
      </c>
      <c r="M19" s="2">
        <v>1250</v>
      </c>
      <c r="N19" s="2">
        <f>M19*0.000066*1000</f>
        <v>82.5</v>
      </c>
      <c r="O19" s="2">
        <f>N19</f>
        <v>82.5</v>
      </c>
      <c r="P19" s="2" t="s">
        <v>54</v>
      </c>
      <c r="Q19" s="2" t="s">
        <v>55</v>
      </c>
      <c r="R19" s="33" t="s">
        <v>31</v>
      </c>
      <c r="S19" s="3" t="s">
        <v>41</v>
      </c>
    </row>
    <row r="20" spans="2:19" x14ac:dyDescent="0.3">
      <c r="B20" s="64"/>
      <c r="C20" s="67" t="s">
        <v>76</v>
      </c>
      <c r="D20" s="67"/>
      <c r="E20" s="67"/>
      <c r="F20" s="68"/>
      <c r="J20" s="8">
        <f>SUM(J5:J19)</f>
        <v>15.101899200000002</v>
      </c>
      <c r="S20" s="9"/>
    </row>
    <row r="21" spans="2:19" x14ac:dyDescent="0.3">
      <c r="B21" s="10"/>
      <c r="S21" s="9"/>
    </row>
    <row r="22" spans="2:19" x14ac:dyDescent="0.3">
      <c r="B22" s="64" t="s">
        <v>77</v>
      </c>
      <c r="C22" s="2">
        <f>C19+1</f>
        <v>16</v>
      </c>
      <c r="D22" s="2" t="s">
        <v>78</v>
      </c>
      <c r="E22" s="2">
        <v>2</v>
      </c>
      <c r="F22" s="2" t="s">
        <v>79</v>
      </c>
      <c r="G22" s="2">
        <v>1</v>
      </c>
      <c r="H22" s="7">
        <v>14.88</v>
      </c>
      <c r="I22" s="7">
        <f>H22*G22</f>
        <v>14.88</v>
      </c>
      <c r="J22" s="7">
        <f>IF(I22&gt;0.2,I22,0)</f>
        <v>14.88</v>
      </c>
      <c r="L22" s="2" t="s">
        <v>41</v>
      </c>
      <c r="M22" s="2" t="s">
        <v>41</v>
      </c>
      <c r="N22" s="11">
        <v>14</v>
      </c>
      <c r="O22" s="11">
        <v>14</v>
      </c>
      <c r="P22" s="2" t="s">
        <v>29</v>
      </c>
      <c r="Q22" s="2" t="s">
        <v>80</v>
      </c>
      <c r="R22" s="12" t="s">
        <v>31</v>
      </c>
      <c r="S22" s="3" t="s">
        <v>81</v>
      </c>
    </row>
    <row r="23" spans="2:19" x14ac:dyDescent="0.3">
      <c r="B23" s="64"/>
      <c r="C23" s="2">
        <f>C22+1</f>
        <v>17</v>
      </c>
      <c r="D23" s="2" t="s">
        <v>82</v>
      </c>
      <c r="E23" s="2">
        <v>2</v>
      </c>
      <c r="F23" s="2" t="s">
        <v>83</v>
      </c>
      <c r="G23" s="2">
        <v>1</v>
      </c>
      <c r="H23" s="7">
        <v>9.99</v>
      </c>
      <c r="I23" s="7">
        <f t="shared" ref="I23:I41" si="4">H23*G23</f>
        <v>9.99</v>
      </c>
      <c r="J23" s="7">
        <f t="shared" ref="J23:J40" si="5">IF(I23&gt;0.2,I23,0)</f>
        <v>9.99</v>
      </c>
      <c r="L23" s="2" t="s">
        <v>41</v>
      </c>
      <c r="M23" s="2" t="s">
        <v>41</v>
      </c>
      <c r="N23" s="2">
        <v>47</v>
      </c>
      <c r="O23" s="2">
        <v>47</v>
      </c>
      <c r="P23" s="2" t="s">
        <v>29</v>
      </c>
      <c r="Q23" s="2" t="s">
        <v>84</v>
      </c>
      <c r="R23" s="12" t="s">
        <v>31</v>
      </c>
      <c r="S23" s="3" t="s">
        <v>85</v>
      </c>
    </row>
    <row r="24" spans="2:19" x14ac:dyDescent="0.3">
      <c r="B24" s="64"/>
      <c r="C24" s="2">
        <f t="shared" ref="C24:C42" si="6">C23+1</f>
        <v>18</v>
      </c>
      <c r="D24" s="2" t="s">
        <v>86</v>
      </c>
      <c r="E24" s="2">
        <v>1</v>
      </c>
      <c r="F24" s="2" t="s">
        <v>87</v>
      </c>
      <c r="G24" s="2">
        <v>1</v>
      </c>
      <c r="H24" s="7">
        <v>12</v>
      </c>
      <c r="I24" s="7">
        <f t="shared" si="4"/>
        <v>12</v>
      </c>
      <c r="J24" s="7">
        <f t="shared" si="5"/>
        <v>12</v>
      </c>
      <c r="L24" s="2" t="s">
        <v>41</v>
      </c>
      <c r="M24" s="2" t="s">
        <v>41</v>
      </c>
      <c r="N24" s="2">
        <v>64</v>
      </c>
      <c r="O24" s="2">
        <v>64</v>
      </c>
      <c r="P24" s="2" t="s">
        <v>29</v>
      </c>
      <c r="Q24" s="2" t="s">
        <v>88</v>
      </c>
      <c r="R24" s="12" t="s">
        <v>31</v>
      </c>
      <c r="S24" s="3" t="s">
        <v>89</v>
      </c>
    </row>
    <row r="25" spans="2:19" x14ac:dyDescent="0.3">
      <c r="B25" s="64"/>
      <c r="C25" s="2">
        <f t="shared" si="6"/>
        <v>19</v>
      </c>
      <c r="D25" s="2" t="s">
        <v>90</v>
      </c>
      <c r="E25" s="2">
        <v>2</v>
      </c>
      <c r="F25" s="2" t="s">
        <v>91</v>
      </c>
      <c r="G25" s="2">
        <v>1</v>
      </c>
      <c r="H25" s="7">
        <v>5.25</v>
      </c>
      <c r="I25" s="7">
        <f t="shared" si="4"/>
        <v>5.25</v>
      </c>
      <c r="J25" s="7">
        <f t="shared" si="5"/>
        <v>5.25</v>
      </c>
      <c r="L25" s="2" t="s">
        <v>41</v>
      </c>
      <c r="M25" s="2" t="s">
        <v>41</v>
      </c>
      <c r="N25" s="2">
        <v>3</v>
      </c>
      <c r="O25" s="2">
        <v>3</v>
      </c>
      <c r="P25" s="2" t="s">
        <v>29</v>
      </c>
      <c r="Q25" s="2" t="s">
        <v>92</v>
      </c>
      <c r="R25" s="12" t="s">
        <v>31</v>
      </c>
      <c r="S25" s="3" t="s">
        <v>93</v>
      </c>
    </row>
    <row r="26" spans="2:19" x14ac:dyDescent="0.3">
      <c r="B26" s="64"/>
      <c r="C26" s="2">
        <f t="shared" si="6"/>
        <v>20</v>
      </c>
      <c r="D26" s="2" t="s">
        <v>94</v>
      </c>
      <c r="E26" s="2">
        <v>1</v>
      </c>
      <c r="F26" s="2" t="s">
        <v>95</v>
      </c>
      <c r="G26" s="2">
        <v>1</v>
      </c>
      <c r="H26" s="7">
        <v>5.39</v>
      </c>
      <c r="I26" s="7">
        <f t="shared" si="4"/>
        <v>5.39</v>
      </c>
      <c r="J26" s="7">
        <f t="shared" si="5"/>
        <v>5.39</v>
      </c>
      <c r="L26" s="2" t="s">
        <v>41</v>
      </c>
      <c r="M26" s="2" t="s">
        <v>41</v>
      </c>
      <c r="N26" s="11">
        <v>0.25</v>
      </c>
      <c r="O26" s="11">
        <v>0.25</v>
      </c>
      <c r="P26" s="2" t="s">
        <v>29</v>
      </c>
      <c r="Q26" s="2" t="s">
        <v>80</v>
      </c>
      <c r="R26" s="12" t="s">
        <v>31</v>
      </c>
      <c r="S26" s="3" t="s">
        <v>96</v>
      </c>
    </row>
    <row r="27" spans="2:19" x14ac:dyDescent="0.3">
      <c r="B27" s="64"/>
      <c r="C27" s="2">
        <f t="shared" si="6"/>
        <v>21</v>
      </c>
      <c r="D27" s="2" t="s">
        <v>97</v>
      </c>
      <c r="E27" s="2">
        <v>2</v>
      </c>
      <c r="F27" s="2" t="s">
        <v>98</v>
      </c>
      <c r="G27" s="2">
        <v>1</v>
      </c>
      <c r="H27" s="7">
        <v>0.34699999999999998</v>
      </c>
      <c r="I27" s="7">
        <f t="shared" si="4"/>
        <v>0.34699999999999998</v>
      </c>
      <c r="J27" s="7">
        <f t="shared" si="5"/>
        <v>0.34699999999999998</v>
      </c>
      <c r="L27" s="2" t="s">
        <v>41</v>
      </c>
      <c r="M27" s="2" t="s">
        <v>41</v>
      </c>
      <c r="N27" s="2">
        <v>3</v>
      </c>
      <c r="O27" s="2">
        <v>3</v>
      </c>
      <c r="P27" s="2" t="s">
        <v>29</v>
      </c>
      <c r="Q27" s="2" t="s">
        <v>43</v>
      </c>
      <c r="R27" s="12" t="s">
        <v>31</v>
      </c>
      <c r="S27" s="3" t="s">
        <v>99</v>
      </c>
    </row>
    <row r="28" spans="2:19" x14ac:dyDescent="0.3">
      <c r="B28" s="64"/>
      <c r="C28" s="2">
        <f t="shared" si="6"/>
        <v>22</v>
      </c>
      <c r="D28" s="2" t="s">
        <v>100</v>
      </c>
      <c r="E28" s="2">
        <v>1</v>
      </c>
      <c r="F28" s="2" t="s">
        <v>101</v>
      </c>
      <c r="G28" s="2">
        <v>1</v>
      </c>
      <c r="H28" s="7">
        <v>0.98</v>
      </c>
      <c r="I28" s="7">
        <f t="shared" si="4"/>
        <v>0.98</v>
      </c>
      <c r="J28" s="7">
        <f t="shared" si="5"/>
        <v>0.98</v>
      </c>
      <c r="L28" s="2" t="s">
        <v>41</v>
      </c>
      <c r="M28" s="2" t="s">
        <v>41</v>
      </c>
      <c r="N28" s="2">
        <v>16</v>
      </c>
      <c r="O28" s="2">
        <v>16</v>
      </c>
      <c r="P28" s="2" t="s">
        <v>29</v>
      </c>
      <c r="Q28" s="2" t="s">
        <v>80</v>
      </c>
      <c r="R28" s="12" t="s">
        <v>31</v>
      </c>
      <c r="S28" s="3" t="s">
        <v>96</v>
      </c>
    </row>
    <row r="29" spans="2:19" x14ac:dyDescent="0.3">
      <c r="B29" s="64"/>
      <c r="C29" s="2">
        <f t="shared" si="6"/>
        <v>23</v>
      </c>
      <c r="D29" s="2" t="s">
        <v>102</v>
      </c>
      <c r="E29" s="2">
        <v>1</v>
      </c>
      <c r="F29" s="2" t="s">
        <v>103</v>
      </c>
      <c r="G29" s="2">
        <v>1</v>
      </c>
      <c r="H29" s="7">
        <v>0.23200000000000001</v>
      </c>
      <c r="I29" s="7">
        <f t="shared" si="4"/>
        <v>0.23200000000000001</v>
      </c>
      <c r="J29" s="7">
        <f t="shared" si="5"/>
        <v>0.23200000000000001</v>
      </c>
      <c r="L29" s="2" t="s">
        <v>41</v>
      </c>
      <c r="M29" s="2" t="s">
        <v>41</v>
      </c>
      <c r="N29" s="11">
        <v>20</v>
      </c>
      <c r="O29" s="11">
        <v>20</v>
      </c>
      <c r="P29" s="2" t="s">
        <v>29</v>
      </c>
      <c r="Q29" s="2" t="s">
        <v>80</v>
      </c>
      <c r="R29" s="12" t="s">
        <v>31</v>
      </c>
      <c r="S29" s="3" t="s">
        <v>96</v>
      </c>
    </row>
    <row r="30" spans="2:19" x14ac:dyDescent="0.3">
      <c r="B30" s="64"/>
      <c r="C30" s="2">
        <f t="shared" si="6"/>
        <v>24</v>
      </c>
      <c r="D30" s="2" t="s">
        <v>104</v>
      </c>
      <c r="E30" s="2">
        <v>1</v>
      </c>
      <c r="F30" s="2" t="s">
        <v>105</v>
      </c>
      <c r="G30" s="2">
        <v>1</v>
      </c>
      <c r="H30" s="7">
        <v>0.77</v>
      </c>
      <c r="I30" s="7">
        <f t="shared" si="4"/>
        <v>0.77</v>
      </c>
      <c r="J30" s="7">
        <f t="shared" si="5"/>
        <v>0.77</v>
      </c>
      <c r="L30" s="2" t="s">
        <v>41</v>
      </c>
      <c r="M30" s="2" t="s">
        <v>41</v>
      </c>
      <c r="N30" s="11">
        <v>13</v>
      </c>
      <c r="O30" s="11">
        <v>13</v>
      </c>
      <c r="P30" s="2" t="s">
        <v>29</v>
      </c>
      <c r="Q30" s="2" t="s">
        <v>80</v>
      </c>
      <c r="R30" s="12" t="s">
        <v>31</v>
      </c>
      <c r="S30" s="3" t="s">
        <v>96</v>
      </c>
    </row>
    <row r="31" spans="2:19" ht="14.4" x14ac:dyDescent="0.3">
      <c r="B31" s="64"/>
      <c r="C31" s="2">
        <f t="shared" si="6"/>
        <v>25</v>
      </c>
      <c r="D31" s="2" t="s">
        <v>106</v>
      </c>
      <c r="E31" s="2">
        <v>1</v>
      </c>
      <c r="F31" s="2" t="s">
        <v>107</v>
      </c>
      <c r="G31" s="2">
        <v>1</v>
      </c>
      <c r="H31" s="7">
        <v>0.96</v>
      </c>
      <c r="I31" s="7">
        <f t="shared" si="4"/>
        <v>0.96</v>
      </c>
      <c r="J31" s="7">
        <f t="shared" si="5"/>
        <v>0.96</v>
      </c>
      <c r="L31" s="2" t="s">
        <v>41</v>
      </c>
      <c r="M31" s="2" t="s">
        <v>41</v>
      </c>
      <c r="N31" s="11">
        <v>8</v>
      </c>
      <c r="O31" s="11">
        <v>8</v>
      </c>
      <c r="P31" s="2" t="s">
        <v>36</v>
      </c>
      <c r="Q31" s="2" t="s">
        <v>88</v>
      </c>
      <c r="R31" s="28" t="s">
        <v>31</v>
      </c>
      <c r="S31" s="3" t="s">
        <v>32</v>
      </c>
    </row>
    <row r="32" spans="2:19" x14ac:dyDescent="0.3">
      <c r="B32" s="64"/>
      <c r="C32" s="2">
        <f t="shared" si="6"/>
        <v>26</v>
      </c>
      <c r="D32" s="2" t="s">
        <v>108</v>
      </c>
      <c r="E32" s="2">
        <v>1</v>
      </c>
      <c r="F32" s="2" t="s">
        <v>109</v>
      </c>
      <c r="G32" s="2">
        <v>1</v>
      </c>
      <c r="H32" s="7">
        <v>1.3979999999999999</v>
      </c>
      <c r="I32" s="7">
        <f t="shared" si="4"/>
        <v>1.3979999999999999</v>
      </c>
      <c r="J32" s="7">
        <f t="shared" si="5"/>
        <v>1.3979999999999999</v>
      </c>
      <c r="L32" s="2" t="s">
        <v>41</v>
      </c>
      <c r="M32" s="2" t="s">
        <v>41</v>
      </c>
      <c r="N32" s="11">
        <v>12</v>
      </c>
      <c r="O32" s="11">
        <v>12</v>
      </c>
      <c r="P32" s="2" t="s">
        <v>29</v>
      </c>
      <c r="Q32" s="2" t="s">
        <v>43</v>
      </c>
      <c r="R32" s="12" t="s">
        <v>31</v>
      </c>
      <c r="S32" s="3" t="s">
        <v>44</v>
      </c>
    </row>
    <row r="33" spans="2:19" x14ac:dyDescent="0.3">
      <c r="B33" s="64"/>
      <c r="C33" s="2">
        <f t="shared" si="6"/>
        <v>27</v>
      </c>
      <c r="D33" s="2" t="s">
        <v>110</v>
      </c>
      <c r="E33" s="2">
        <v>1</v>
      </c>
      <c r="F33" s="2" t="s">
        <v>111</v>
      </c>
      <c r="G33" s="2">
        <v>2</v>
      </c>
      <c r="H33" s="7">
        <v>0.1</v>
      </c>
      <c r="I33" s="7">
        <f t="shared" si="4"/>
        <v>0.2</v>
      </c>
      <c r="J33" s="7">
        <f t="shared" si="5"/>
        <v>0</v>
      </c>
      <c r="L33" s="2" t="s">
        <v>41</v>
      </c>
      <c r="M33" s="2" t="s">
        <v>41</v>
      </c>
      <c r="N33" s="11">
        <v>0.6</v>
      </c>
      <c r="O33" s="11">
        <f>N33*G33</f>
        <v>1.2</v>
      </c>
      <c r="P33" s="2" t="s">
        <v>29</v>
      </c>
      <c r="Q33" s="2" t="s">
        <v>80</v>
      </c>
      <c r="R33" s="12" t="s">
        <v>31</v>
      </c>
      <c r="S33" s="3" t="s">
        <v>112</v>
      </c>
    </row>
    <row r="34" spans="2:19" x14ac:dyDescent="0.3">
      <c r="B34" s="64"/>
      <c r="C34" s="2">
        <f t="shared" si="6"/>
        <v>28</v>
      </c>
      <c r="D34" s="2" t="s">
        <v>113</v>
      </c>
      <c r="E34" s="2">
        <v>2</v>
      </c>
      <c r="F34" s="2" t="s">
        <v>114</v>
      </c>
      <c r="G34" s="2">
        <v>1</v>
      </c>
      <c r="H34" s="7">
        <v>0.35</v>
      </c>
      <c r="I34" s="7">
        <f t="shared" si="4"/>
        <v>0.35</v>
      </c>
      <c r="J34" s="7">
        <f t="shared" si="5"/>
        <v>0.35</v>
      </c>
      <c r="L34" s="2" t="s">
        <v>41</v>
      </c>
      <c r="M34" s="2" t="s">
        <v>41</v>
      </c>
      <c r="N34" s="11">
        <v>5</v>
      </c>
      <c r="O34" s="11">
        <v>5</v>
      </c>
      <c r="P34" s="2" t="s">
        <v>29</v>
      </c>
      <c r="Q34" s="2" t="s">
        <v>43</v>
      </c>
      <c r="R34" s="12" t="s">
        <v>31</v>
      </c>
      <c r="S34" s="3" t="s">
        <v>115</v>
      </c>
    </row>
    <row r="35" spans="2:19" x14ac:dyDescent="0.3">
      <c r="B35" s="64"/>
      <c r="C35" s="2">
        <f t="shared" si="6"/>
        <v>29</v>
      </c>
      <c r="D35" s="2" t="s">
        <v>116</v>
      </c>
      <c r="E35" s="2">
        <v>1</v>
      </c>
      <c r="F35" s="2" t="s">
        <v>117</v>
      </c>
      <c r="G35" s="2">
        <v>8</v>
      </c>
      <c r="H35" s="7">
        <f>14/20</f>
        <v>0.7</v>
      </c>
      <c r="I35" s="7">
        <f t="shared" si="4"/>
        <v>5.6</v>
      </c>
      <c r="J35" s="7">
        <f t="shared" si="5"/>
        <v>5.6</v>
      </c>
      <c r="L35" s="2" t="s">
        <v>41</v>
      </c>
      <c r="M35" s="2" t="s">
        <v>41</v>
      </c>
      <c r="N35" s="11">
        <v>24</v>
      </c>
      <c r="O35" s="11">
        <f>N35*G35</f>
        <v>192</v>
      </c>
      <c r="P35" s="2" t="s">
        <v>29</v>
      </c>
      <c r="Q35" s="2" t="s">
        <v>43</v>
      </c>
      <c r="R35" s="12" t="s">
        <v>31</v>
      </c>
      <c r="S35" s="3" t="s">
        <v>41</v>
      </c>
    </row>
    <row r="36" spans="2:19" x14ac:dyDescent="0.3">
      <c r="B36" s="64"/>
      <c r="C36" s="2">
        <f t="shared" si="6"/>
        <v>30</v>
      </c>
      <c r="D36" s="2" t="s">
        <v>118</v>
      </c>
      <c r="E36" s="2">
        <v>1</v>
      </c>
      <c r="F36" s="2" t="s">
        <v>119</v>
      </c>
      <c r="G36" s="2">
        <v>1</v>
      </c>
      <c r="H36" s="7">
        <v>0.12</v>
      </c>
      <c r="I36" s="7">
        <f t="shared" si="4"/>
        <v>0.12</v>
      </c>
      <c r="J36" s="7">
        <f t="shared" si="5"/>
        <v>0</v>
      </c>
      <c r="L36" s="2" t="s">
        <v>41</v>
      </c>
      <c r="M36" s="2" t="s">
        <v>41</v>
      </c>
      <c r="N36" s="11">
        <v>1</v>
      </c>
      <c r="O36" s="11">
        <v>1</v>
      </c>
      <c r="P36" s="2" t="s">
        <v>29</v>
      </c>
      <c r="Q36" s="2" t="s">
        <v>80</v>
      </c>
      <c r="R36" s="12" t="s">
        <v>31</v>
      </c>
      <c r="S36" s="3" t="s">
        <v>120</v>
      </c>
    </row>
    <row r="37" spans="2:19" x14ac:dyDescent="0.3">
      <c r="B37" s="64"/>
      <c r="C37" s="2">
        <f t="shared" si="6"/>
        <v>31</v>
      </c>
      <c r="D37" s="2" t="s">
        <v>121</v>
      </c>
      <c r="E37" s="2">
        <v>1</v>
      </c>
      <c r="F37" s="2" t="s">
        <v>122</v>
      </c>
      <c r="G37" s="2">
        <v>1</v>
      </c>
      <c r="H37" s="7">
        <v>0.9</v>
      </c>
      <c r="I37" s="7">
        <f t="shared" si="4"/>
        <v>0.9</v>
      </c>
      <c r="J37" s="7">
        <f t="shared" si="5"/>
        <v>0.9</v>
      </c>
      <c r="L37" s="2" t="s">
        <v>41</v>
      </c>
      <c r="M37" s="2" t="s">
        <v>41</v>
      </c>
      <c r="N37" s="11">
        <v>33</v>
      </c>
      <c r="O37" s="11">
        <v>33</v>
      </c>
      <c r="P37" s="2" t="s">
        <v>29</v>
      </c>
      <c r="Q37" s="2" t="s">
        <v>80</v>
      </c>
      <c r="R37" s="12" t="s">
        <v>31</v>
      </c>
      <c r="S37" s="3" t="s">
        <v>120</v>
      </c>
    </row>
    <row r="38" spans="2:19" x14ac:dyDescent="0.3">
      <c r="B38" s="64"/>
      <c r="C38" s="2">
        <f t="shared" si="6"/>
        <v>32</v>
      </c>
      <c r="D38" s="2" t="s">
        <v>123</v>
      </c>
      <c r="E38" s="2">
        <v>1</v>
      </c>
      <c r="F38" s="2" t="s">
        <v>124</v>
      </c>
      <c r="G38" s="2">
        <v>1</v>
      </c>
      <c r="H38" s="7">
        <v>0.14000000000000001</v>
      </c>
      <c r="I38" s="7">
        <f t="shared" si="4"/>
        <v>0.14000000000000001</v>
      </c>
      <c r="J38" s="7">
        <f t="shared" si="5"/>
        <v>0</v>
      </c>
      <c r="L38" s="2" t="s">
        <v>41</v>
      </c>
      <c r="M38" s="2" t="s">
        <v>41</v>
      </c>
      <c r="N38" s="11">
        <v>0.81</v>
      </c>
      <c r="O38" s="11">
        <v>0.81</v>
      </c>
      <c r="P38" s="2" t="s">
        <v>29</v>
      </c>
      <c r="Q38" s="2" t="s">
        <v>80</v>
      </c>
      <c r="R38" s="12" t="s">
        <v>31</v>
      </c>
      <c r="S38" s="3" t="s">
        <v>120</v>
      </c>
    </row>
    <row r="39" spans="2:19" x14ac:dyDescent="0.3">
      <c r="B39" s="64"/>
      <c r="C39" s="2">
        <f t="shared" si="6"/>
        <v>33</v>
      </c>
      <c r="D39" s="2" t="s">
        <v>125</v>
      </c>
      <c r="E39" s="2">
        <v>1</v>
      </c>
      <c r="F39" s="2" t="s">
        <v>126</v>
      </c>
      <c r="G39" s="2">
        <v>2</v>
      </c>
      <c r="H39" s="7">
        <f>3.99/100</f>
        <v>3.9900000000000005E-2</v>
      </c>
      <c r="I39" s="7">
        <f>G39*H39</f>
        <v>7.980000000000001E-2</v>
      </c>
      <c r="J39" s="7">
        <f t="shared" si="5"/>
        <v>0</v>
      </c>
      <c r="L39" s="2"/>
      <c r="M39" s="2"/>
      <c r="N39" s="11">
        <v>0.3</v>
      </c>
      <c r="O39" s="11">
        <v>0.6</v>
      </c>
      <c r="P39" s="2" t="s">
        <v>29</v>
      </c>
      <c r="Q39" s="2" t="s">
        <v>43</v>
      </c>
      <c r="R39" s="12" t="s">
        <v>31</v>
      </c>
      <c r="S39" s="3" t="s">
        <v>41</v>
      </c>
    </row>
    <row r="40" spans="2:19" x14ac:dyDescent="0.3">
      <c r="B40" s="64"/>
      <c r="C40" s="2">
        <f t="shared" si="6"/>
        <v>34</v>
      </c>
      <c r="D40" s="2" t="s">
        <v>127</v>
      </c>
      <c r="E40" s="2">
        <v>1</v>
      </c>
      <c r="F40" s="2" t="s">
        <v>128</v>
      </c>
      <c r="G40" s="2">
        <v>1</v>
      </c>
      <c r="H40" s="7">
        <v>0.6</v>
      </c>
      <c r="I40" s="7">
        <f t="shared" si="4"/>
        <v>0.6</v>
      </c>
      <c r="J40" s="7">
        <f t="shared" si="5"/>
        <v>0.6</v>
      </c>
      <c r="L40" s="2" t="s">
        <v>41</v>
      </c>
      <c r="M40" s="2" t="s">
        <v>41</v>
      </c>
      <c r="N40" s="11">
        <v>4.5</v>
      </c>
      <c r="O40" s="11">
        <v>4.5</v>
      </c>
      <c r="P40" s="2" t="s">
        <v>29</v>
      </c>
      <c r="Q40" s="2" t="s">
        <v>80</v>
      </c>
      <c r="R40" s="12" t="s">
        <v>31</v>
      </c>
      <c r="S40" s="3" t="s">
        <v>120</v>
      </c>
    </row>
    <row r="41" spans="2:19" x14ac:dyDescent="0.3">
      <c r="B41" s="64"/>
      <c r="C41" s="2">
        <f t="shared" si="6"/>
        <v>35</v>
      </c>
      <c r="D41" s="2" t="s">
        <v>129</v>
      </c>
      <c r="E41" s="2">
        <v>1</v>
      </c>
      <c r="F41" s="2" t="s">
        <v>130</v>
      </c>
      <c r="G41" s="11">
        <v>26</v>
      </c>
      <c r="H41" s="7">
        <f>6.99/120</f>
        <v>5.8250000000000003E-2</v>
      </c>
      <c r="I41" s="7">
        <f t="shared" si="4"/>
        <v>1.5145000000000002</v>
      </c>
      <c r="J41" s="7">
        <f>IF(H41&gt;0.2,I41,0)</f>
        <v>0</v>
      </c>
      <c r="L41" s="2" t="s">
        <v>41</v>
      </c>
      <c r="M41" s="2" t="s">
        <v>41</v>
      </c>
      <c r="N41" s="11">
        <v>0.66</v>
      </c>
      <c r="O41" s="11">
        <f>N41*G41</f>
        <v>17.16</v>
      </c>
      <c r="P41" s="2" t="s">
        <v>29</v>
      </c>
      <c r="Q41" s="2" t="s">
        <v>43</v>
      </c>
      <c r="R41" s="12" t="s">
        <v>31</v>
      </c>
      <c r="S41" s="3" t="s">
        <v>120</v>
      </c>
    </row>
    <row r="42" spans="2:19" x14ac:dyDescent="0.3">
      <c r="B42" s="64"/>
      <c r="C42" s="2">
        <f t="shared" si="6"/>
        <v>36</v>
      </c>
      <c r="D42" s="2" t="s">
        <v>131</v>
      </c>
      <c r="E42" s="2">
        <v>1</v>
      </c>
      <c r="F42" s="2" t="s">
        <v>132</v>
      </c>
      <c r="G42" s="2">
        <v>1</v>
      </c>
      <c r="H42" s="7">
        <v>2.52</v>
      </c>
      <c r="I42" s="7">
        <v>2.52</v>
      </c>
      <c r="J42" s="7">
        <v>2.52</v>
      </c>
      <c r="L42" s="2" t="s">
        <v>41</v>
      </c>
      <c r="M42" s="2" t="s">
        <v>41</v>
      </c>
      <c r="N42" s="11">
        <v>8</v>
      </c>
      <c r="O42" s="11">
        <v>8</v>
      </c>
      <c r="P42" s="2" t="s">
        <v>29</v>
      </c>
      <c r="Q42" s="2" t="s">
        <v>88</v>
      </c>
      <c r="R42" s="12" t="s">
        <v>31</v>
      </c>
      <c r="S42" s="3" t="s">
        <v>32</v>
      </c>
    </row>
    <row r="43" spans="2:19" x14ac:dyDescent="0.3">
      <c r="B43" s="64"/>
      <c r="C43" s="67" t="s">
        <v>133</v>
      </c>
      <c r="D43" s="67"/>
      <c r="E43" s="67"/>
      <c r="F43" s="67"/>
      <c r="J43" s="8">
        <f>SUM(J22:J42)</f>
        <v>62.167000000000016</v>
      </c>
      <c r="O43" s="13"/>
      <c r="S43" s="9"/>
    </row>
    <row r="44" spans="2:19" x14ac:dyDescent="0.3">
      <c r="B44" s="10"/>
      <c r="S44" s="9"/>
    </row>
    <row r="45" spans="2:19" x14ac:dyDescent="0.3">
      <c r="B45" s="64" t="s">
        <v>134</v>
      </c>
      <c r="C45" s="2">
        <f>C42+1</f>
        <v>37</v>
      </c>
      <c r="D45" s="2" t="s">
        <v>135</v>
      </c>
      <c r="E45" s="2">
        <v>1</v>
      </c>
      <c r="F45" s="2" t="s">
        <v>136</v>
      </c>
      <c r="G45" s="2">
        <v>10</v>
      </c>
      <c r="H45" s="7">
        <f>10.99/580</f>
        <v>1.8948275862068965E-2</v>
      </c>
      <c r="I45" s="7">
        <f>H45*G45</f>
        <v>0.18948275862068964</v>
      </c>
      <c r="J45" s="7">
        <v>0</v>
      </c>
      <c r="L45" s="2" t="s">
        <v>137</v>
      </c>
      <c r="M45" s="2" t="s">
        <v>41</v>
      </c>
      <c r="N45" s="2">
        <v>5</v>
      </c>
      <c r="O45" s="2">
        <v>5</v>
      </c>
      <c r="P45" s="2" t="s">
        <v>36</v>
      </c>
      <c r="Q45" s="2" t="s">
        <v>43</v>
      </c>
      <c r="R45" s="12" t="s">
        <v>31</v>
      </c>
      <c r="S45" s="3" t="s">
        <v>41</v>
      </c>
    </row>
    <row r="46" spans="2:19" ht="14.4" x14ac:dyDescent="0.3">
      <c r="B46" s="64"/>
      <c r="C46" s="2">
        <f>C45+1</f>
        <v>38</v>
      </c>
      <c r="D46" s="2" t="s">
        <v>138</v>
      </c>
      <c r="E46" s="2">
        <v>1</v>
      </c>
      <c r="F46" s="2" t="s">
        <v>139</v>
      </c>
      <c r="G46" s="2">
        <v>0.8</v>
      </c>
      <c r="H46" s="7">
        <v>0.78</v>
      </c>
      <c r="I46" s="7">
        <f>H46*G46</f>
        <v>0.62400000000000011</v>
      </c>
      <c r="J46" s="7">
        <f>I46</f>
        <v>0.62400000000000011</v>
      </c>
      <c r="L46" s="2" t="s">
        <v>41</v>
      </c>
      <c r="M46" s="2" t="s">
        <v>41</v>
      </c>
      <c r="N46" s="2">
        <v>10</v>
      </c>
      <c r="O46" s="2">
        <v>10</v>
      </c>
      <c r="P46" s="2" t="s">
        <v>140</v>
      </c>
      <c r="Q46" s="2" t="s">
        <v>141</v>
      </c>
      <c r="R46" s="30" t="s">
        <v>31</v>
      </c>
      <c r="S46" s="3" t="s">
        <v>41</v>
      </c>
    </row>
    <row r="47" spans="2:19" x14ac:dyDescent="0.3">
      <c r="B47" s="64"/>
      <c r="C47" s="2">
        <f t="shared" ref="C47:C51" si="7">C46+1</f>
        <v>39</v>
      </c>
      <c r="D47" s="2" t="s">
        <v>142</v>
      </c>
      <c r="E47" s="2">
        <v>1</v>
      </c>
      <c r="F47" s="2" t="s">
        <v>143</v>
      </c>
      <c r="G47" s="2">
        <v>2</v>
      </c>
      <c r="H47" s="7">
        <f>17.17/100</f>
        <v>0.17170000000000002</v>
      </c>
      <c r="I47" s="7">
        <f>G47*H47</f>
        <v>0.34340000000000004</v>
      </c>
      <c r="J47" s="7">
        <v>0</v>
      </c>
      <c r="L47" s="2" t="s">
        <v>41</v>
      </c>
      <c r="M47" s="2" t="s">
        <v>41</v>
      </c>
      <c r="N47" s="2">
        <v>2</v>
      </c>
      <c r="O47" s="2">
        <v>2</v>
      </c>
      <c r="P47" s="2" t="s">
        <v>36</v>
      </c>
      <c r="Q47" s="2" t="s">
        <v>30</v>
      </c>
      <c r="R47" s="12" t="s">
        <v>31</v>
      </c>
      <c r="S47" s="3" t="s">
        <v>41</v>
      </c>
    </row>
    <row r="48" spans="2:19" x14ac:dyDescent="0.3">
      <c r="B48" s="64"/>
      <c r="C48" s="2">
        <f t="shared" si="7"/>
        <v>40</v>
      </c>
      <c r="D48" s="2" t="s">
        <v>144</v>
      </c>
      <c r="E48" s="2">
        <v>1</v>
      </c>
      <c r="F48" s="2" t="s">
        <v>145</v>
      </c>
      <c r="G48" s="2">
        <v>800</v>
      </c>
      <c r="H48" s="19">
        <f>18/76000</f>
        <v>2.3684210526315788E-4</v>
      </c>
      <c r="I48" s="7">
        <f t="shared" ref="I48:I59" si="8">H48*G48</f>
        <v>0.18947368421052629</v>
      </c>
      <c r="J48" s="7">
        <f>0</f>
        <v>0</v>
      </c>
      <c r="L48" s="2" t="s">
        <v>41</v>
      </c>
      <c r="M48" s="2" t="s">
        <v>41</v>
      </c>
      <c r="N48" s="2">
        <v>8</v>
      </c>
      <c r="O48" s="2">
        <v>8</v>
      </c>
      <c r="P48" s="2" t="s">
        <v>36</v>
      </c>
      <c r="Q48" s="2" t="s">
        <v>146</v>
      </c>
      <c r="R48" s="12" t="s">
        <v>31</v>
      </c>
      <c r="S48" s="3" t="s">
        <v>41</v>
      </c>
    </row>
    <row r="49" spans="2:20" x14ac:dyDescent="0.3">
      <c r="B49" s="64"/>
      <c r="C49" s="2">
        <f t="shared" si="7"/>
        <v>41</v>
      </c>
      <c r="D49" s="2" t="s">
        <v>147</v>
      </c>
      <c r="E49" s="2">
        <v>1</v>
      </c>
      <c r="F49" s="2" t="s">
        <v>148</v>
      </c>
      <c r="G49" s="2">
        <v>100</v>
      </c>
      <c r="H49" s="19">
        <f>12/45600</f>
        <v>2.631578947368421E-4</v>
      </c>
      <c r="I49" s="7">
        <f t="shared" si="8"/>
        <v>2.6315789473684209E-2</v>
      </c>
      <c r="J49" s="7">
        <f>0</f>
        <v>0</v>
      </c>
      <c r="L49" s="2" t="s">
        <v>41</v>
      </c>
      <c r="M49" s="2" t="s">
        <v>41</v>
      </c>
      <c r="N49" s="2">
        <v>8</v>
      </c>
      <c r="O49" s="2">
        <v>8</v>
      </c>
      <c r="P49" s="2" t="s">
        <v>36</v>
      </c>
      <c r="Q49" s="2" t="s">
        <v>146</v>
      </c>
      <c r="R49" s="12" t="s">
        <v>31</v>
      </c>
      <c r="S49" s="3" t="s">
        <v>41</v>
      </c>
    </row>
    <row r="50" spans="2:20" x14ac:dyDescent="0.3">
      <c r="B50" s="64"/>
      <c r="C50" s="2">
        <f t="shared" si="7"/>
        <v>42</v>
      </c>
      <c r="D50" s="2" t="s">
        <v>149</v>
      </c>
      <c r="E50" s="2">
        <v>1</v>
      </c>
      <c r="F50" s="2" t="s">
        <v>150</v>
      </c>
      <c r="G50" s="2">
        <v>1</v>
      </c>
      <c r="H50" s="7">
        <f>10.79/15</f>
        <v>0.71933333333333327</v>
      </c>
      <c r="I50" s="7">
        <f t="shared" si="8"/>
        <v>0.71933333333333327</v>
      </c>
      <c r="J50" s="7">
        <f>I50</f>
        <v>0.71933333333333327</v>
      </c>
      <c r="L50" s="2" t="s">
        <v>41</v>
      </c>
      <c r="M50" s="2" t="s">
        <v>41</v>
      </c>
      <c r="N50" s="2">
        <v>1</v>
      </c>
      <c r="O50" s="2">
        <v>1</v>
      </c>
      <c r="P50" s="2" t="s">
        <v>140</v>
      </c>
      <c r="Q50" s="2" t="s">
        <v>43</v>
      </c>
      <c r="R50" s="12" t="s">
        <v>31</v>
      </c>
      <c r="S50" s="3" t="s">
        <v>41</v>
      </c>
    </row>
    <row r="51" spans="2:20" x14ac:dyDescent="0.3">
      <c r="B51" s="64"/>
      <c r="C51" s="2">
        <f t="shared" si="7"/>
        <v>43</v>
      </c>
      <c r="D51" s="2" t="s">
        <v>151</v>
      </c>
      <c r="E51" s="2">
        <v>2</v>
      </c>
      <c r="F51" s="2" t="s">
        <v>152</v>
      </c>
      <c r="G51" s="2">
        <v>60</v>
      </c>
      <c r="H51" s="19">
        <f>6.49/2500</f>
        <v>2.5960000000000002E-3</v>
      </c>
      <c r="I51" s="7">
        <f t="shared" si="8"/>
        <v>0.15576000000000001</v>
      </c>
      <c r="J51" s="7">
        <f>I51</f>
        <v>0.15576000000000001</v>
      </c>
      <c r="L51" s="2" t="s">
        <v>41</v>
      </c>
      <c r="M51" s="2" t="s">
        <v>41</v>
      </c>
      <c r="N51" s="2">
        <v>8</v>
      </c>
      <c r="O51" s="2">
        <v>8</v>
      </c>
      <c r="P51" s="2" t="s">
        <v>36</v>
      </c>
      <c r="Q51" s="2" t="s">
        <v>43</v>
      </c>
      <c r="R51" s="12" t="s">
        <v>31</v>
      </c>
      <c r="S51" s="3" t="s">
        <v>41</v>
      </c>
    </row>
    <row r="52" spans="2:20" ht="27.6" x14ac:dyDescent="0.3">
      <c r="B52" s="64"/>
      <c r="C52" s="2">
        <f t="shared" ref="C52:C59" si="9">C51+1</f>
        <v>44</v>
      </c>
      <c r="D52" s="2" t="s">
        <v>153</v>
      </c>
      <c r="E52" s="2">
        <v>1</v>
      </c>
      <c r="F52" s="2" t="s">
        <v>154</v>
      </c>
      <c r="G52" s="2">
        <v>2</v>
      </c>
      <c r="H52" s="7">
        <f>7.59/570</f>
        <v>1.331578947368421E-2</v>
      </c>
      <c r="I52" s="7">
        <f t="shared" si="8"/>
        <v>2.6631578947368419E-2</v>
      </c>
      <c r="J52" s="7">
        <v>0</v>
      </c>
      <c r="L52" s="2" t="s">
        <v>155</v>
      </c>
      <c r="M52" s="2">
        <v>8000</v>
      </c>
      <c r="N52" s="2">
        <v>0.36</v>
      </c>
      <c r="O52" s="2">
        <f>N52*G52</f>
        <v>0.72</v>
      </c>
      <c r="P52" s="2" t="s">
        <v>29</v>
      </c>
      <c r="Q52" s="2" t="s">
        <v>43</v>
      </c>
      <c r="R52" s="12" t="s">
        <v>31</v>
      </c>
      <c r="S52" s="3" t="s">
        <v>99</v>
      </c>
    </row>
    <row r="53" spans="2:20" ht="27.6" x14ac:dyDescent="0.3">
      <c r="B53" s="64"/>
      <c r="C53" s="2">
        <f t="shared" si="9"/>
        <v>45</v>
      </c>
      <c r="D53" s="2" t="s">
        <v>156</v>
      </c>
      <c r="E53" s="2">
        <v>1</v>
      </c>
      <c r="F53" s="2" t="s">
        <v>157</v>
      </c>
      <c r="G53" s="2">
        <v>2</v>
      </c>
      <c r="H53" s="7">
        <f t="shared" ref="H53:H55" si="10">7.59/570</f>
        <v>1.331578947368421E-2</v>
      </c>
      <c r="I53" s="7">
        <f t="shared" si="8"/>
        <v>2.6631578947368419E-2</v>
      </c>
      <c r="J53" s="7">
        <v>0</v>
      </c>
      <c r="L53" s="2" t="s">
        <v>155</v>
      </c>
      <c r="M53" s="2">
        <v>8000</v>
      </c>
      <c r="N53" s="2">
        <v>0.4</v>
      </c>
      <c r="O53" s="2">
        <f>G53*N53</f>
        <v>0.8</v>
      </c>
      <c r="P53" s="2" t="s">
        <v>29</v>
      </c>
      <c r="Q53" s="2" t="s">
        <v>43</v>
      </c>
      <c r="R53" s="12" t="s">
        <v>31</v>
      </c>
      <c r="S53" s="3" t="s">
        <v>99</v>
      </c>
    </row>
    <row r="54" spans="2:20" ht="27.6" x14ac:dyDescent="0.3">
      <c r="B54" s="64"/>
      <c r="C54" s="2">
        <f t="shared" si="9"/>
        <v>46</v>
      </c>
      <c r="D54" s="2" t="s">
        <v>158</v>
      </c>
      <c r="E54" s="2">
        <v>1</v>
      </c>
      <c r="F54" s="2" t="s">
        <v>159</v>
      </c>
      <c r="G54" s="2">
        <v>2</v>
      </c>
      <c r="H54" s="7">
        <v>0.03</v>
      </c>
      <c r="I54" s="7">
        <f>H54</f>
        <v>0.03</v>
      </c>
      <c r="J54" s="7">
        <f>0</f>
        <v>0</v>
      </c>
      <c r="L54" s="2" t="s">
        <v>155</v>
      </c>
      <c r="M54" s="2" t="s">
        <v>41</v>
      </c>
      <c r="N54" s="2">
        <f>N53</f>
        <v>0.4</v>
      </c>
      <c r="O54" s="2">
        <f>O53</f>
        <v>0.8</v>
      </c>
      <c r="P54" s="2" t="s">
        <v>140</v>
      </c>
      <c r="Q54" s="2" t="s">
        <v>160</v>
      </c>
      <c r="R54" s="28" t="s">
        <v>31</v>
      </c>
      <c r="S54" s="3" t="s">
        <v>41</v>
      </c>
    </row>
    <row r="55" spans="2:20" ht="27.6" x14ac:dyDescent="0.3">
      <c r="B55" s="64"/>
      <c r="C55" s="2">
        <f t="shared" si="9"/>
        <v>47</v>
      </c>
      <c r="D55" s="2" t="s">
        <v>161</v>
      </c>
      <c r="E55" s="2">
        <v>1</v>
      </c>
      <c r="F55" s="2" t="s">
        <v>162</v>
      </c>
      <c r="G55" s="2">
        <v>2</v>
      </c>
      <c r="H55" s="7">
        <f t="shared" si="10"/>
        <v>1.331578947368421E-2</v>
      </c>
      <c r="I55" s="7">
        <f t="shared" si="8"/>
        <v>2.6631578947368419E-2</v>
      </c>
      <c r="J55" s="7">
        <v>0</v>
      </c>
      <c r="L55" s="2" t="s">
        <v>155</v>
      </c>
      <c r="M55" s="2">
        <v>8000</v>
      </c>
      <c r="N55" s="2">
        <v>0.1</v>
      </c>
      <c r="O55" s="2">
        <f>G55*N55</f>
        <v>0.2</v>
      </c>
      <c r="P55" s="2" t="s">
        <v>29</v>
      </c>
      <c r="Q55" s="2" t="s">
        <v>43</v>
      </c>
      <c r="R55" s="12" t="s">
        <v>31</v>
      </c>
      <c r="S55" s="3" t="s">
        <v>99</v>
      </c>
    </row>
    <row r="56" spans="2:20" ht="27.6" x14ac:dyDescent="0.3">
      <c r="B56" s="64"/>
      <c r="C56" s="2">
        <f t="shared" si="9"/>
        <v>48</v>
      </c>
      <c r="D56" s="2" t="s">
        <v>163</v>
      </c>
      <c r="E56" s="2">
        <v>1</v>
      </c>
      <c r="F56" s="2" t="s">
        <v>164</v>
      </c>
      <c r="G56" s="2">
        <v>16</v>
      </c>
      <c r="H56" s="7">
        <f>7.59/570</f>
        <v>1.331578947368421E-2</v>
      </c>
      <c r="I56" s="7">
        <f t="shared" si="8"/>
        <v>0.21305263157894735</v>
      </c>
      <c r="J56" s="7">
        <v>0</v>
      </c>
      <c r="L56" s="2" t="s">
        <v>155</v>
      </c>
      <c r="M56" s="2">
        <v>8000</v>
      </c>
      <c r="N56" s="2">
        <v>0.5</v>
      </c>
      <c r="O56" s="2">
        <f t="shared" ref="O56:O58" si="11">N56*G56</f>
        <v>8</v>
      </c>
      <c r="P56" s="2" t="s">
        <v>29</v>
      </c>
      <c r="Q56" s="2" t="s">
        <v>43</v>
      </c>
      <c r="R56" s="12" t="s">
        <v>31</v>
      </c>
      <c r="S56" s="3" t="s">
        <v>99</v>
      </c>
    </row>
    <row r="57" spans="2:20" ht="27.6" x14ac:dyDescent="0.3">
      <c r="B57" s="64"/>
      <c r="C57" s="2">
        <f t="shared" si="9"/>
        <v>49</v>
      </c>
      <c r="D57" s="2" t="s">
        <v>165</v>
      </c>
      <c r="E57" s="2">
        <v>1</v>
      </c>
      <c r="F57" s="2" t="s">
        <v>166</v>
      </c>
      <c r="G57" s="2">
        <v>6</v>
      </c>
      <c r="H57" s="7">
        <f>7.59/570</f>
        <v>1.331578947368421E-2</v>
      </c>
      <c r="I57" s="7">
        <f t="shared" si="8"/>
        <v>7.9894736842105255E-2</v>
      </c>
      <c r="J57" s="7">
        <v>0</v>
      </c>
      <c r="L57" s="2" t="s">
        <v>155</v>
      </c>
      <c r="M57" s="2">
        <v>8000</v>
      </c>
      <c r="N57" s="2">
        <v>0.4</v>
      </c>
      <c r="O57" s="2">
        <f t="shared" si="11"/>
        <v>2.4000000000000004</v>
      </c>
      <c r="P57" s="2" t="s">
        <v>29</v>
      </c>
      <c r="Q57" s="2" t="s">
        <v>43</v>
      </c>
      <c r="R57" s="12" t="s">
        <v>31</v>
      </c>
      <c r="S57" s="3" t="s">
        <v>99</v>
      </c>
    </row>
    <row r="58" spans="2:20" ht="27.6" x14ac:dyDescent="0.3">
      <c r="B58" s="64"/>
      <c r="C58" s="2">
        <f t="shared" si="9"/>
        <v>50</v>
      </c>
      <c r="D58" s="2" t="s">
        <v>167</v>
      </c>
      <c r="E58" s="2">
        <v>1</v>
      </c>
      <c r="F58" s="2" t="s">
        <v>168</v>
      </c>
      <c r="G58" s="2">
        <v>2</v>
      </c>
      <c r="H58" s="7">
        <f>H57</f>
        <v>1.331578947368421E-2</v>
      </c>
      <c r="I58" s="7">
        <f t="shared" si="8"/>
        <v>2.6631578947368419E-2</v>
      </c>
      <c r="J58" s="7">
        <f>0</f>
        <v>0</v>
      </c>
      <c r="L58" s="2" t="s">
        <v>155</v>
      </c>
      <c r="M58" s="2">
        <v>8000</v>
      </c>
      <c r="N58" s="22">
        <v>0.22</v>
      </c>
      <c r="O58" s="2">
        <f t="shared" si="11"/>
        <v>0.44</v>
      </c>
      <c r="P58" s="2" t="s">
        <v>29</v>
      </c>
      <c r="Q58" s="2" t="s">
        <v>43</v>
      </c>
      <c r="R58" s="12" t="s">
        <v>31</v>
      </c>
      <c r="S58" s="3" t="s">
        <v>99</v>
      </c>
    </row>
    <row r="59" spans="2:20" x14ac:dyDescent="0.3">
      <c r="B59" s="64"/>
      <c r="C59" s="2">
        <f t="shared" si="9"/>
        <v>51</v>
      </c>
      <c r="D59" s="2" t="s">
        <v>169</v>
      </c>
      <c r="E59" s="2">
        <v>1</v>
      </c>
      <c r="F59" s="2" t="s">
        <v>170</v>
      </c>
      <c r="G59" s="22">
        <v>400</v>
      </c>
      <c r="H59" s="38">
        <f>1.1/33000</f>
        <v>3.3333333333333335E-5</v>
      </c>
      <c r="I59" s="34">
        <f t="shared" si="8"/>
        <v>1.3333333333333334E-2</v>
      </c>
      <c r="J59" s="34">
        <v>0</v>
      </c>
      <c r="L59" s="22" t="s">
        <v>171</v>
      </c>
      <c r="M59" s="22" t="s">
        <v>41</v>
      </c>
      <c r="N59" s="22">
        <v>3</v>
      </c>
      <c r="O59" s="22">
        <v>3</v>
      </c>
      <c r="P59" s="22" t="s">
        <v>36</v>
      </c>
      <c r="Q59" s="22" t="s">
        <v>141</v>
      </c>
      <c r="R59" s="42" t="s">
        <v>31</v>
      </c>
      <c r="S59" s="43" t="s">
        <v>41</v>
      </c>
    </row>
    <row r="60" spans="2:20" x14ac:dyDescent="0.3">
      <c r="B60" s="65"/>
      <c r="C60" s="22">
        <v>52</v>
      </c>
      <c r="D60" s="22" t="s">
        <v>172</v>
      </c>
      <c r="E60" s="22">
        <v>1</v>
      </c>
      <c r="F60" s="37" t="s">
        <v>173</v>
      </c>
      <c r="G60" s="35">
        <v>1</v>
      </c>
      <c r="H60" s="40">
        <v>0.3</v>
      </c>
      <c r="I60" s="36">
        <f>G60*H60</f>
        <v>0.3</v>
      </c>
      <c r="J60" s="36">
        <f>I60</f>
        <v>0.3</v>
      </c>
      <c r="L60" s="35" t="s">
        <v>174</v>
      </c>
      <c r="M60" s="35" t="s">
        <v>41</v>
      </c>
      <c r="N60" s="35" t="s">
        <v>41</v>
      </c>
      <c r="O60" s="44" t="s">
        <v>41</v>
      </c>
      <c r="P60" s="35" t="s">
        <v>175</v>
      </c>
      <c r="Q60" s="35" t="s">
        <v>176</v>
      </c>
      <c r="R60" s="41"/>
      <c r="S60" s="46"/>
      <c r="T60" s="47"/>
    </row>
    <row r="61" spans="2:20" ht="15" customHeight="1" x14ac:dyDescent="0.3">
      <c r="B61" s="66"/>
      <c r="C61" s="69" t="s">
        <v>177</v>
      </c>
      <c r="D61" s="69"/>
      <c r="E61" s="69"/>
      <c r="F61" s="69"/>
      <c r="G61" s="14"/>
      <c r="H61" s="14"/>
      <c r="I61" s="14"/>
      <c r="J61" s="39">
        <f>SUM(J45:J60)</f>
        <v>1.7990933333333332</v>
      </c>
      <c r="K61" s="23"/>
      <c r="L61" s="70" t="s">
        <v>20</v>
      </c>
      <c r="M61" s="71"/>
      <c r="N61" s="71"/>
      <c r="O61" s="45">
        <f>SUM(O5:O45)</f>
        <v>798.2</v>
      </c>
      <c r="P61" s="14"/>
      <c r="Q61" s="14"/>
      <c r="R61" s="14"/>
      <c r="S61" s="15"/>
    </row>
    <row r="63" spans="2:20" x14ac:dyDescent="0.3">
      <c r="C63" s="25" t="s">
        <v>178</v>
      </c>
      <c r="F63" s="24"/>
      <c r="G63" s="72"/>
      <c r="H63" s="73"/>
    </row>
    <row r="64" spans="2:20" x14ac:dyDescent="0.3">
      <c r="C64" s="74" t="s">
        <v>179</v>
      </c>
      <c r="D64" s="74"/>
      <c r="E64" s="74"/>
      <c r="F64" s="74"/>
      <c r="G64" s="74"/>
      <c r="H64" s="74"/>
    </row>
    <row r="65" spans="3:9" ht="14.25" customHeight="1" x14ac:dyDescent="0.3">
      <c r="C65" s="74" t="s">
        <v>180</v>
      </c>
      <c r="D65" s="74"/>
      <c r="E65" s="74"/>
      <c r="F65" s="74"/>
      <c r="G65" s="74"/>
      <c r="H65" s="74"/>
      <c r="I65" s="74"/>
    </row>
    <row r="66" spans="3:9" ht="42" customHeight="1" x14ac:dyDescent="0.3">
      <c r="C66" s="27" t="s">
        <v>181</v>
      </c>
      <c r="D66" s="26" t="s">
        <v>182</v>
      </c>
      <c r="E66" s="29" t="s">
        <v>183</v>
      </c>
      <c r="F66" s="26"/>
      <c r="G66" s="26"/>
      <c r="H66" s="26"/>
      <c r="I66" s="26"/>
    </row>
  </sheetData>
  <mergeCells count="11">
    <mergeCell ref="G63:H63"/>
    <mergeCell ref="C64:H64"/>
    <mergeCell ref="C65:I65"/>
    <mergeCell ref="B5:B20"/>
    <mergeCell ref="B22:B43"/>
    <mergeCell ref="C43:F43"/>
    <mergeCell ref="B2:S3"/>
    <mergeCell ref="B45:B61"/>
    <mergeCell ref="C20:F20"/>
    <mergeCell ref="C61:F61"/>
    <mergeCell ref="L61:N61"/>
  </mergeCells>
  <phoneticPr fontId="2" type="noConversion"/>
  <hyperlinks>
    <hyperlink ref="R33" r:id="rId1" display="https://cpc.farnell.com/multicomp/mc34739/header-1-row-vert-20way/dp/CN14497?st=headers%2020%20way" xr:uid="{DDB2331D-392E-4802-9137-20F0F9719533}"/>
    <hyperlink ref="R24" r:id="rId2" display="https://uk.rs-online.com/web/p/power-motor-robotics-development-tools/1845109?cm_mmc=UK-PLA-DS3A-_-google-_-CSS_UK_EN_PMAX_Catch+All-_--_-1845109&amp;matchtype=&amp;&amp;gad_source=1&amp;gclid=Cj0KCQiAw6yuBhDrARIsACf94RU3e-VT7b1sqOscbW7WU6_KoJu4tlSqjsC2guiALE059wz4765kY4YaAp8rEALw_wcB&amp;gclsrc=aw.ds" xr:uid="{3C7FB223-39BA-4DCE-B07A-B03EA959DE88}"/>
    <hyperlink ref="R26" r:id="rId3" display="https://cpc.farnell.com/integral/inmsdh16g-100v10/16gb-microsdhc-v10-uhs-i-u1/dp/MD01157?st=micro%20sd%20card" xr:uid="{5DB5D1AA-27CF-4594-8028-E2EF68242EF7}"/>
    <hyperlink ref="R22" r:id="rId4" display="https://cpc.farnell.com/raspberry-pi/rpi-zero-w-v2/raspberry-pi-zero-w-v2/dp/SC19061?st=raspberry%20pi%20zero" xr:uid="{31F1EBC5-1759-4BAF-BF7C-B9EC6FA869EA}"/>
    <hyperlink ref="R30" r:id="rId5" display="https://cpc.farnell.com/raspberry-pi/sc0006/rpi-zero-v2-otg-adapter/dp/SC19068?st=otg" xr:uid="{CDB804C4-1D35-48CB-A1CC-2E683DE9A45B}"/>
    <hyperlink ref="R29" r:id="rId6" display="https://cpc.farnell.com/pro-power/pp002032/battery-snaps-side-entry-safety/dp/BT06483?st=clip%20on%20connector" xr:uid="{FA861653-DC38-47A1-8A7E-0636A84D269F}"/>
    <hyperlink ref="R32" r:id="rId7" display="https://www.amazon.co.uk/Yizhet-Efficiency-Regulator-Converter-Adjustable/dp/B0823P6PW6/ref=sr_1_6?crid=Z8FH3TDTBG1G&amp;keywords=buck%2Bconverter&amp;qid=1701555795&amp;sprefix=buck%2Bconverter%2Caps%2C225&amp;sr=8-6&amp;th=1" xr:uid="{4F61B3EE-845C-486C-B12F-26D5C644CBD8}"/>
    <hyperlink ref="R23" r:id="rId8" display="https://www.argos.co.uk/product/8739816" xr:uid="{E7FB083A-355F-4E11-BBEB-C25D73C34954}"/>
    <hyperlink ref="R42" r:id="rId9" display="https://uk.rs-online.com/web/p/bbc-micro-bit-add-ons/2153181?gb=s" xr:uid="{77674D76-C410-4092-8692-9AA3ADD5EF2B}"/>
    <hyperlink ref="R36" r:id="rId10" display="https://cpc.farnell.com/multicomp/mcglr35v107m8x11/capacitor-100uf-35v-radial-105/dp/CA08278" xr:uid="{BA51357A-8D61-4DCA-8A19-D151BB8E96F5}"/>
    <hyperlink ref="R10" r:id="rId11" xr:uid="{32B3A6CD-A559-4AB9-9A10-75373A90546A}"/>
    <hyperlink ref="R18" r:id="rId12" xr:uid="{11E60501-A0DC-4DF1-BFA6-9EB9E10420D4}"/>
    <hyperlink ref="R12" r:id="rId13" xr:uid="{97B29699-8C3C-40FE-AD24-A63D68B64BDE}"/>
    <hyperlink ref="R13" r:id="rId14" xr:uid="{EDFC94CC-E605-40FE-B827-5EF251068BA3}"/>
    <hyperlink ref="R14" r:id="rId15" xr:uid="{8274F28D-BA88-4A6E-AA72-F9CC9363D38A}"/>
    <hyperlink ref="R5" r:id="rId16" xr:uid="{FEA6D1C9-A18A-4AE2-90E3-3109F9C4DFA8}"/>
    <hyperlink ref="R35" r:id="rId17" xr:uid="{FEB99F9D-1F09-4645-A128-469F6EABA2DD}"/>
    <hyperlink ref="R51" r:id="rId18" display="https://www.amazon.co.uk/VELCRO-Brand-Fasteners-Perfect-Office/dp/B0013D8IUC/ref=asc_df_B0013D8IUC/?tag=googshopuk-21&amp;linkCode=df0&amp;hvadid=214440742293&amp;hvpos=&amp;hvnetw=g&amp;hvrand=10212361422519813387&amp;hvpone=&amp;hvptwo=&amp;hvqmt=&amp;hvdev=c&amp;hvdvcmdl=&amp;hvlocint=&amp;hvlocphy=9046887&amp;hvtargid=pla-420778815339&amp;mcid=5ea8ec56083f39b5893eccb5f18df06b&amp;th=1" xr:uid="{CDCA1941-EB8F-4EBD-B3C7-0C38CF3FBF46}"/>
    <hyperlink ref="R47" r:id="rId19" display="https://uk.rs-online.com/web/p/solder/2441549?cm_mmc=UK-PLA-DS3A-_-google-_-CSS_UK_EN_ePMax_Prio1-_--_-2441549&amp;matchtype=&amp;&amp;gad_source=1&amp;gclid=Cj0KCQjwjLGyBhCYARIsAPqTz1_Kdse32kgUi-JfLEizYuTEe5v8nuGEmWPcSroVo1MpBRH1-rxoc7oaAitBEALw_wcB&amp;gclsrc=aw.ds" xr:uid="{368A4145-F1FC-4271-938D-BAB14C9AF2AC}"/>
    <hyperlink ref="R59" r:id="rId20" display="https://www.screwfix.com/p/ced-insulation-tape-black-33m-x-19mm/122pm" xr:uid="{ECF4138E-FA99-4038-9C5C-FB8B91D187C9}"/>
    <hyperlink ref="R45" r:id="rId21" display="https://www.amazon.co.uk/ASHINER-Heat-Shrink-Tubing-User-Friendly-Multicolored/dp/B08XXGNJHG/ref=asc_df_B08XXGNJHG/?tag=googshopuk-21&amp;linkCode=df0&amp;hvadid=499306924014&amp;hvpos=&amp;hvnetw=g&amp;hvrand=9321289264635406776&amp;hvpone=&amp;hvptwo=&amp;hvqmt=&amp;hvdev=c&amp;hvdvcmdl=&amp;hvlocint=&amp;hvlocphy=9046887&amp;hvtargid=pla-1228160880141&amp;mcid=c4c55b2f0fd33c3891ae411112f1f810&amp;th=1" xr:uid="{AEABBAD0-6077-459D-ABAB-12028F8F09C0}"/>
    <hyperlink ref="R6" r:id="rId22" display="https://shop.wf-education.com/dnt/950-694.html" xr:uid="{D3858FB1-D3D4-4D0B-9F0E-B213A95FD772}"/>
    <hyperlink ref="R7" r:id="rId23" display="https://www.amazon.co.uk/dp/B09PVDDBWF?psc=1&amp;ref=ppx_yo2ov_dt_b_product_details" xr:uid="{F02BF5C4-1F90-48F6-876E-731B48F239B8}"/>
    <hyperlink ref="R25" r:id="rId24" display="https://www.3djake.uk/bigtreetech/stepper-motor-driver?sai=9877" xr:uid="{1ED4C31F-45AB-4A20-AD00-0504FAEAD844}"/>
    <hyperlink ref="R28" r:id="rId25" display="https://cpc.farnell.com/pro-power/pp002048/battery-holder-8x-aa-long-snap/dp/BT06499" xr:uid="{6B4BAA44-A74F-4B18-9E4C-3B048FAC1232}"/>
    <hyperlink ref="R27" r:id="rId26" display="https://www.amazon.co.uk/dp/B08734MSDD?psc=1&amp;ref=ppx_yo2ov_dt_b_product_details" xr:uid="{7F3A27E2-33B1-4DA4-AB05-930CEBF78894}"/>
    <hyperlink ref="R34" r:id="rId27" display="https://www.amazon.co.uk/dp/B0B56S4F1X?psc=1&amp;ref=ppx_yo2ov_dt_b_product_details" xr:uid="{ED6D19FB-B216-4BAF-9C1A-5C3C6C5DF032}"/>
    <hyperlink ref="R38" r:id="rId28" display="https://cpc.farnell.com/multicomp/mc000887/fuse-5x20mm-glass-quick-blow-6/dp/FF03079" xr:uid="{7C4FC744-C647-4745-A0E5-EBF4A187DC08}"/>
    <hyperlink ref="R37" r:id="rId29" display="https://cpc.farnell.com/pro-signal/psg-bb-400/breadboard-400-pin-white/dp/PC01770" xr:uid="{D48F3C7A-F5D1-46AE-AA64-88B31EFCFBDF}"/>
    <hyperlink ref="R40" r:id="rId30" display="https://cpc.farnell.com/multicomp/mc11wf031/fuse-holder-in-line-5x20mm/dp/FF03278" xr:uid="{9872449C-2390-409A-8CBA-3CC1B57E9CB7}"/>
    <hyperlink ref="R41" r:id="rId31" display="https://www.amazon.co.uk/dp/B01EV70C78?psc=1&amp;ref=ppx_yo2ov_dt_b_product_details" xr:uid="{6D5B8E59-5C66-4D97-AA99-D190692B107A}"/>
    <hyperlink ref="R52" r:id="rId32" display="https://www.amazon.co.uk/dp/B0BR4WQP4R?psc=1&amp;ref=ppx_yo2ov_dt_b_product_details" xr:uid="{E1F4C0A6-0370-4A78-A423-8E0C85494F24}"/>
    <hyperlink ref="R57" r:id="rId33" display="https://www.amazon.co.uk/dp/B0BR4WQP4R?psc=1&amp;ref=ppx_yo2ov_dt_b_product_details" xr:uid="{049B7DB1-3C03-498E-B679-042D61DE1088}"/>
    <hyperlink ref="R58" r:id="rId34" display="https://www.amazon.co.uk/dp/B0BR4WQP4R?psc=1&amp;ref=ppx_yo2ov_dt_b_product_details" xr:uid="{E5D042D5-711D-455C-BA3F-B7E60E679AA7}"/>
    <hyperlink ref="R48" r:id="rId35" display="https://thepihut.com/products/hook-up-wire-spool-set-22awg-stranded-core-10-x-25ft" xr:uid="{3DED1A35-CF9D-4C1B-B896-6E005EC9C8A1}"/>
    <hyperlink ref="R49" r:id="rId36" display="https://thepihut.com/products/prototyping-wire-spool-set" xr:uid="{033675CE-2699-4519-A546-0C7A8A104568}"/>
    <hyperlink ref="R50" r:id="rId37" xr:uid="{CE59CF64-092A-468E-AAC7-26201825EE6B}"/>
    <hyperlink ref="R39" r:id="rId38" xr:uid="{43869B78-7EA6-4EEC-B1E8-A807259DD98F}"/>
    <hyperlink ref="R56" r:id="rId39" display="https://www.amazon.co.uk/dp/B0BR4WQP4R?psc=1&amp;ref=ppx_yo2ov_dt_b_product_details" xr:uid="{6BF1DDA2-3760-4828-9F83-99EF4F546C7C}"/>
    <hyperlink ref="C66" r:id="rId40" xr:uid="{0FE3ECAE-DD60-4A9C-BE10-C7CC0E865DDE}"/>
    <hyperlink ref="R31" r:id="rId41" display="https://uk.rs-online.com/web/p/bbc-micro-bit-add-ons/2260167?searchId=5011204f-7990-4cec-8977-d2c376140beb&amp;gb=s" xr:uid="{D560A0F8-0A6B-4ACC-A5FF-C9DED76CD3BC}"/>
    <hyperlink ref="E66" r:id="rId42" xr:uid="{3DF135C5-62F9-4A2F-9398-007F194AECC7}"/>
    <hyperlink ref="R46" r:id="rId43" display="https://www.screwfix.com/p/loctite-hot-melt-glue-gun-sticks-6-pack/86731?tc=UB6" xr:uid="{CC0B5006-2851-403C-ADD9-CE5FD9551EA7}"/>
    <hyperlink ref="R53:R55" r:id="rId44" display="https://www.amazon.co.uk/dp/B0BR4WQP4R?psc=1&amp;ref=ppx_yo2ov_dt_b_product_details" xr:uid="{4ECCF7B5-D506-41E6-AC95-6BEBC9536513}"/>
    <hyperlink ref="R19" r:id="rId45" xr:uid="{C4883E72-93C7-496E-AF5B-080BAF018200}"/>
    <hyperlink ref="R54" r:id="rId46" display="https://boltworld.co.uk/products/m3-nyloc-nuts-stainless-steel-a4-316-din-985-type-t/" xr:uid="{89ADFE51-5F21-4711-9009-2A9CFCB62B86}"/>
  </hyperlinks>
  <pageMargins left="0.7" right="0.7" top="0.75" bottom="0.75" header="0.3" footer="0.3"/>
  <pageSetup paperSize="9" scale="48" fitToHeight="0" orientation="landscape" horizontalDpi="4294967293" r:id="rId4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E159B2A2BED4CBF44216BED96E174" ma:contentTypeVersion="16" ma:contentTypeDescription="Create a new document." ma:contentTypeScope="" ma:versionID="79b0dccea6271240274b92965c7ab17c">
  <xsd:schema xmlns:xsd="http://www.w3.org/2001/XMLSchema" xmlns:xs="http://www.w3.org/2001/XMLSchema" xmlns:p="http://schemas.microsoft.com/office/2006/metadata/properties" xmlns:ns2="d68fd8d5-b080-4ed3-a7e8-9e90a601cae7" xmlns:ns3="b6ad5b93-7bdd-4c29-96d2-06029b8580cc" targetNamespace="http://schemas.microsoft.com/office/2006/metadata/properties" ma:root="true" ma:fieldsID="95c5b61a6d66c108de0b15495e534766" ns2:_="" ns3:_="">
    <xsd:import namespace="d68fd8d5-b080-4ed3-a7e8-9e90a601cae7"/>
    <xsd:import namespace="b6ad5b93-7bdd-4c29-96d2-06029b8580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DCp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fd8d5-b080-4ed3-a7e8-9e90a601ca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54eff52-6b6d-4e5f-a3b0-187f185b1d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Cppt" ma:index="23" nillable="true" ma:displayName="DC ppt" ma:format="Dropdown" ma:internalName="DCpp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d5b93-7bdd-4c29-96d2-06029b8580c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5c5b5eb-082e-412f-a7d3-e4ccfc96e48f}" ma:internalName="TaxCatchAll" ma:showField="CatchAllData" ma:web="b6ad5b93-7bdd-4c29-96d2-06029b858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ad5b93-7bdd-4c29-96d2-06029b8580cc" xsi:nil="true"/>
    <lcf76f155ced4ddcb4097134ff3c332f xmlns="d68fd8d5-b080-4ed3-a7e8-9e90a601cae7">
      <Terms xmlns="http://schemas.microsoft.com/office/infopath/2007/PartnerControls"/>
    </lcf76f155ced4ddcb4097134ff3c332f>
    <DCppt xmlns="d68fd8d5-b080-4ed3-a7e8-9e90a601cae7" xsi:nil="true"/>
  </documentManagement>
</p:properties>
</file>

<file path=customXml/itemProps1.xml><?xml version="1.0" encoding="utf-8"?>
<ds:datastoreItem xmlns:ds="http://schemas.openxmlformats.org/officeDocument/2006/customXml" ds:itemID="{EFEFCAB7-EB2F-4CC5-961E-FD934B2556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fd8d5-b080-4ed3-a7e8-9e90a601cae7"/>
    <ds:schemaRef ds:uri="b6ad5b93-7bdd-4c29-96d2-06029b8580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926433-C6D5-4374-BA71-EF40E03D93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C39CA9-06BD-4F92-8AE2-78B60C9C3AEF}">
  <ds:schemaRefs>
    <ds:schemaRef ds:uri="http://schemas.microsoft.com/office/2006/metadata/properties"/>
    <ds:schemaRef ds:uri="http://schemas.microsoft.com/office/infopath/2007/PartnerControls"/>
    <ds:schemaRef ds:uri="b6ad5b93-7bdd-4c29-96d2-06029b8580cc"/>
    <ds:schemaRef ds:uri="d68fd8d5-b080-4ed3-a7e8-9e90a601ca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Bill of 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Gursager Singh Hardeep Singh</cp:lastModifiedBy>
  <cp:revision/>
  <cp:lastPrinted>2024-05-28T23:16:00Z</cp:lastPrinted>
  <dcterms:created xsi:type="dcterms:W3CDTF">2024-02-15T16:17:57Z</dcterms:created>
  <dcterms:modified xsi:type="dcterms:W3CDTF">2024-05-28T23:16:58Z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0x010100EA9E159B2A2BED4CBF44216BED96E174</vt:lpwstr>
  </property>
  <property fmtid="{D5CDD505-2E9C-101B-9397-08002B2CF9AE}" pid="3" name="MediaServiceImageTags">
    <vt:lpwstr/>
  </property>
</Properties>
</file>