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date1904="1"/>
  <mc:AlternateContent xmlns:mc="http://schemas.openxmlformats.org/markup-compatibility/2006">
    <mc:Choice Requires="x15">
      <x15ac:absPath xmlns:x15ac="http://schemas.microsoft.com/office/spreadsheetml/2010/11/ac" url="/Users/sheldonnnn/Documents/一些学习笔记/BusinessAnalysis/4Accounting_Analytics/W1_RatioAndForecasting/"/>
    </mc:Choice>
  </mc:AlternateContent>
  <xr:revisionPtr revIDLastSave="0" documentId="13_ncr:1_{4B2FCC90-87A0-E843-8941-5107C77B7E32}" xr6:coauthVersionLast="47" xr6:coauthVersionMax="47" xr10:uidLastSave="{00000000-0000-0000-0000-000000000000}"/>
  <bookViews>
    <workbookView xWindow="3860" yWindow="500" windowWidth="24500" windowHeight="17680" firstSheet="2" activeTab="5" xr2:uid="{00000000-000D-0000-FFFF-FFFF00000000}"/>
  </bookViews>
  <sheets>
    <sheet name="Original" sheetId="2" r:id="rId1"/>
    <sheet name="Ratios" sheetId="7" r:id="rId2"/>
    <sheet name="CommonSize" sheetId="12" r:id="rId3"/>
    <sheet name="Asssumptions" sheetId="14" r:id="rId4"/>
    <sheet name="ProFormas" sheetId="4" r:id="rId5"/>
    <sheet name="Valuation" sheetId="15" r:id="rId6"/>
  </sheets>
  <definedNames>
    <definedName name="_xlnm.Print_Area" localSheetId="0">Original!$A$1:$F$39</definedName>
    <definedName name="_xlnm.Print_Area" localSheetId="4">ProFormas!$A$1:$P$68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4" l="1"/>
  <c r="H42" i="4" s="1"/>
  <c r="I42" i="4" s="1"/>
  <c r="J42" i="4" s="1"/>
  <c r="K42" i="4" s="1"/>
  <c r="L42" i="4" s="1"/>
  <c r="M42" i="4" s="1"/>
  <c r="N42" i="4" s="1"/>
  <c r="O42" i="4" s="1"/>
  <c r="P42" i="4" s="1"/>
  <c r="G27" i="4"/>
  <c r="H27" i="4" s="1"/>
  <c r="I27" i="4" s="1"/>
  <c r="J27" i="4" s="1"/>
  <c r="K27" i="4" s="1"/>
  <c r="L27" i="4" s="1"/>
  <c r="M27" i="4" s="1"/>
  <c r="N27" i="4" s="1"/>
  <c r="O27" i="4" s="1"/>
  <c r="P27" i="4" s="1"/>
  <c r="R25" i="7" l="1"/>
  <c r="L25" i="7"/>
  <c r="G2" i="4" l="1"/>
  <c r="H2" i="4" s="1"/>
  <c r="G11" i="14"/>
  <c r="C51" i="7"/>
  <c r="D51" i="7"/>
  <c r="E51" i="7"/>
  <c r="G9" i="14" s="1"/>
  <c r="B51" i="7"/>
  <c r="C50" i="7"/>
  <c r="D50" i="7"/>
  <c r="E50" i="7"/>
  <c r="B50" i="7"/>
  <c r="R47" i="7"/>
  <c r="L47" i="7"/>
  <c r="R38" i="7"/>
  <c r="L38" i="7"/>
  <c r="R39" i="7"/>
  <c r="R43" i="7"/>
  <c r="R42" i="7"/>
  <c r="R41" i="7"/>
  <c r="R36" i="7"/>
  <c r="R35" i="7"/>
  <c r="R34" i="7"/>
  <c r="L39" i="7"/>
  <c r="L43" i="7"/>
  <c r="L42" i="7"/>
  <c r="L41" i="7"/>
  <c r="L36" i="7"/>
  <c r="L35" i="7"/>
  <c r="L34" i="7"/>
  <c r="Q30" i="7"/>
  <c r="P30" i="7"/>
  <c r="O30" i="7"/>
  <c r="N30" i="7"/>
  <c r="K30" i="7"/>
  <c r="J30" i="7"/>
  <c r="I30" i="7"/>
  <c r="H30" i="7"/>
  <c r="L30" i="7" s="1"/>
  <c r="R24" i="7"/>
  <c r="L24" i="7"/>
  <c r="R19" i="7"/>
  <c r="R18" i="7"/>
  <c r="L19" i="7"/>
  <c r="L18" i="7"/>
  <c r="C46" i="7"/>
  <c r="D46" i="7"/>
  <c r="E46" i="7"/>
  <c r="B46" i="7"/>
  <c r="C39" i="7"/>
  <c r="D39" i="7"/>
  <c r="E39" i="7"/>
  <c r="B39" i="7"/>
  <c r="C38" i="7"/>
  <c r="D38" i="7"/>
  <c r="E38" i="7"/>
  <c r="B38" i="7"/>
  <c r="C43" i="7"/>
  <c r="D43" i="7"/>
  <c r="E43" i="7"/>
  <c r="B43" i="7"/>
  <c r="C42" i="7"/>
  <c r="D42" i="7"/>
  <c r="E42" i="7"/>
  <c r="B42" i="7"/>
  <c r="C41" i="7"/>
  <c r="D41" i="7"/>
  <c r="E41" i="7"/>
  <c r="B41" i="7"/>
  <c r="C36" i="7"/>
  <c r="D36" i="7"/>
  <c r="E36" i="7"/>
  <c r="B36" i="7"/>
  <c r="C35" i="7"/>
  <c r="D35" i="7"/>
  <c r="E35" i="7"/>
  <c r="B35" i="7"/>
  <c r="E34" i="7"/>
  <c r="C34" i="7"/>
  <c r="D34" i="7"/>
  <c r="B34" i="7"/>
  <c r="C25" i="7"/>
  <c r="D25" i="7"/>
  <c r="E25" i="7"/>
  <c r="B25" i="7"/>
  <c r="C18" i="7"/>
  <c r="D18" i="7"/>
  <c r="E18" i="7"/>
  <c r="B18" i="7"/>
  <c r="C49" i="7"/>
  <c r="C24" i="7" s="1"/>
  <c r="C30" i="7" s="1"/>
  <c r="D49" i="7"/>
  <c r="D24" i="7" s="1"/>
  <c r="D30" i="7" s="1"/>
  <c r="E49" i="7"/>
  <c r="E24" i="7" s="1"/>
  <c r="E30" i="7" s="1"/>
  <c r="B49" i="7"/>
  <c r="B24" i="7" s="1"/>
  <c r="C23" i="7"/>
  <c r="C29" i="7" s="1"/>
  <c r="D23" i="7"/>
  <c r="D29" i="7" s="1"/>
  <c r="E23" i="7"/>
  <c r="E29" i="7" s="1"/>
  <c r="B23" i="7"/>
  <c r="D22" i="7"/>
  <c r="E22" i="7"/>
  <c r="C22" i="7"/>
  <c r="B22" i="7"/>
  <c r="D17" i="7"/>
  <c r="E17" i="7"/>
  <c r="C17" i="7"/>
  <c r="B17" i="7"/>
  <c r="C12" i="7"/>
  <c r="D12" i="7"/>
  <c r="E12" i="7"/>
  <c r="B12" i="7"/>
  <c r="C7" i="7"/>
  <c r="D7" i="7"/>
  <c r="E7" i="7"/>
  <c r="B7" i="7"/>
  <c r="C48" i="7"/>
  <c r="C11" i="7" s="1"/>
  <c r="D48" i="7"/>
  <c r="D11" i="7" s="1"/>
  <c r="E48" i="7"/>
  <c r="E11" i="7" s="1"/>
  <c r="B48" i="7"/>
  <c r="B11" i="7" s="1"/>
  <c r="F47" i="7"/>
  <c r="C19" i="7"/>
  <c r="D19" i="7"/>
  <c r="E19" i="7"/>
  <c r="B19" i="7"/>
  <c r="C4" i="7"/>
  <c r="D4" i="7"/>
  <c r="E4" i="7"/>
  <c r="B4" i="7"/>
  <c r="R30" i="7" l="1"/>
  <c r="F38" i="7"/>
  <c r="F51" i="7"/>
  <c r="F50" i="7"/>
  <c r="G8" i="14" s="1"/>
  <c r="F39" i="7"/>
  <c r="H1" i="4"/>
  <c r="I2" i="4"/>
  <c r="G1" i="4"/>
  <c r="F25" i="7"/>
  <c r="F34" i="7"/>
  <c r="F36" i="7"/>
  <c r="F42" i="7"/>
  <c r="F35" i="7"/>
  <c r="F41" i="7"/>
  <c r="F43" i="7"/>
  <c r="F18" i="7"/>
  <c r="E6" i="7"/>
  <c r="C6" i="7"/>
  <c r="C8" i="7"/>
  <c r="F24" i="7"/>
  <c r="B30" i="7"/>
  <c r="F30" i="7" s="1"/>
  <c r="B6" i="7"/>
  <c r="B8" i="7"/>
  <c r="E8" i="7"/>
  <c r="D6" i="7"/>
  <c r="D8" i="7"/>
  <c r="F19" i="7"/>
  <c r="B28" i="4"/>
  <c r="C28" i="4"/>
  <c r="D28" i="4"/>
  <c r="E28" i="4"/>
  <c r="B29" i="4"/>
  <c r="C29" i="4"/>
  <c r="D29" i="4"/>
  <c r="E29" i="4"/>
  <c r="B31" i="4"/>
  <c r="C31" i="4"/>
  <c r="D31" i="4"/>
  <c r="E31" i="4"/>
  <c r="B33" i="4"/>
  <c r="C33" i="4"/>
  <c r="D33" i="4"/>
  <c r="E33" i="4"/>
  <c r="B35" i="4"/>
  <c r="C35" i="4"/>
  <c r="D35" i="4"/>
  <c r="E35" i="4"/>
  <c r="B36" i="4"/>
  <c r="C36" i="4"/>
  <c r="D36" i="4"/>
  <c r="E36" i="4"/>
  <c r="B38" i="4"/>
  <c r="C38" i="4"/>
  <c r="D38" i="4"/>
  <c r="E38" i="4"/>
  <c r="B17" i="4"/>
  <c r="C17" i="4"/>
  <c r="D17" i="4"/>
  <c r="E17" i="4"/>
  <c r="B18" i="4"/>
  <c r="C18" i="4"/>
  <c r="D18" i="4"/>
  <c r="E18" i="4"/>
  <c r="B19" i="4"/>
  <c r="C19" i="4"/>
  <c r="D19" i="4"/>
  <c r="E19" i="4"/>
  <c r="B21" i="4"/>
  <c r="C21" i="4"/>
  <c r="D21" i="4"/>
  <c r="E21" i="4"/>
  <c r="B22" i="4"/>
  <c r="C22" i="4"/>
  <c r="D22" i="4"/>
  <c r="E22" i="4"/>
  <c r="B24" i="4"/>
  <c r="C24" i="4"/>
  <c r="D24" i="4"/>
  <c r="E24" i="4"/>
  <c r="B6" i="4"/>
  <c r="C6" i="4"/>
  <c r="D6" i="4"/>
  <c r="E6" i="4"/>
  <c r="B7" i="4"/>
  <c r="C7" i="4"/>
  <c r="D7" i="4"/>
  <c r="E7" i="4"/>
  <c r="B8" i="4"/>
  <c r="C8" i="4"/>
  <c r="D8" i="4"/>
  <c r="E8" i="4"/>
  <c r="B10" i="4"/>
  <c r="C10" i="4"/>
  <c r="D10" i="4"/>
  <c r="E10" i="4"/>
  <c r="B11" i="4"/>
  <c r="C11" i="4"/>
  <c r="D11" i="4"/>
  <c r="E11" i="4"/>
  <c r="B13" i="4"/>
  <c r="C13" i="4"/>
  <c r="D13" i="4"/>
  <c r="E13" i="4"/>
  <c r="B5" i="4"/>
  <c r="C5" i="4"/>
  <c r="D5" i="4"/>
  <c r="E5" i="4"/>
  <c r="F35" i="4"/>
  <c r="F38" i="4"/>
  <c r="F36" i="4"/>
  <c r="F33" i="4"/>
  <c r="F31" i="4"/>
  <c r="F29" i="4"/>
  <c r="F28" i="4"/>
  <c r="F112" i="4" s="1"/>
  <c r="F21" i="4"/>
  <c r="F24" i="4"/>
  <c r="F22" i="4"/>
  <c r="F19" i="4"/>
  <c r="F17" i="4"/>
  <c r="F18" i="4"/>
  <c r="F13" i="4"/>
  <c r="F11" i="4"/>
  <c r="F10" i="4"/>
  <c r="F8" i="4"/>
  <c r="F7" i="4"/>
  <c r="F6" i="4"/>
  <c r="F5" i="4"/>
  <c r="F116" i="4" l="1"/>
  <c r="F115" i="4"/>
  <c r="F91" i="4" s="1"/>
  <c r="F97" i="4" s="1"/>
  <c r="F85" i="4"/>
  <c r="F117" i="4"/>
  <c r="F106" i="4"/>
  <c r="F90" i="4"/>
  <c r="F96" i="4" s="1"/>
  <c r="F89" i="4"/>
  <c r="F95" i="4" s="1"/>
  <c r="F98" i="4" s="1"/>
  <c r="F83" i="4"/>
  <c r="I1" i="4"/>
  <c r="J2" i="4"/>
  <c r="E30" i="4"/>
  <c r="E32" i="4" s="1"/>
  <c r="E34" i="4" s="1"/>
  <c r="E37" i="4" s="1"/>
  <c r="E39" i="4" s="1"/>
  <c r="D30" i="4"/>
  <c r="D32" i="4" s="1"/>
  <c r="D34" i="4" s="1"/>
  <c r="D37" i="4" s="1"/>
  <c r="D39" i="4" s="1"/>
  <c r="C12" i="4"/>
  <c r="C30" i="4"/>
  <c r="C32" i="4" s="1"/>
  <c r="C34" i="4" s="1"/>
  <c r="C37" i="4" s="1"/>
  <c r="C39" i="4" s="1"/>
  <c r="B12" i="4"/>
  <c r="D9" i="4"/>
  <c r="B20" i="4"/>
  <c r="B23" i="4" s="1"/>
  <c r="B25" i="4" s="1"/>
  <c r="B30" i="4"/>
  <c r="B32" i="4" s="1"/>
  <c r="B34" i="4" s="1"/>
  <c r="B37" i="4" s="1"/>
  <c r="B39" i="4" s="1"/>
  <c r="E20" i="4"/>
  <c r="E23" i="4" s="1"/>
  <c r="E25" i="4" s="1"/>
  <c r="D20" i="4"/>
  <c r="D23" i="4" s="1"/>
  <c r="D25" i="4" s="1"/>
  <c r="E12" i="4"/>
  <c r="D12" i="4"/>
  <c r="E9" i="4"/>
  <c r="C9" i="4"/>
  <c r="B9" i="4"/>
  <c r="C20" i="4"/>
  <c r="C23" i="4" s="1"/>
  <c r="C25" i="4" s="1"/>
  <c r="B29" i="7"/>
  <c r="D28" i="12"/>
  <c r="E28" i="12"/>
  <c r="C30" i="12"/>
  <c r="D30" i="12"/>
  <c r="F30" i="12"/>
  <c r="F48" i="14"/>
  <c r="B13" i="12"/>
  <c r="F9" i="4"/>
  <c r="C55" i="15"/>
  <c r="F58" i="4"/>
  <c r="B35" i="12"/>
  <c r="C35" i="12"/>
  <c r="D35" i="12"/>
  <c r="E35" i="12"/>
  <c r="F35" i="12"/>
  <c r="E16" i="12"/>
  <c r="F50" i="4"/>
  <c r="F51" i="4"/>
  <c r="F53" i="4"/>
  <c r="F42" i="14"/>
  <c r="F43" i="14"/>
  <c r="F44" i="14"/>
  <c r="F50" i="14"/>
  <c r="G42" i="14"/>
  <c r="C41" i="15"/>
  <c r="D41" i="15" s="1"/>
  <c r="E41" i="15" s="1"/>
  <c r="F41" i="15" s="1"/>
  <c r="G41" i="15" s="1"/>
  <c r="H41" i="15" s="1"/>
  <c r="I41" i="15" s="1"/>
  <c r="J41" i="15" s="1"/>
  <c r="K41" i="15" s="1"/>
  <c r="M5" i="14"/>
  <c r="N5" i="14"/>
  <c r="O5" i="14"/>
  <c r="P5" i="14"/>
  <c r="D44" i="14"/>
  <c r="E44" i="14"/>
  <c r="D42" i="14"/>
  <c r="D43" i="14"/>
  <c r="E42" i="14"/>
  <c r="C43" i="14"/>
  <c r="E50" i="14"/>
  <c r="D50" i="14"/>
  <c r="C48" i="14"/>
  <c r="C50" i="14"/>
  <c r="F30" i="4"/>
  <c r="F46" i="4"/>
  <c r="D56" i="14"/>
  <c r="E54" i="14"/>
  <c r="E48" i="4"/>
  <c r="E49" i="4"/>
  <c r="D33" i="12"/>
  <c r="B4" i="12"/>
  <c r="G2" i="14"/>
  <c r="H2" i="14" s="1"/>
  <c r="I2" i="14" s="1"/>
  <c r="E20" i="12"/>
  <c r="N46" i="7"/>
  <c r="O46" i="7"/>
  <c r="P46" i="7"/>
  <c r="Q46" i="7"/>
  <c r="N23" i="7"/>
  <c r="O23" i="7"/>
  <c r="O29" i="7" s="1"/>
  <c r="P23" i="7"/>
  <c r="P29" i="7" s="1"/>
  <c r="Q23" i="7"/>
  <c r="Q29" i="7"/>
  <c r="N22" i="7"/>
  <c r="N28" i="7" s="1"/>
  <c r="O22" i="7"/>
  <c r="O28" i="7"/>
  <c r="P22" i="7"/>
  <c r="P28" i="7" s="1"/>
  <c r="P31" i="7" s="1"/>
  <c r="Q22" i="7"/>
  <c r="Q28" i="7" s="1"/>
  <c r="R17" i="7"/>
  <c r="R16" i="7"/>
  <c r="R15" i="7"/>
  <c r="R12" i="7"/>
  <c r="R11" i="7"/>
  <c r="R8" i="7"/>
  <c r="R7" i="7"/>
  <c r="Q6" i="7"/>
  <c r="R6" i="7"/>
  <c r="R4" i="7"/>
  <c r="H46" i="7"/>
  <c r="I46" i="7"/>
  <c r="J46" i="7"/>
  <c r="K46" i="7"/>
  <c r="H23" i="7"/>
  <c r="H29" i="7" s="1"/>
  <c r="I23" i="7"/>
  <c r="I29" i="7"/>
  <c r="J23" i="7"/>
  <c r="J29" i="7"/>
  <c r="K23" i="7"/>
  <c r="K29" i="7"/>
  <c r="H22" i="7"/>
  <c r="H28" i="7" s="1"/>
  <c r="I22" i="7"/>
  <c r="I28" i="7" s="1"/>
  <c r="J22" i="7"/>
  <c r="J28" i="7" s="1"/>
  <c r="K22" i="7"/>
  <c r="K28" i="7" s="1"/>
  <c r="L17" i="7"/>
  <c r="L16" i="7"/>
  <c r="K15" i="7"/>
  <c r="L15" i="7"/>
  <c r="L12" i="7"/>
  <c r="L11" i="7"/>
  <c r="L8" i="7"/>
  <c r="L7" i="7"/>
  <c r="L6" i="7"/>
  <c r="L4" i="7"/>
  <c r="C15" i="7"/>
  <c r="D15" i="7"/>
  <c r="E15" i="7"/>
  <c r="B16" i="7"/>
  <c r="C16" i="7"/>
  <c r="E16" i="7"/>
  <c r="B28" i="7"/>
  <c r="C28" i="7"/>
  <c r="C31" i="7" s="1"/>
  <c r="E28" i="7"/>
  <c r="E31" i="7" s="1"/>
  <c r="B8" i="12"/>
  <c r="E19" i="12"/>
  <c r="E22" i="12"/>
  <c r="E23" i="12"/>
  <c r="B27" i="12"/>
  <c r="C27" i="12"/>
  <c r="D27" i="12"/>
  <c r="E27" i="12"/>
  <c r="F27" i="12"/>
  <c r="D29" i="12"/>
  <c r="E29" i="12"/>
  <c r="F29" i="12"/>
  <c r="D31" i="12"/>
  <c r="F31" i="12"/>
  <c r="B32" i="12"/>
  <c r="C32" i="12"/>
  <c r="D32" i="12"/>
  <c r="E32" i="12"/>
  <c r="F32" i="12"/>
  <c r="B34" i="12"/>
  <c r="C34" i="12"/>
  <c r="D34" i="12"/>
  <c r="E34" i="12"/>
  <c r="F34" i="12"/>
  <c r="D36" i="12"/>
  <c r="B37" i="12"/>
  <c r="C37" i="12"/>
  <c r="D37" i="12"/>
  <c r="E37" i="12"/>
  <c r="F37" i="12"/>
  <c r="D68" i="4"/>
  <c r="C68" i="4"/>
  <c r="F20" i="4"/>
  <c r="F102" i="4" s="1"/>
  <c r="E51" i="4"/>
  <c r="E52" i="4"/>
  <c r="F52" i="4"/>
  <c r="E62" i="4"/>
  <c r="E53" i="4"/>
  <c r="D51" i="4"/>
  <c r="E47" i="4"/>
  <c r="D47" i="4"/>
  <c r="D48" i="4"/>
  <c r="D58" i="4"/>
  <c r="C47" i="4"/>
  <c r="C48" i="4"/>
  <c r="C49" i="4"/>
  <c r="C58" i="4"/>
  <c r="C45" i="4"/>
  <c r="C46" i="4"/>
  <c r="C52" i="4"/>
  <c r="C53" i="4"/>
  <c r="C62" i="4"/>
  <c r="D45" i="4"/>
  <c r="D46" i="4"/>
  <c r="D52" i="4"/>
  <c r="D62" i="4"/>
  <c r="E46" i="4"/>
  <c r="E50" i="4"/>
  <c r="F45" i="4"/>
  <c r="F48" i="4"/>
  <c r="F49" i="4"/>
  <c r="C42" i="14"/>
  <c r="C28" i="12"/>
  <c r="E56" i="14"/>
  <c r="F54" i="14"/>
  <c r="E43" i="14"/>
  <c r="E45" i="4"/>
  <c r="D38" i="12"/>
  <c r="F47" i="4"/>
  <c r="B10" i="12"/>
  <c r="B9" i="12"/>
  <c r="B12" i="12"/>
  <c r="B5" i="12"/>
  <c r="B11" i="12"/>
  <c r="E30" i="12"/>
  <c r="D16" i="7"/>
  <c r="B6" i="12"/>
  <c r="C54" i="14"/>
  <c r="E17" i="12"/>
  <c r="E18" i="12"/>
  <c r="E21" i="12"/>
  <c r="F12" i="12"/>
  <c r="G50" i="14"/>
  <c r="F9" i="12"/>
  <c r="B30" i="12"/>
  <c r="F28" i="12"/>
  <c r="F7" i="12"/>
  <c r="B7" i="12"/>
  <c r="B28" i="12"/>
  <c r="F5" i="12"/>
  <c r="F4" i="12"/>
  <c r="F8" i="12"/>
  <c r="F13" i="12"/>
  <c r="F6" i="12"/>
  <c r="B22" i="12"/>
  <c r="C22" i="12"/>
  <c r="C8" i="12"/>
  <c r="F33" i="12"/>
  <c r="E8" i="12"/>
  <c r="F10" i="12"/>
  <c r="E31" i="12"/>
  <c r="F11" i="12"/>
  <c r="D8" i="12"/>
  <c r="C29" i="12"/>
  <c r="B15" i="7"/>
  <c r="B29" i="12"/>
  <c r="C31" i="12"/>
  <c r="E33" i="12"/>
  <c r="B31" i="12"/>
  <c r="F22" i="12"/>
  <c r="D22" i="12"/>
  <c r="E5" i="12"/>
  <c r="E9" i="12"/>
  <c r="E11" i="12"/>
  <c r="E6" i="12"/>
  <c r="E13" i="12"/>
  <c r="E24" i="12"/>
  <c r="E10" i="12"/>
  <c r="E4" i="12"/>
  <c r="E7" i="12"/>
  <c r="E12" i="12"/>
  <c r="C9" i="12"/>
  <c r="C5" i="12"/>
  <c r="C11" i="12"/>
  <c r="C10" i="12"/>
  <c r="C7" i="12"/>
  <c r="C13" i="12"/>
  <c r="C12" i="12"/>
  <c r="C4" i="12"/>
  <c r="C6" i="12"/>
  <c r="F36" i="12"/>
  <c r="C18" i="12"/>
  <c r="C21" i="12"/>
  <c r="C17" i="12"/>
  <c r="C23" i="12"/>
  <c r="C24" i="12"/>
  <c r="C19" i="12"/>
  <c r="C16" i="12"/>
  <c r="C20" i="12"/>
  <c r="D10" i="12"/>
  <c r="D6" i="12"/>
  <c r="D7" i="12"/>
  <c r="D4" i="12"/>
  <c r="D12" i="12"/>
  <c r="D13" i="12"/>
  <c r="D9" i="12"/>
  <c r="D11" i="12"/>
  <c r="D5" i="12"/>
  <c r="B17" i="12"/>
  <c r="B20" i="12"/>
  <c r="B16" i="12"/>
  <c r="B19" i="12"/>
  <c r="B24" i="12"/>
  <c r="B18" i="12"/>
  <c r="B21" i="12"/>
  <c r="B23" i="12"/>
  <c r="F38" i="12"/>
  <c r="B33" i="12"/>
  <c r="D24" i="12"/>
  <c r="D16" i="12"/>
  <c r="D20" i="12"/>
  <c r="D23" i="12"/>
  <c r="D18" i="12"/>
  <c r="D21" i="12"/>
  <c r="D17" i="12"/>
  <c r="D19" i="12"/>
  <c r="E36" i="12"/>
  <c r="F18" i="12"/>
  <c r="F20" i="12"/>
  <c r="G26" i="14" s="1"/>
  <c r="H26" i="14" s="1"/>
  <c r="F21" i="12"/>
  <c r="F24" i="12"/>
  <c r="F17" i="12"/>
  <c r="F16" i="12"/>
  <c r="F19" i="12"/>
  <c r="F23" i="12"/>
  <c r="C33" i="12"/>
  <c r="B36" i="12"/>
  <c r="B38" i="12"/>
  <c r="E38" i="12"/>
  <c r="C36" i="12"/>
  <c r="C38" i="12"/>
  <c r="G1" i="14" l="1"/>
  <c r="L46" i="7"/>
  <c r="R23" i="7"/>
  <c r="N29" i="7"/>
  <c r="N31" i="7"/>
  <c r="R46" i="7"/>
  <c r="K31" i="7"/>
  <c r="J31" i="7"/>
  <c r="L28" i="7"/>
  <c r="H31" i="7"/>
  <c r="R28" i="7"/>
  <c r="Q31" i="7"/>
  <c r="O31" i="7"/>
  <c r="B31" i="7"/>
  <c r="I31" i="7"/>
  <c r="F32" i="4"/>
  <c r="F82" i="4"/>
  <c r="F101" i="4"/>
  <c r="C14" i="4"/>
  <c r="E14" i="4"/>
  <c r="J1" i="4"/>
  <c r="K2" i="4"/>
  <c r="J2" i="14"/>
  <c r="I1" i="14"/>
  <c r="H1" i="14"/>
  <c r="L22" i="7"/>
  <c r="R22" i="7"/>
  <c r="L23" i="7"/>
  <c r="R29" i="7"/>
  <c r="L29" i="7"/>
  <c r="G5" i="12"/>
  <c r="G15" i="14" s="1"/>
  <c r="H15" i="14" s="1"/>
  <c r="G23" i="12"/>
  <c r="B14" i="4"/>
  <c r="D14" i="4"/>
  <c r="G17" i="12"/>
  <c r="G24" i="14" s="1"/>
  <c r="H24" i="14" s="1"/>
  <c r="G7" i="12"/>
  <c r="G17" i="14" s="1"/>
  <c r="H17" i="14" s="1"/>
  <c r="I17" i="14" s="1"/>
  <c r="G31" i="12"/>
  <c r="F46" i="7"/>
  <c r="G5" i="14" s="1"/>
  <c r="G13" i="12"/>
  <c r="F8" i="7"/>
  <c r="H11" i="14"/>
  <c r="G29" i="12"/>
  <c r="G8" i="12"/>
  <c r="F15" i="7"/>
  <c r="G35" i="12"/>
  <c r="G10" i="14" s="1"/>
  <c r="G20" i="12"/>
  <c r="G10" i="12"/>
  <c r="G19" i="14" s="1"/>
  <c r="H19" i="14" s="1"/>
  <c r="G6" i="12"/>
  <c r="G16" i="14" s="1"/>
  <c r="H16" i="14" s="1"/>
  <c r="F29" i="7"/>
  <c r="F6" i="7"/>
  <c r="G36" i="12"/>
  <c r="G32" i="12"/>
  <c r="G4" i="12"/>
  <c r="G14" i="14" s="1"/>
  <c r="H14" i="14" s="1"/>
  <c r="F16" i="7"/>
  <c r="F23" i="7"/>
  <c r="F11" i="7"/>
  <c r="G34" i="12"/>
  <c r="E45" i="14"/>
  <c r="E49" i="14" s="1"/>
  <c r="D45" i="14"/>
  <c r="D49" i="14" s="1"/>
  <c r="F45" i="14"/>
  <c r="F49" i="14" s="1"/>
  <c r="F51" i="14" s="1"/>
  <c r="F57" i="4" s="1"/>
  <c r="F59" i="4" s="1"/>
  <c r="B43" i="15" s="1"/>
  <c r="F23" i="4"/>
  <c r="D44" i="4"/>
  <c r="D55" i="14"/>
  <c r="C13" i="15"/>
  <c r="B9" i="15"/>
  <c r="G54" i="14"/>
  <c r="F56" i="14"/>
  <c r="E55" i="14"/>
  <c r="E57" i="14" s="1"/>
  <c r="E44" i="4"/>
  <c r="E54" i="4" s="1"/>
  <c r="D63" i="4"/>
  <c r="D64" i="4" s="1"/>
  <c r="C51" i="4"/>
  <c r="C55" i="14"/>
  <c r="C63" i="4"/>
  <c r="C64" i="4" s="1"/>
  <c r="C44" i="4"/>
  <c r="C44" i="14"/>
  <c r="C45" i="14" s="1"/>
  <c r="D50" i="4"/>
  <c r="E63" i="4"/>
  <c r="E64" i="4" s="1"/>
  <c r="F68" i="4"/>
  <c r="D53" i="4"/>
  <c r="D54" i="14"/>
  <c r="E48" i="14"/>
  <c r="F12" i="4"/>
  <c r="F62" i="4"/>
  <c r="E58" i="4"/>
  <c r="C56" i="14"/>
  <c r="E68" i="4"/>
  <c r="D49" i="4"/>
  <c r="C50" i="4"/>
  <c r="D48" i="14"/>
  <c r="G24" i="12"/>
  <c r="I26" i="14"/>
  <c r="G33" i="12"/>
  <c r="G28" i="12"/>
  <c r="G6" i="14" s="1"/>
  <c r="G11" i="12"/>
  <c r="D28" i="7"/>
  <c r="F22" i="7"/>
  <c r="G22" i="12"/>
  <c r="G38" i="12"/>
  <c r="G37" i="12"/>
  <c r="G12" i="12"/>
  <c r="G20" i="14" s="1"/>
  <c r="F17" i="7"/>
  <c r="G19" i="12"/>
  <c r="G21" i="12"/>
  <c r="G27" i="14" s="1"/>
  <c r="G16" i="12"/>
  <c r="G23" i="14" s="1"/>
  <c r="G30" i="12"/>
  <c r="G7" i="14" s="1"/>
  <c r="G27" i="12"/>
  <c r="H9" i="14"/>
  <c r="F7" i="7"/>
  <c r="G9" i="12"/>
  <c r="G18" i="14" s="1"/>
  <c r="G18" i="12"/>
  <c r="G25" i="14" s="1"/>
  <c r="F12" i="7"/>
  <c r="G21" i="14" s="1"/>
  <c r="H21" i="14" s="1"/>
  <c r="R31" i="7" l="1"/>
  <c r="G28" i="4"/>
  <c r="H5" i="14"/>
  <c r="I5" i="14" s="1"/>
  <c r="J5" i="14" s="1"/>
  <c r="K5" i="14" s="1"/>
  <c r="L31" i="7"/>
  <c r="F25" i="4"/>
  <c r="F105" i="4"/>
  <c r="F14" i="4"/>
  <c r="F107" i="4" s="1"/>
  <c r="F92" i="4"/>
  <c r="F34" i="4"/>
  <c r="F109" i="4"/>
  <c r="L2" i="4"/>
  <c r="K1" i="4"/>
  <c r="J1" i="14"/>
  <c r="K2" i="14"/>
  <c r="F28" i="7"/>
  <c r="D31" i="7"/>
  <c r="F31" i="7" s="1"/>
  <c r="F4" i="7"/>
  <c r="H10" i="14"/>
  <c r="I10" i="14" s="1"/>
  <c r="C54" i="4"/>
  <c r="C57" i="14"/>
  <c r="D57" i="4"/>
  <c r="D59" i="4" s="1"/>
  <c r="D51" i="14"/>
  <c r="E57" i="4"/>
  <c r="E59" i="4" s="1"/>
  <c r="E66" i="4" s="1"/>
  <c r="E51" i="14"/>
  <c r="D57" i="14"/>
  <c r="D54" i="4"/>
  <c r="C49" i="14"/>
  <c r="C51" i="14" s="1"/>
  <c r="C57" i="4"/>
  <c r="C59" i="4" s="1"/>
  <c r="F34" i="14"/>
  <c r="H27" i="14"/>
  <c r="J26" i="14"/>
  <c r="I11" i="14"/>
  <c r="I9" i="14"/>
  <c r="I15" i="14"/>
  <c r="I19" i="14"/>
  <c r="H7" i="14"/>
  <c r="H6" i="14"/>
  <c r="I21" i="14"/>
  <c r="H25" i="14"/>
  <c r="H23" i="14"/>
  <c r="H8" i="14"/>
  <c r="I14" i="14"/>
  <c r="I24" i="14"/>
  <c r="H18" i="14"/>
  <c r="J17" i="14"/>
  <c r="H20" i="14"/>
  <c r="I16" i="14"/>
  <c r="F79" i="4" l="1"/>
  <c r="F74" i="4"/>
  <c r="G112" i="4"/>
  <c r="H28" i="4"/>
  <c r="H31" i="4" s="1"/>
  <c r="H83" i="4" s="1"/>
  <c r="G31" i="4"/>
  <c r="G83" i="4" s="1"/>
  <c r="G33" i="14"/>
  <c r="G34" i="14" s="1"/>
  <c r="G36" i="4"/>
  <c r="G46" i="4" s="1"/>
  <c r="G29" i="4"/>
  <c r="G30" i="4" s="1"/>
  <c r="G82" i="4" s="1"/>
  <c r="F37" i="4"/>
  <c r="F84" i="4"/>
  <c r="F37" i="14"/>
  <c r="M2" i="4"/>
  <c r="L1" i="4"/>
  <c r="L2" i="14"/>
  <c r="K1" i="14"/>
  <c r="D66" i="4"/>
  <c r="C66" i="4"/>
  <c r="J16" i="14"/>
  <c r="I25" i="14"/>
  <c r="I7" i="14"/>
  <c r="I20" i="14"/>
  <c r="J14" i="14"/>
  <c r="J21" i="14"/>
  <c r="J19" i="14"/>
  <c r="K26" i="14"/>
  <c r="J15" i="14"/>
  <c r="I27" i="14"/>
  <c r="K17" i="14"/>
  <c r="I8" i="14"/>
  <c r="J10" i="14"/>
  <c r="I6" i="14"/>
  <c r="I18" i="14"/>
  <c r="I23" i="14"/>
  <c r="J9" i="14"/>
  <c r="J24" i="14"/>
  <c r="J11" i="14"/>
  <c r="H29" i="4" l="1"/>
  <c r="H36" i="4"/>
  <c r="H46" i="4" s="1"/>
  <c r="G32" i="4"/>
  <c r="H112" i="4"/>
  <c r="I28" i="4"/>
  <c r="I29" i="4" s="1"/>
  <c r="H33" i="14"/>
  <c r="H34" i="14" s="1"/>
  <c r="H30" i="4"/>
  <c r="H82" i="4" s="1"/>
  <c r="F39" i="4"/>
  <c r="F86" i="4"/>
  <c r="N2" i="4"/>
  <c r="M1" i="4"/>
  <c r="M2" i="14"/>
  <c r="L1" i="14"/>
  <c r="K9" i="14"/>
  <c r="J23" i="14"/>
  <c r="J8" i="14"/>
  <c r="L26" i="14"/>
  <c r="J20" i="14"/>
  <c r="K11" i="14"/>
  <c r="K19" i="14"/>
  <c r="I31" i="4"/>
  <c r="I83" i="4" s="1"/>
  <c r="J7" i="14"/>
  <c r="K24" i="14"/>
  <c r="J18" i="14"/>
  <c r="L17" i="14"/>
  <c r="J6" i="14"/>
  <c r="K21" i="14"/>
  <c r="K15" i="14"/>
  <c r="J27" i="14"/>
  <c r="J25" i="14"/>
  <c r="K10" i="14"/>
  <c r="K14" i="14"/>
  <c r="K16" i="14"/>
  <c r="I112" i="4" l="1"/>
  <c r="I36" i="4"/>
  <c r="I46" i="4" s="1"/>
  <c r="J28" i="4"/>
  <c r="J31" i="4" s="1"/>
  <c r="J83" i="4" s="1"/>
  <c r="I33" i="14"/>
  <c r="I34" i="14" s="1"/>
  <c r="I30" i="4"/>
  <c r="I82" i="4" s="1"/>
  <c r="H32" i="4"/>
  <c r="F114" i="4"/>
  <c r="F75" i="4" s="1"/>
  <c r="F44" i="4"/>
  <c r="F54" i="4" s="1"/>
  <c r="F103" i="4" s="1"/>
  <c r="F55" i="14"/>
  <c r="F57" i="14" s="1"/>
  <c r="F63" i="4" s="1"/>
  <c r="F64" i="4" s="1"/>
  <c r="F71" i="4"/>
  <c r="O2" i="4"/>
  <c r="N1" i="4"/>
  <c r="M1" i="14"/>
  <c r="N2" i="14"/>
  <c r="L10" i="14"/>
  <c r="K18" i="14"/>
  <c r="L24" i="14"/>
  <c r="L9" i="14"/>
  <c r="K7" i="14"/>
  <c r="L16" i="14"/>
  <c r="K6" i="14"/>
  <c r="J29" i="4"/>
  <c r="M26" i="14"/>
  <c r="K27" i="14"/>
  <c r="M17" i="14"/>
  <c r="L19" i="14"/>
  <c r="K8" i="14"/>
  <c r="L14" i="14"/>
  <c r="L15" i="14"/>
  <c r="L11" i="14"/>
  <c r="K23" i="14"/>
  <c r="K25" i="14"/>
  <c r="L21" i="14"/>
  <c r="K20" i="14"/>
  <c r="F66" i="4" l="1"/>
  <c r="I32" i="4"/>
  <c r="J112" i="4"/>
  <c r="K28" i="4"/>
  <c r="K29" i="4" s="1"/>
  <c r="J33" i="14"/>
  <c r="J34" i="14" s="1"/>
  <c r="J36" i="4"/>
  <c r="J46" i="4" s="1"/>
  <c r="J30" i="4"/>
  <c r="J82" i="4" s="1"/>
  <c r="F73" i="4"/>
  <c r="F78" i="4"/>
  <c r="P2" i="4"/>
  <c r="P1" i="4" s="1"/>
  <c r="O1" i="4"/>
  <c r="O2" i="14"/>
  <c r="N1" i="14"/>
  <c r="L23" i="14"/>
  <c r="N26" i="14"/>
  <c r="M9" i="14"/>
  <c r="L20" i="14"/>
  <c r="M11" i="14"/>
  <c r="M19" i="14"/>
  <c r="M24" i="14"/>
  <c r="N17" i="14"/>
  <c r="M15" i="14"/>
  <c r="M16" i="14"/>
  <c r="L8" i="14"/>
  <c r="L6" i="14"/>
  <c r="M21" i="14"/>
  <c r="L25" i="14"/>
  <c r="M14" i="14"/>
  <c r="L18" i="14"/>
  <c r="L27" i="14"/>
  <c r="K31" i="4"/>
  <c r="K83" i="4" s="1"/>
  <c r="L7" i="14"/>
  <c r="M10" i="14"/>
  <c r="K112" i="4" l="1"/>
  <c r="K36" i="4"/>
  <c r="K46" i="4" s="1"/>
  <c r="K33" i="14"/>
  <c r="L28" i="4"/>
  <c r="K30" i="4"/>
  <c r="K82" i="4" s="1"/>
  <c r="J32" i="4"/>
  <c r="O1" i="14"/>
  <c r="P2" i="14"/>
  <c r="P1" i="14" s="1"/>
  <c r="M18" i="14"/>
  <c r="N15" i="14"/>
  <c r="N19" i="14"/>
  <c r="N10" i="14"/>
  <c r="N14" i="14"/>
  <c r="M8" i="14"/>
  <c r="O17" i="14"/>
  <c r="M7" i="14"/>
  <c r="M20" i="14"/>
  <c r="M25" i="14"/>
  <c r="N24" i="14"/>
  <c r="N21" i="14"/>
  <c r="N16" i="14"/>
  <c r="N9" i="14"/>
  <c r="M27" i="14"/>
  <c r="L29" i="4"/>
  <c r="M6" i="14"/>
  <c r="O26" i="14"/>
  <c r="N11" i="14"/>
  <c r="M23" i="14"/>
  <c r="L112" i="4" l="1"/>
  <c r="M28" i="4"/>
  <c r="L33" i="14"/>
  <c r="L36" i="4"/>
  <c r="L46" i="4" s="1"/>
  <c r="L31" i="4"/>
  <c r="L83" i="4" s="1"/>
  <c r="K34" i="14"/>
  <c r="K35" i="14"/>
  <c r="L30" i="4"/>
  <c r="L82" i="4" s="1"/>
  <c r="K32" i="4"/>
  <c r="M31" i="4"/>
  <c r="M83" i="4" s="1"/>
  <c r="N7" i="14"/>
  <c r="N27" i="14"/>
  <c r="P17" i="14"/>
  <c r="N23" i="14"/>
  <c r="N25" i="14"/>
  <c r="P26" i="14"/>
  <c r="O21" i="14"/>
  <c r="O10" i="14"/>
  <c r="O24" i="14"/>
  <c r="O19" i="14"/>
  <c r="N8" i="14"/>
  <c r="O9" i="14"/>
  <c r="O15" i="14"/>
  <c r="O11" i="14"/>
  <c r="N6" i="14"/>
  <c r="O16" i="14"/>
  <c r="N20" i="14"/>
  <c r="O14" i="14"/>
  <c r="N18" i="14"/>
  <c r="L32" i="4" l="1"/>
  <c r="L34" i="14"/>
  <c r="G36" i="14"/>
  <c r="G37" i="14" s="1"/>
  <c r="H36" i="14"/>
  <c r="K36" i="14"/>
  <c r="I36" i="14"/>
  <c r="J36" i="14"/>
  <c r="M112" i="4"/>
  <c r="M36" i="4"/>
  <c r="M46" i="4" s="1"/>
  <c r="M33" i="14"/>
  <c r="M34" i="14" s="1"/>
  <c r="N28" i="4"/>
  <c r="M29" i="4"/>
  <c r="M30" i="4"/>
  <c r="M82" i="4" s="1"/>
  <c r="P10" i="14"/>
  <c r="P14" i="14"/>
  <c r="P19" i="14"/>
  <c r="P15" i="14"/>
  <c r="O7" i="14"/>
  <c r="O6" i="14"/>
  <c r="N29" i="4"/>
  <c r="O8" i="14"/>
  <c r="O25" i="14"/>
  <c r="P11" i="14"/>
  <c r="O20" i="14"/>
  <c r="P21" i="14"/>
  <c r="P24" i="14"/>
  <c r="O27" i="14"/>
  <c r="P16" i="14"/>
  <c r="P9" i="14"/>
  <c r="O18" i="14"/>
  <c r="O23" i="14"/>
  <c r="N112" i="4" l="1"/>
  <c r="O28" i="4"/>
  <c r="O31" i="4" s="1"/>
  <c r="O83" i="4" s="1"/>
  <c r="N33" i="14"/>
  <c r="N34" i="14" s="1"/>
  <c r="N36" i="4"/>
  <c r="N46" i="4" s="1"/>
  <c r="N31" i="4"/>
  <c r="N83" i="4" s="1"/>
  <c r="G14" i="4"/>
  <c r="H37" i="14"/>
  <c r="G38" i="14"/>
  <c r="M32" i="4"/>
  <c r="N30" i="4"/>
  <c r="N82" i="4" s="1"/>
  <c r="P6" i="14"/>
  <c r="O29" i="4"/>
  <c r="P23" i="14"/>
  <c r="P20" i="14"/>
  <c r="P27" i="14"/>
  <c r="P8" i="14"/>
  <c r="P7" i="14"/>
  <c r="P18" i="14"/>
  <c r="P25" i="14"/>
  <c r="N32" i="4" l="1"/>
  <c r="G5" i="4"/>
  <c r="G10" i="4"/>
  <c r="G13" i="4"/>
  <c r="G58" i="4" s="1"/>
  <c r="G7" i="4"/>
  <c r="G19" i="4"/>
  <c r="G52" i="4" s="1"/>
  <c r="G8" i="4"/>
  <c r="G49" i="4" s="1"/>
  <c r="G18" i="4"/>
  <c r="G51" i="4" s="1"/>
  <c r="G22" i="4"/>
  <c r="G53" i="4" s="1"/>
  <c r="G6" i="4"/>
  <c r="G11" i="4"/>
  <c r="G21" i="4"/>
  <c r="G17" i="4"/>
  <c r="G79" i="4"/>
  <c r="P31" i="4"/>
  <c r="P83" i="4" s="1"/>
  <c r="O112" i="4"/>
  <c r="P28" i="4"/>
  <c r="P29" i="4" s="1"/>
  <c r="O36" i="4"/>
  <c r="O46" i="4" s="1"/>
  <c r="O33" i="14"/>
  <c r="O34" i="14" s="1"/>
  <c r="H14" i="4"/>
  <c r="H38" i="14"/>
  <c r="I37" i="14"/>
  <c r="O30" i="4"/>
  <c r="O82" i="4" s="1"/>
  <c r="P30" i="4" l="1"/>
  <c r="P82" i="4" s="1"/>
  <c r="H11" i="4"/>
  <c r="H19" i="4"/>
  <c r="H52" i="4" s="1"/>
  <c r="H22" i="4"/>
  <c r="H53" i="4" s="1"/>
  <c r="H13" i="4"/>
  <c r="H58" i="4" s="1"/>
  <c r="H17" i="4"/>
  <c r="H5" i="4"/>
  <c r="H8" i="4"/>
  <c r="H49" i="4" s="1"/>
  <c r="H7" i="4"/>
  <c r="H6" i="4"/>
  <c r="H47" i="4" s="1"/>
  <c r="H18" i="4"/>
  <c r="H51" i="4" s="1"/>
  <c r="H21" i="4"/>
  <c r="H79" i="4"/>
  <c r="H10" i="4"/>
  <c r="G50" i="4"/>
  <c r="G20" i="4"/>
  <c r="G48" i="4"/>
  <c r="G90" i="4"/>
  <c r="G96" i="4" s="1"/>
  <c r="G115" i="4"/>
  <c r="G91" i="4" s="1"/>
  <c r="G97" i="4" s="1"/>
  <c r="I14" i="4"/>
  <c r="J37" i="14"/>
  <c r="I38" i="14"/>
  <c r="G107" i="4"/>
  <c r="G62" i="4"/>
  <c r="G35" i="4"/>
  <c r="G33" i="4"/>
  <c r="G12" i="4"/>
  <c r="G92" i="4" s="1"/>
  <c r="H50" i="14"/>
  <c r="G48" i="14"/>
  <c r="P32" i="4"/>
  <c r="G47" i="4"/>
  <c r="H89" i="4"/>
  <c r="H95" i="4" s="1"/>
  <c r="G89" i="4"/>
  <c r="G95" i="4" s="1"/>
  <c r="G9" i="4"/>
  <c r="G68" i="4"/>
  <c r="H35" i="4"/>
  <c r="G44" i="14"/>
  <c r="H42" i="14"/>
  <c r="P112" i="4"/>
  <c r="P36" i="4"/>
  <c r="P46" i="4" s="1"/>
  <c r="P33" i="14"/>
  <c r="O32" i="4"/>
  <c r="G98" i="4" l="1"/>
  <c r="H48" i="4"/>
  <c r="H115" i="4"/>
  <c r="H91" i="4" s="1"/>
  <c r="H97" i="4" s="1"/>
  <c r="G23" i="4"/>
  <c r="G102" i="4"/>
  <c r="H68" i="4"/>
  <c r="H9" i="4"/>
  <c r="J38" i="14"/>
  <c r="K37" i="14"/>
  <c r="J14" i="4"/>
  <c r="H33" i="4"/>
  <c r="H48" i="14"/>
  <c r="H12" i="4"/>
  <c r="H92" i="4" s="1"/>
  <c r="I50" i="14"/>
  <c r="H20" i="4"/>
  <c r="H23" i="4" s="1"/>
  <c r="H50" i="4"/>
  <c r="H85" i="4"/>
  <c r="H117" i="4"/>
  <c r="H109" i="4"/>
  <c r="I79" i="4"/>
  <c r="I13" i="4"/>
  <c r="I58" i="4" s="1"/>
  <c r="I21" i="4"/>
  <c r="I35" i="4" s="1"/>
  <c r="I19" i="4"/>
  <c r="I52" i="4" s="1"/>
  <c r="I8" i="4"/>
  <c r="I49" i="4" s="1"/>
  <c r="I10" i="4"/>
  <c r="I22" i="4"/>
  <c r="I53" i="4" s="1"/>
  <c r="I6" i="4"/>
  <c r="I7" i="4"/>
  <c r="I17" i="4"/>
  <c r="I5" i="4"/>
  <c r="I18" i="4"/>
  <c r="I51" i="4" s="1"/>
  <c r="I11" i="4"/>
  <c r="H90" i="4"/>
  <c r="H96" i="4" s="1"/>
  <c r="H107" i="4"/>
  <c r="H62" i="4"/>
  <c r="J79" i="4"/>
  <c r="G101" i="4"/>
  <c r="G116" i="4"/>
  <c r="G34" i="4"/>
  <c r="G45" i="4"/>
  <c r="G43" i="14"/>
  <c r="G45" i="14" s="1"/>
  <c r="G49" i="14" s="1"/>
  <c r="G51" i="14" s="1"/>
  <c r="G57" i="4" s="1"/>
  <c r="G59" i="4" s="1"/>
  <c r="C43" i="15" s="1"/>
  <c r="P35" i="14"/>
  <c r="P34" i="14"/>
  <c r="G85" i="4"/>
  <c r="G117" i="4"/>
  <c r="G109" i="4"/>
  <c r="H44" i="14"/>
  <c r="I42" i="14"/>
  <c r="H98" i="4" l="1"/>
  <c r="H102" i="4"/>
  <c r="I85" i="4"/>
  <c r="I117" i="4"/>
  <c r="I109" i="4"/>
  <c r="I9" i="4"/>
  <c r="I68" i="4"/>
  <c r="M36" i="14"/>
  <c r="N36" i="14"/>
  <c r="L36" i="14"/>
  <c r="L37" i="14" s="1"/>
  <c r="O36" i="14"/>
  <c r="P36" i="14"/>
  <c r="I90" i="4"/>
  <c r="I96" i="4" s="1"/>
  <c r="I48" i="4"/>
  <c r="I115" i="4"/>
  <c r="I91" i="4" s="1"/>
  <c r="I97" i="4" s="1"/>
  <c r="I47" i="4"/>
  <c r="I89" i="4"/>
  <c r="I95" i="4" s="1"/>
  <c r="H116" i="4"/>
  <c r="H43" i="14"/>
  <c r="H45" i="14" s="1"/>
  <c r="H49" i="14" s="1"/>
  <c r="H51" i="14" s="1"/>
  <c r="H57" i="4" s="1"/>
  <c r="H59" i="4" s="1"/>
  <c r="D43" i="15" s="1"/>
  <c r="H34" i="4"/>
  <c r="H45" i="4"/>
  <c r="I62" i="4"/>
  <c r="I107" i="4"/>
  <c r="J11" i="4"/>
  <c r="J19" i="4"/>
  <c r="J52" i="4" s="1"/>
  <c r="J7" i="4"/>
  <c r="J17" i="4"/>
  <c r="J8" i="4"/>
  <c r="J49" i="4" s="1"/>
  <c r="J6" i="4"/>
  <c r="J21" i="4"/>
  <c r="J22" i="4"/>
  <c r="J53" i="4" s="1"/>
  <c r="J18" i="4"/>
  <c r="J51" i="4" s="1"/>
  <c r="J10" i="4"/>
  <c r="J13" i="4"/>
  <c r="J58" i="4" s="1"/>
  <c r="J5" i="4"/>
  <c r="I33" i="4"/>
  <c r="I12" i="4"/>
  <c r="I92" i="4" s="1"/>
  <c r="I48" i="14"/>
  <c r="J50" i="14"/>
  <c r="G37" i="4"/>
  <c r="G84" i="4"/>
  <c r="J42" i="14"/>
  <c r="I44" i="14"/>
  <c r="I50" i="4"/>
  <c r="I20" i="4"/>
  <c r="I23" i="4" s="1"/>
  <c r="I24" i="4" s="1"/>
  <c r="I106" i="4" s="1"/>
  <c r="G24" i="4"/>
  <c r="G25" i="4"/>
  <c r="G105" i="4"/>
  <c r="K38" i="14"/>
  <c r="K14" i="4"/>
  <c r="H24" i="4"/>
  <c r="H101" i="4"/>
  <c r="I56" i="14" l="1"/>
  <c r="I102" i="4"/>
  <c r="J48" i="14"/>
  <c r="J12" i="4"/>
  <c r="K50" i="14"/>
  <c r="J33" i="4"/>
  <c r="H56" i="14"/>
  <c r="I54" i="14"/>
  <c r="H25" i="4"/>
  <c r="D9" i="15"/>
  <c r="H106" i="4"/>
  <c r="I74" i="4"/>
  <c r="J62" i="4"/>
  <c r="J107" i="4"/>
  <c r="J92" i="4"/>
  <c r="I116" i="4"/>
  <c r="I45" i="4"/>
  <c r="I43" i="14"/>
  <c r="I45" i="14" s="1"/>
  <c r="I49" i="14" s="1"/>
  <c r="I51" i="14" s="1"/>
  <c r="I57" i="4" s="1"/>
  <c r="I59" i="4" s="1"/>
  <c r="E43" i="15" s="1"/>
  <c r="I34" i="4"/>
  <c r="J50" i="4"/>
  <c r="J20" i="4"/>
  <c r="J23" i="4" s="1"/>
  <c r="J24" i="4" s="1"/>
  <c r="J106" i="4" s="1"/>
  <c r="H84" i="4"/>
  <c r="H37" i="4"/>
  <c r="M37" i="14"/>
  <c r="L14" i="4"/>
  <c r="L38" i="14"/>
  <c r="J48" i="4"/>
  <c r="J115" i="4"/>
  <c r="J91" i="4" s="1"/>
  <c r="J97" i="4" s="1"/>
  <c r="J90" i="4"/>
  <c r="J96" i="4" s="1"/>
  <c r="I105" i="4"/>
  <c r="J44" i="14"/>
  <c r="K42" i="14"/>
  <c r="I98" i="4"/>
  <c r="I25" i="4"/>
  <c r="H105" i="4"/>
  <c r="J47" i="4"/>
  <c r="K21" i="4"/>
  <c r="K19" i="4"/>
  <c r="K52" i="4" s="1"/>
  <c r="K18" i="4"/>
  <c r="K51" i="4" s="1"/>
  <c r="K22" i="4"/>
  <c r="K53" i="4" s="1"/>
  <c r="K5" i="4"/>
  <c r="K13" i="4"/>
  <c r="K58" i="4" s="1"/>
  <c r="K10" i="4"/>
  <c r="K7" i="4"/>
  <c r="K8" i="4"/>
  <c r="K49" i="4" s="1"/>
  <c r="K6" i="4"/>
  <c r="K47" i="4" s="1"/>
  <c r="K79" i="4"/>
  <c r="K11" i="4"/>
  <c r="K17" i="4"/>
  <c r="J68" i="4"/>
  <c r="J9" i="4"/>
  <c r="I101" i="4"/>
  <c r="G38" i="4"/>
  <c r="G86" i="4" s="1"/>
  <c r="E9" i="15"/>
  <c r="J54" i="14"/>
  <c r="G106" i="4"/>
  <c r="G74" i="4"/>
  <c r="C9" i="15"/>
  <c r="H54" i="14"/>
  <c r="G56" i="14"/>
  <c r="H74" i="4"/>
  <c r="J35" i="4"/>
  <c r="J89" i="4"/>
  <c r="J95" i="4" s="1"/>
  <c r="K54" i="14"/>
  <c r="J101" i="4" l="1"/>
  <c r="J25" i="4"/>
  <c r="J56" i="14"/>
  <c r="F9" i="15"/>
  <c r="J102" i="4"/>
  <c r="J105" i="4"/>
  <c r="L7" i="4"/>
  <c r="L19" i="4"/>
  <c r="L52" i="4" s="1"/>
  <c r="L10" i="4"/>
  <c r="L8" i="4"/>
  <c r="L49" i="4" s="1"/>
  <c r="L11" i="4"/>
  <c r="L6" i="4"/>
  <c r="L21" i="4"/>
  <c r="L13" i="4"/>
  <c r="L58" i="4" s="1"/>
  <c r="L17" i="4"/>
  <c r="L18" i="4"/>
  <c r="L51" i="4" s="1"/>
  <c r="L5" i="4"/>
  <c r="L22" i="4"/>
  <c r="L53" i="4" s="1"/>
  <c r="L79" i="4"/>
  <c r="H38" i="4"/>
  <c r="H86" i="4" s="1"/>
  <c r="K35" i="4"/>
  <c r="K48" i="4"/>
  <c r="K115" i="4"/>
  <c r="K91" i="4" s="1"/>
  <c r="K97" i="4" s="1"/>
  <c r="L50" i="14"/>
  <c r="K12" i="4"/>
  <c r="K48" i="14"/>
  <c r="K33" i="4"/>
  <c r="K89" i="4"/>
  <c r="K95" i="4" s="1"/>
  <c r="J74" i="4"/>
  <c r="J85" i="4"/>
  <c r="J117" i="4"/>
  <c r="J109" i="4"/>
  <c r="K50" i="4"/>
  <c r="K20" i="4"/>
  <c r="K68" i="4"/>
  <c r="K9" i="4"/>
  <c r="K90" i="4"/>
  <c r="K96" i="4" s="1"/>
  <c r="I84" i="4"/>
  <c r="I37" i="4"/>
  <c r="N37" i="14"/>
  <c r="M14" i="4"/>
  <c r="M38" i="14"/>
  <c r="K62" i="4"/>
  <c r="K107" i="4"/>
  <c r="J116" i="4"/>
  <c r="J43" i="14"/>
  <c r="J45" i="14" s="1"/>
  <c r="J49" i="14" s="1"/>
  <c r="J51" i="14" s="1"/>
  <c r="J57" i="4" s="1"/>
  <c r="J59" i="4" s="1"/>
  <c r="F43" i="15" s="1"/>
  <c r="J45" i="4"/>
  <c r="J34" i="4"/>
  <c r="J98" i="4"/>
  <c r="G39" i="4"/>
  <c r="L42" i="14"/>
  <c r="K44" i="14"/>
  <c r="K98" i="4" l="1"/>
  <c r="L62" i="4"/>
  <c r="L107" i="4"/>
  <c r="K23" i="4"/>
  <c r="K102" i="4"/>
  <c r="K92" i="4"/>
  <c r="L9" i="4"/>
  <c r="L68" i="4"/>
  <c r="G71" i="4"/>
  <c r="G55" i="14"/>
  <c r="G57" i="14" s="1"/>
  <c r="G63" i="4" s="1"/>
  <c r="G44" i="4"/>
  <c r="G54" i="4" s="1"/>
  <c r="B8" i="15"/>
  <c r="B10" i="15" s="1"/>
  <c r="B11" i="15" s="1"/>
  <c r="G114" i="4"/>
  <c r="G75" i="4"/>
  <c r="L89" i="4"/>
  <c r="L95" i="4" s="1"/>
  <c r="L47" i="4"/>
  <c r="M42" i="14"/>
  <c r="L44" i="14"/>
  <c r="J37" i="4"/>
  <c r="J84" i="4"/>
  <c r="I38" i="4"/>
  <c r="I86" i="4" s="1"/>
  <c r="I39" i="4"/>
  <c r="K85" i="4"/>
  <c r="K117" i="4"/>
  <c r="K109" i="4"/>
  <c r="L50" i="4"/>
  <c r="L20" i="4"/>
  <c r="L23" i="4" s="1"/>
  <c r="L90" i="4"/>
  <c r="L96" i="4" s="1"/>
  <c r="L115" i="4"/>
  <c r="L91" i="4" s="1"/>
  <c r="L97" i="4" s="1"/>
  <c r="L48" i="4"/>
  <c r="K116" i="4"/>
  <c r="K45" i="4"/>
  <c r="K43" i="14"/>
  <c r="K45" i="14" s="1"/>
  <c r="K49" i="14" s="1"/>
  <c r="K51" i="14" s="1"/>
  <c r="K57" i="4" s="1"/>
  <c r="K59" i="4" s="1"/>
  <c r="G43" i="15" s="1"/>
  <c r="K34" i="4"/>
  <c r="M5" i="4"/>
  <c r="M22" i="4"/>
  <c r="M53" i="4" s="1"/>
  <c r="M17" i="4"/>
  <c r="M10" i="4"/>
  <c r="M33" i="4" s="1"/>
  <c r="M11" i="4"/>
  <c r="M18" i="4"/>
  <c r="M51" i="4" s="1"/>
  <c r="M7" i="4"/>
  <c r="M90" i="4" s="1"/>
  <c r="M96" i="4" s="1"/>
  <c r="M6" i="4"/>
  <c r="M47" i="4" s="1"/>
  <c r="M19" i="4"/>
  <c r="M52" i="4" s="1"/>
  <c r="M21" i="4"/>
  <c r="M13" i="4"/>
  <c r="M58" i="4" s="1"/>
  <c r="M8" i="4"/>
  <c r="M49" i="4" s="1"/>
  <c r="M79" i="4"/>
  <c r="O37" i="14"/>
  <c r="N14" i="4"/>
  <c r="N38" i="14"/>
  <c r="L33" i="4"/>
  <c r="L48" i="14"/>
  <c r="L12" i="4"/>
  <c r="L92" i="4" s="1"/>
  <c r="M50" i="14"/>
  <c r="K101" i="4"/>
  <c r="H39" i="4"/>
  <c r="L35" i="4"/>
  <c r="L102" i="4" l="1"/>
  <c r="M43" i="14"/>
  <c r="M45" i="4"/>
  <c r="M34" i="4"/>
  <c r="M84" i="4" s="1"/>
  <c r="L85" i="4"/>
  <c r="L117" i="4"/>
  <c r="L109" i="4"/>
  <c r="M62" i="4"/>
  <c r="M107" i="4"/>
  <c r="G78" i="4"/>
  <c r="G73" i="4"/>
  <c r="L24" i="4"/>
  <c r="L105" i="4" s="1"/>
  <c r="N79" i="4"/>
  <c r="N8" i="4"/>
  <c r="N49" i="4" s="1"/>
  <c r="N22" i="4"/>
  <c r="N53" i="4" s="1"/>
  <c r="N13" i="4"/>
  <c r="N58" i="4" s="1"/>
  <c r="N6" i="4"/>
  <c r="N21" i="4"/>
  <c r="N18" i="4"/>
  <c r="N51" i="4" s="1"/>
  <c r="N17" i="4"/>
  <c r="N5" i="4"/>
  <c r="N11" i="4"/>
  <c r="N7" i="4"/>
  <c r="N19" i="4"/>
  <c r="N52" i="4" s="1"/>
  <c r="N10" i="4"/>
  <c r="M115" i="4"/>
  <c r="M91" i="4" s="1"/>
  <c r="M97" i="4" s="1"/>
  <c r="M48" i="4"/>
  <c r="K24" i="4"/>
  <c r="K25" i="4"/>
  <c r="P37" i="14"/>
  <c r="O38" i="14"/>
  <c r="O14" i="4"/>
  <c r="H55" i="14"/>
  <c r="H57" i="14" s="1"/>
  <c r="H63" i="4" s="1"/>
  <c r="C8" i="15"/>
  <c r="C10" i="15" s="1"/>
  <c r="C11" i="15" s="1"/>
  <c r="H114" i="4"/>
  <c r="H71" i="4"/>
  <c r="H44" i="4"/>
  <c r="H54" i="4" s="1"/>
  <c r="L116" i="4"/>
  <c r="L45" i="4"/>
  <c r="L43" i="14"/>
  <c r="L45" i="14" s="1"/>
  <c r="L49" i="14" s="1"/>
  <c r="L51" i="14" s="1"/>
  <c r="L57" i="4" s="1"/>
  <c r="L59" i="4" s="1"/>
  <c r="H43" i="15" s="1"/>
  <c r="L34" i="4"/>
  <c r="M9" i="4"/>
  <c r="M68" i="4"/>
  <c r="G103" i="4"/>
  <c r="B42" i="15"/>
  <c r="B45" i="15" s="1"/>
  <c r="B46" i="15" s="1"/>
  <c r="M35" i="4"/>
  <c r="G64" i="4"/>
  <c r="G66" i="4" s="1"/>
  <c r="B26" i="15"/>
  <c r="B27" i="15" s="1"/>
  <c r="N35" i="4"/>
  <c r="M89" i="4"/>
  <c r="M95" i="4" s="1"/>
  <c r="N42" i="14"/>
  <c r="M44" i="14"/>
  <c r="M92" i="4"/>
  <c r="M20" i="4"/>
  <c r="M50" i="4"/>
  <c r="I114" i="4"/>
  <c r="I71" i="4"/>
  <c r="D8" i="15"/>
  <c r="D10" i="15" s="1"/>
  <c r="D11" i="15" s="1"/>
  <c r="I44" i="4"/>
  <c r="I54" i="4" s="1"/>
  <c r="I55" i="14"/>
  <c r="I57" i="14" s="1"/>
  <c r="I63" i="4" s="1"/>
  <c r="M45" i="14"/>
  <c r="M49" i="14" s="1"/>
  <c r="M51" i="14" s="1"/>
  <c r="M57" i="4" s="1"/>
  <c r="M59" i="4" s="1"/>
  <c r="I43" i="15" s="1"/>
  <c r="K37" i="4"/>
  <c r="K84" i="4"/>
  <c r="J38" i="4"/>
  <c r="J86" i="4" s="1"/>
  <c r="M116" i="4"/>
  <c r="M12" i="4"/>
  <c r="M48" i="14"/>
  <c r="N50" i="14"/>
  <c r="L98" i="4"/>
  <c r="L101" i="4"/>
  <c r="M37" i="4"/>
  <c r="M38" i="4" s="1"/>
  <c r="N85" i="4" l="1"/>
  <c r="N117" i="4"/>
  <c r="N109" i="4"/>
  <c r="I73" i="4"/>
  <c r="I78" i="4"/>
  <c r="O50" i="14"/>
  <c r="N33" i="4"/>
  <c r="N48" i="14"/>
  <c r="N12" i="4"/>
  <c r="M23" i="4"/>
  <c r="M102" i="4"/>
  <c r="N115" i="4"/>
  <c r="N91" i="4" s="1"/>
  <c r="N97" i="4" s="1"/>
  <c r="N48" i="4"/>
  <c r="O33" i="4"/>
  <c r="O45" i="4" s="1"/>
  <c r="I103" i="4"/>
  <c r="D42" i="15"/>
  <c r="D45" i="15" s="1"/>
  <c r="D46" i="15" s="1"/>
  <c r="K106" i="4"/>
  <c r="K56" i="14"/>
  <c r="K74" i="4"/>
  <c r="L54" i="14"/>
  <c r="G9" i="15"/>
  <c r="L74" i="4"/>
  <c r="O42" i="14"/>
  <c r="N44" i="14"/>
  <c r="L37" i="4"/>
  <c r="L84" i="4"/>
  <c r="O8" i="4"/>
  <c r="O49" i="4" s="1"/>
  <c r="O22" i="4"/>
  <c r="O53" i="4" s="1"/>
  <c r="O6" i="4"/>
  <c r="O13" i="4"/>
  <c r="O58" i="4" s="1"/>
  <c r="O7" i="4"/>
  <c r="O90" i="4" s="1"/>
  <c r="O96" i="4" s="1"/>
  <c r="O5" i="4"/>
  <c r="O11" i="4"/>
  <c r="O79" i="4"/>
  <c r="O19" i="4"/>
  <c r="O52" i="4" s="1"/>
  <c r="O10" i="4"/>
  <c r="O17" i="4"/>
  <c r="O18" i="4"/>
  <c r="O51" i="4" s="1"/>
  <c r="O21" i="4"/>
  <c r="N62" i="4"/>
  <c r="N107" i="4"/>
  <c r="K38" i="4"/>
  <c r="K86" i="4" s="1"/>
  <c r="N47" i="4"/>
  <c r="N89" i="4"/>
  <c r="N95" i="4" s="1"/>
  <c r="D26" i="15"/>
  <c r="D27" i="15" s="1"/>
  <c r="I64" i="4"/>
  <c r="I66" i="4" s="1"/>
  <c r="H103" i="4"/>
  <c r="C42" i="15"/>
  <c r="C45" i="15" s="1"/>
  <c r="C46" i="15" s="1"/>
  <c r="N92" i="4"/>
  <c r="I75" i="4"/>
  <c r="H75" i="4"/>
  <c r="H78" i="4"/>
  <c r="H73" i="4"/>
  <c r="K105" i="4"/>
  <c r="N9" i="4"/>
  <c r="N68" i="4"/>
  <c r="C26" i="15"/>
  <c r="C27" i="15" s="1"/>
  <c r="H64" i="4"/>
  <c r="H66" i="4" s="1"/>
  <c r="M85" i="4"/>
  <c r="M117" i="4"/>
  <c r="M109" i="4"/>
  <c r="P38" i="14"/>
  <c r="P14" i="4"/>
  <c r="P79" i="4" s="1"/>
  <c r="J39" i="4"/>
  <c r="M98" i="4"/>
  <c r="M101" i="4"/>
  <c r="N90" i="4"/>
  <c r="N96" i="4" s="1"/>
  <c r="N50" i="4"/>
  <c r="N20" i="4"/>
  <c r="L56" i="14"/>
  <c r="H9" i="15"/>
  <c r="M54" i="14"/>
  <c r="L25" i="4"/>
  <c r="L106" i="4"/>
  <c r="M39" i="4"/>
  <c r="M55" i="14" s="1"/>
  <c r="M86" i="4"/>
  <c r="K39" i="4" l="1"/>
  <c r="N101" i="4"/>
  <c r="N98" i="4"/>
  <c r="O89" i="4"/>
  <c r="O95" i="4" s="1"/>
  <c r="O47" i="4"/>
  <c r="N116" i="4"/>
  <c r="N43" i="14"/>
  <c r="N45" i="14" s="1"/>
  <c r="N49" i="14" s="1"/>
  <c r="N51" i="14" s="1"/>
  <c r="N57" i="4" s="1"/>
  <c r="N59" i="4" s="1"/>
  <c r="J43" i="15" s="1"/>
  <c r="N45" i="4"/>
  <c r="N34" i="4"/>
  <c r="M114" i="4"/>
  <c r="M75" i="4" s="1"/>
  <c r="J44" i="4"/>
  <c r="J54" i="4" s="1"/>
  <c r="J55" i="14"/>
  <c r="J57" i="14" s="1"/>
  <c r="J63" i="4" s="1"/>
  <c r="J71" i="4"/>
  <c r="J114" i="4"/>
  <c r="E8" i="15"/>
  <c r="E10" i="15" s="1"/>
  <c r="E11" i="15" s="1"/>
  <c r="P42" i="14"/>
  <c r="O44" i="14"/>
  <c r="L38" i="4"/>
  <c r="L86" i="4" s="1"/>
  <c r="O116" i="4"/>
  <c r="H8" i="15"/>
  <c r="H10" i="15" s="1"/>
  <c r="H11" i="15" s="1"/>
  <c r="P8" i="4"/>
  <c r="P49" i="4" s="1"/>
  <c r="P10" i="4"/>
  <c r="P11" i="4"/>
  <c r="P44" i="14" s="1"/>
  <c r="P6" i="4"/>
  <c r="P21" i="4"/>
  <c r="P13" i="4"/>
  <c r="P58" i="4" s="1"/>
  <c r="P19" i="4"/>
  <c r="P52" i="4" s="1"/>
  <c r="P7" i="4"/>
  <c r="P90" i="4" s="1"/>
  <c r="P96" i="4" s="1"/>
  <c r="P22" i="4"/>
  <c r="P53" i="4" s="1"/>
  <c r="P18" i="4"/>
  <c r="P51" i="4" s="1"/>
  <c r="P5" i="4"/>
  <c r="P17" i="4"/>
  <c r="O34" i="4"/>
  <c r="O84" i="4" s="1"/>
  <c r="M44" i="4"/>
  <c r="M54" i="4" s="1"/>
  <c r="M103" i="4" s="1"/>
  <c r="O9" i="4"/>
  <c r="O68" i="4"/>
  <c r="M24" i="4"/>
  <c r="M105" i="4"/>
  <c r="M25" i="4"/>
  <c r="O20" i="4"/>
  <c r="O50" i="4"/>
  <c r="O48" i="14"/>
  <c r="O12" i="4"/>
  <c r="O92" i="4" s="1"/>
  <c r="P50" i="14"/>
  <c r="F8" i="15"/>
  <c r="F10" i="15" s="1"/>
  <c r="F11" i="15" s="1"/>
  <c r="K71" i="4"/>
  <c r="K44" i="4"/>
  <c r="K54" i="4" s="1"/>
  <c r="K55" i="14"/>
  <c r="K57" i="14" s="1"/>
  <c r="K63" i="4" s="1"/>
  <c r="K114" i="4"/>
  <c r="O43" i="14"/>
  <c r="N23" i="4"/>
  <c r="N102" i="4"/>
  <c r="O35" i="4"/>
  <c r="O37" i="4" s="1"/>
  <c r="O38" i="4" s="1"/>
  <c r="O107" i="4"/>
  <c r="O62" i="4"/>
  <c r="O48" i="4"/>
  <c r="O115" i="4"/>
  <c r="O91" i="4" s="1"/>
  <c r="O97" i="4" s="1"/>
  <c r="M73" i="4"/>
  <c r="M78" i="4"/>
  <c r="H42" i="15"/>
  <c r="H45" i="15" s="1"/>
  <c r="H46" i="15" s="1"/>
  <c r="L39" i="4" l="1"/>
  <c r="O101" i="4"/>
  <c r="O45" i="14"/>
  <c r="O49" i="14" s="1"/>
  <c r="O51" i="14" s="1"/>
  <c r="O57" i="4" s="1"/>
  <c r="O59" i="4" s="1"/>
  <c r="K43" i="15" s="1"/>
  <c r="P9" i="4"/>
  <c r="P68" i="4"/>
  <c r="P48" i="14"/>
  <c r="P12" i="4"/>
  <c r="P92" i="4" s="1"/>
  <c r="N54" i="14"/>
  <c r="M74" i="4"/>
  <c r="M106" i="4"/>
  <c r="M56" i="14"/>
  <c r="M57" i="14" s="1"/>
  <c r="M63" i="4" s="1"/>
  <c r="I9" i="15"/>
  <c r="J75" i="4"/>
  <c r="J78" i="4"/>
  <c r="J73" i="4"/>
  <c r="G8" i="15"/>
  <c r="G10" i="15" s="1"/>
  <c r="G11" i="15" s="1"/>
  <c r="L114" i="4"/>
  <c r="L55" i="14"/>
  <c r="L57" i="14" s="1"/>
  <c r="L63" i="4" s="1"/>
  <c r="L71" i="4"/>
  <c r="L44" i="4"/>
  <c r="L54" i="4" s="1"/>
  <c r="J103" i="4"/>
  <c r="E42" i="15"/>
  <c r="E45" i="15" s="1"/>
  <c r="E46" i="15" s="1"/>
  <c r="P115" i="4"/>
  <c r="P91" i="4" s="1"/>
  <c r="P97" i="4" s="1"/>
  <c r="P48" i="4"/>
  <c r="K75" i="4"/>
  <c r="K73" i="4"/>
  <c r="K78" i="4"/>
  <c r="E26" i="15"/>
  <c r="E27" i="15" s="1"/>
  <c r="J64" i="4"/>
  <c r="J66" i="4" s="1"/>
  <c r="F26" i="15"/>
  <c r="F27" i="15" s="1"/>
  <c r="K64" i="4"/>
  <c r="K66" i="4" s="1"/>
  <c r="M71" i="4"/>
  <c r="K103" i="4"/>
  <c r="F42" i="15"/>
  <c r="F45" i="15" s="1"/>
  <c r="F46" i="15" s="1"/>
  <c r="P62" i="4"/>
  <c r="P35" i="4"/>
  <c r="P107" i="4"/>
  <c r="P33" i="4"/>
  <c r="O85" i="4"/>
  <c r="O117" i="4"/>
  <c r="O109" i="4"/>
  <c r="N24" i="4"/>
  <c r="N74" i="4" s="1"/>
  <c r="O98" i="4"/>
  <c r="O23" i="4"/>
  <c r="O102" i="4"/>
  <c r="P20" i="4"/>
  <c r="P23" i="4" s="1"/>
  <c r="P50" i="4"/>
  <c r="P47" i="4"/>
  <c r="P89" i="4"/>
  <c r="P95" i="4" s="1"/>
  <c r="N37" i="4"/>
  <c r="N84" i="4"/>
  <c r="O39" i="4"/>
  <c r="J8" i="15" s="1"/>
  <c r="O86" i="4"/>
  <c r="O114" i="4"/>
  <c r="O55" i="14"/>
  <c r="H26" i="15" l="1"/>
  <c r="H27" i="15" s="1"/>
  <c r="M64" i="4"/>
  <c r="M66" i="4" s="1"/>
  <c r="O44" i="4"/>
  <c r="O54" i="4" s="1"/>
  <c r="O103" i="4" s="1"/>
  <c r="P85" i="4"/>
  <c r="P117" i="4"/>
  <c r="P109" i="4"/>
  <c r="L103" i="4"/>
  <c r="G42" i="15"/>
  <c r="G45" i="15" s="1"/>
  <c r="G46" i="15" s="1"/>
  <c r="N106" i="4"/>
  <c r="O54" i="14"/>
  <c r="J9" i="15"/>
  <c r="J10" i="15" s="1"/>
  <c r="J11" i="15" s="1"/>
  <c r="N56" i="14"/>
  <c r="O74" i="4"/>
  <c r="L64" i="4"/>
  <c r="L66" i="4" s="1"/>
  <c r="G26" i="15"/>
  <c r="G27" i="15" s="1"/>
  <c r="P24" i="4"/>
  <c r="L75" i="4"/>
  <c r="L78" i="4"/>
  <c r="L73" i="4"/>
  <c r="O24" i="4"/>
  <c r="O71" i="4" s="1"/>
  <c r="P102" i="4"/>
  <c r="P116" i="4"/>
  <c r="P43" i="14"/>
  <c r="P45" i="14" s="1"/>
  <c r="P49" i="14" s="1"/>
  <c r="P51" i="14" s="1"/>
  <c r="P57" i="4" s="1"/>
  <c r="P59" i="4" s="1"/>
  <c r="P45" i="4"/>
  <c r="P34" i="4"/>
  <c r="N38" i="4"/>
  <c r="N86" i="4" s="1"/>
  <c r="N39" i="4"/>
  <c r="P98" i="4"/>
  <c r="N25" i="4"/>
  <c r="N105" i="4"/>
  <c r="P101" i="4"/>
  <c r="O78" i="4"/>
  <c r="O73" i="4"/>
  <c r="O75" i="4"/>
  <c r="P106" i="4" l="1"/>
  <c r="P56" i="14"/>
  <c r="P37" i="4"/>
  <c r="P84" i="4"/>
  <c r="P105" i="4"/>
  <c r="O106" i="4"/>
  <c r="K9" i="15"/>
  <c r="P54" i="14"/>
  <c r="O56" i="14"/>
  <c r="O57" i="14" s="1"/>
  <c r="O63" i="4" s="1"/>
  <c r="P74" i="4"/>
  <c r="P25" i="4"/>
  <c r="J42" i="15"/>
  <c r="J45" i="15" s="1"/>
  <c r="J46" i="15" s="1"/>
  <c r="N114" i="4"/>
  <c r="N71" i="4"/>
  <c r="I8" i="15"/>
  <c r="I10" i="15" s="1"/>
  <c r="I11" i="15" s="1"/>
  <c r="N44" i="4"/>
  <c r="N54" i="4" s="1"/>
  <c r="N55" i="14"/>
  <c r="N57" i="14" s="1"/>
  <c r="N63" i="4" s="1"/>
  <c r="O25" i="4"/>
  <c r="O105" i="4"/>
  <c r="J26" i="15" l="1"/>
  <c r="J27" i="15" s="1"/>
  <c r="O64" i="4"/>
  <c r="O66" i="4" s="1"/>
  <c r="N75" i="4"/>
  <c r="N73" i="4"/>
  <c r="N78" i="4"/>
  <c r="I26" i="15"/>
  <c r="I27" i="15" s="1"/>
  <c r="N64" i="4"/>
  <c r="N66" i="4" s="1"/>
  <c r="P38" i="4"/>
  <c r="P86" i="4" s="1"/>
  <c r="N103" i="4"/>
  <c r="I42" i="15"/>
  <c r="I45" i="15" s="1"/>
  <c r="I46" i="15" s="1"/>
  <c r="P39" i="4" l="1"/>
  <c r="P71" i="4"/>
  <c r="P44" i="4"/>
  <c r="P54" i="4" s="1"/>
  <c r="P114" i="4"/>
  <c r="K8" i="15"/>
  <c r="K10" i="15" s="1"/>
  <c r="P55" i="14"/>
  <c r="P57" i="14" s="1"/>
  <c r="P63" i="4" s="1"/>
  <c r="P73" i="4" l="1"/>
  <c r="P78" i="4"/>
  <c r="P103" i="4"/>
  <c r="K42" i="15"/>
  <c r="K45" i="15" s="1"/>
  <c r="P64" i="4"/>
  <c r="P66" i="4" s="1"/>
  <c r="K26" i="15"/>
  <c r="K11" i="15"/>
  <c r="C14" i="15" s="1"/>
  <c r="B17" i="15"/>
  <c r="B16" i="15"/>
  <c r="P75" i="4"/>
  <c r="K27" i="15" l="1"/>
  <c r="C29" i="15" s="1"/>
  <c r="B31" i="15"/>
  <c r="B32" i="15"/>
  <c r="K46" i="15"/>
  <c r="C48" i="15" s="1"/>
  <c r="B51" i="15"/>
  <c r="B50" i="15"/>
  <c r="B52" i="15" s="1"/>
  <c r="B18" i="15"/>
  <c r="C19" i="15" s="1"/>
  <c r="C20" i="15" s="1"/>
  <c r="C22" i="15" s="1"/>
  <c r="C53" i="15" l="1"/>
  <c r="C54" i="15" s="1"/>
  <c r="C56" i="15" s="1"/>
  <c r="C58" i="15" s="1"/>
  <c r="B33" i="15"/>
  <c r="C34" i="15" l="1"/>
  <c r="C35" i="15" s="1"/>
  <c r="C37" i="15" s="1"/>
</calcChain>
</file>

<file path=xl/sharedStrings.xml><?xml version="1.0" encoding="utf-8"?>
<sst xmlns="http://schemas.openxmlformats.org/spreadsheetml/2006/main" count="399" uniqueCount="220">
  <si>
    <t>ASSETS</t>
  </si>
  <si>
    <t>Inventory</t>
  </si>
  <si>
    <t>Accumulated depreciation</t>
  </si>
  <si>
    <t>LIABILITIES &amp; EQUITY</t>
  </si>
  <si>
    <t>Sales</t>
  </si>
  <si>
    <t>Cost of goods sold</t>
  </si>
  <si>
    <t>Avg</t>
  </si>
  <si>
    <t>Sales growth</t>
  </si>
  <si>
    <t>Projected Fin Stmts</t>
  </si>
  <si>
    <t>Historical average ratio of account / TA (common size BS)</t>
  </si>
  <si>
    <t>Plug (TA - TL)</t>
  </si>
  <si>
    <t>Historical average ratio of cgs / sales (common size IS)</t>
  </si>
  <si>
    <t>Calculation of smoothed total assets</t>
  </si>
  <si>
    <t>Average total assets (initial est)</t>
  </si>
  <si>
    <t>Ending total assets (initial est)</t>
  </si>
  <si>
    <t>Growth rate in total assets</t>
  </si>
  <si>
    <t>Ending total assets (final est)</t>
  </si>
  <si>
    <t>Average total assets (final est)</t>
  </si>
  <si>
    <t>Operations</t>
  </si>
  <si>
    <t>Investing</t>
  </si>
  <si>
    <t>Financing</t>
  </si>
  <si>
    <t>Dividends</t>
  </si>
  <si>
    <t>Change in cash (BS)</t>
  </si>
  <si>
    <t>Valuation Analysis</t>
  </si>
  <si>
    <t>Discount rate</t>
  </si>
  <si>
    <t>Residual Income Valuation Model</t>
  </si>
  <si>
    <t>Actual earnings</t>
  </si>
  <si>
    <t>Abnormal earnings</t>
  </si>
  <si>
    <t>PV of AE during forecast period</t>
  </si>
  <si>
    <t>Terminal value:</t>
  </si>
  <si>
    <t>Dividend Valuation Model</t>
  </si>
  <si>
    <t>PV of divs during forecast period</t>
  </si>
  <si>
    <t>PV of dividends in arrears</t>
  </si>
  <si>
    <t>Historical avg. ratio of sg&amp;a / sales (common size IS)</t>
  </si>
  <si>
    <t>Historical avg. depreciation rate of avg. gross pp&amp;e</t>
  </si>
  <si>
    <t xml:space="preserve"> </t>
  </si>
  <si>
    <t>Estimated value per share</t>
  </si>
  <si>
    <t>SG&amp;A as % of Sales</t>
  </si>
  <si>
    <t xml:space="preserve">    Base AE for terminal growth</t>
  </si>
  <si>
    <t xml:space="preserve">    Terminal growth rate for AE</t>
  </si>
  <si>
    <t xml:space="preserve">    Base dividend for terminal growth</t>
  </si>
  <si>
    <t xml:space="preserve">    Terminal dividend growth rate</t>
  </si>
  <si>
    <t>Historical avg. growth for 5 years, then industry avg.</t>
  </si>
  <si>
    <t>Return on Assets</t>
  </si>
  <si>
    <t>Profitability</t>
  </si>
  <si>
    <t>Operating Margin</t>
  </si>
  <si>
    <t>Days Receivables</t>
  </si>
  <si>
    <t>Inventory Turnover</t>
  </si>
  <si>
    <t>Days Inventory</t>
  </si>
  <si>
    <t>Sales Growth</t>
  </si>
  <si>
    <t>Sales per Square Foot</t>
  </si>
  <si>
    <t>Other Ratios</t>
  </si>
  <si>
    <t>Weighted Avg Interest Rate</t>
  </si>
  <si>
    <t>I/S Projection Assumptions</t>
  </si>
  <si>
    <t>B/S Projection Assumptions</t>
  </si>
  <si>
    <t>Assumptions for Projected Fin Stmts</t>
  </si>
  <si>
    <t>Gross PP&amp;E</t>
  </si>
  <si>
    <t>Total asset turnover</t>
  </si>
  <si>
    <t xml:space="preserve">Total equities </t>
  </si>
  <si>
    <t>INCOME STATEMENT</t>
  </si>
  <si>
    <t>Accumulated Depreciation</t>
  </si>
  <si>
    <t>STATEMENT OF CASH FLOWS</t>
  </si>
  <si>
    <t>SELECTED RATIOS</t>
  </si>
  <si>
    <t>Supplemental Calculations</t>
  </si>
  <si>
    <t>Beginning balance</t>
  </si>
  <si>
    <t>Retirements (plug)</t>
  </si>
  <si>
    <t>+ Depreciation expense</t>
  </si>
  <si>
    <t>- Ending balance</t>
  </si>
  <si>
    <t>Net Purchases (plug)</t>
  </si>
  <si>
    <t>Ending balance</t>
  </si>
  <si>
    <t>- Beginning balance</t>
  </si>
  <si>
    <t>+ Retirements</t>
  </si>
  <si>
    <t>Dividends and Repurchases (net of stock issues)</t>
  </si>
  <si>
    <t>+ Net Income</t>
  </si>
  <si>
    <t>Expected earnings (r * SE)</t>
  </si>
  <si>
    <t>Operating Cash Flow</t>
  </si>
  <si>
    <t>Investing Cash Flow</t>
  </si>
  <si>
    <t>Free Cash Flow</t>
  </si>
  <si>
    <t>Free Cash Flow Valuation</t>
  </si>
  <si>
    <t>Initial financial assets</t>
  </si>
  <si>
    <t>Estimated value of equity</t>
  </si>
  <si>
    <t>PV of FCF during forecast period</t>
  </si>
  <si>
    <t xml:space="preserve">    Base FCF for terminal growth</t>
  </si>
  <si>
    <t>PV of FCF in arrears</t>
  </si>
  <si>
    <t>Cash and Equivalents</t>
  </si>
  <si>
    <t>Accounts Receivable, Net</t>
  </si>
  <si>
    <t>Other Current Liabilities</t>
  </si>
  <si>
    <t>Other Current Assets</t>
  </si>
  <si>
    <t>Accounts Payable</t>
  </si>
  <si>
    <t>Taxes Payable</t>
  </si>
  <si>
    <t>Long-term Debt</t>
  </si>
  <si>
    <t>Other Liabilities</t>
  </si>
  <si>
    <t>Total Stockholder's Equity</t>
  </si>
  <si>
    <t>Cost of Goods Sold</t>
  </si>
  <si>
    <t>Selling, General, and Admin Exp</t>
  </si>
  <si>
    <t>Depreciation and Amortization</t>
  </si>
  <si>
    <t>Interest Expense</t>
  </si>
  <si>
    <t>Other Gains and Losses</t>
  </si>
  <si>
    <t>Income Tax Expense</t>
  </si>
  <si>
    <t xml:space="preserve">  Total Current Assets</t>
  </si>
  <si>
    <t xml:space="preserve">  Net PP&amp;E</t>
  </si>
  <si>
    <t xml:space="preserve">  Total Assets</t>
  </si>
  <si>
    <t xml:space="preserve">  Total Current Liabilities</t>
  </si>
  <si>
    <t xml:space="preserve">  Total Liabilities</t>
  </si>
  <si>
    <t xml:space="preserve">  Total Liabilities and Equity</t>
  </si>
  <si>
    <t xml:space="preserve">  Gross Profit</t>
  </si>
  <si>
    <t xml:space="preserve">  Operating Income before Depr</t>
  </si>
  <si>
    <t xml:space="preserve">  Operating Profit</t>
  </si>
  <si>
    <t xml:space="preserve">  Pretax Income</t>
  </si>
  <si>
    <t xml:space="preserve">  Net Income</t>
  </si>
  <si>
    <t>Statement of Cash Flows</t>
  </si>
  <si>
    <t>Income Statement</t>
  </si>
  <si>
    <t>Balance Sheet</t>
  </si>
  <si>
    <t>Net Income</t>
  </si>
  <si>
    <t>Chg. in Accounts Receivable, Net</t>
  </si>
  <si>
    <t>Chg. in Inventory</t>
  </si>
  <si>
    <t>Chg. in Other Current Assets</t>
  </si>
  <si>
    <t>Chg. in Accounts Payable</t>
  </si>
  <si>
    <t>Chg. in Taxes Payable</t>
  </si>
  <si>
    <t>Chg. in Other Current Liabilities</t>
  </si>
  <si>
    <t>Chg. in Other Liabilities</t>
  </si>
  <si>
    <t>Net Cash from Operations</t>
  </si>
  <si>
    <t>Net Cash from Investing Activities</t>
  </si>
  <si>
    <t>Net Cash from Financing Activities</t>
  </si>
  <si>
    <t xml:space="preserve">Change in cash </t>
  </si>
  <si>
    <t>Acquisition of PP&amp;E</t>
  </si>
  <si>
    <t>Change in Other Assets</t>
  </si>
  <si>
    <t>Net Proceeds from Issuing Debt</t>
  </si>
  <si>
    <t>Return on Equity</t>
  </si>
  <si>
    <t>Statutory Tax Rate</t>
  </si>
  <si>
    <t>Effective Tax Rate</t>
  </si>
  <si>
    <t xml:space="preserve">De-levered Net Income </t>
  </si>
  <si>
    <t>Gross margin</t>
  </si>
  <si>
    <t>Purchases</t>
  </si>
  <si>
    <t>Accounts Payable Turnover</t>
  </si>
  <si>
    <t>Accounts Receivable Turnover</t>
  </si>
  <si>
    <t>Days Payables</t>
  </si>
  <si>
    <t>Net Trade Cycle</t>
  </si>
  <si>
    <t>Liquidity Analysis</t>
  </si>
  <si>
    <t>Current Ratio</t>
  </si>
  <si>
    <t>Quick Ratio</t>
  </si>
  <si>
    <t>CFO-to-Current Liabilities</t>
  </si>
  <si>
    <t xml:space="preserve">Debt to Equity </t>
  </si>
  <si>
    <t xml:space="preserve">Long-Term-Debt to Equity </t>
  </si>
  <si>
    <t>Long-Term Debt to Tangible Assets</t>
  </si>
  <si>
    <t xml:space="preserve">Interest Coverage </t>
  </si>
  <si>
    <t xml:space="preserve">Cash Interest Coverage </t>
  </si>
  <si>
    <t>Financial Leverage</t>
  </si>
  <si>
    <t>Correction Factor</t>
  </si>
  <si>
    <t>Return on Sales</t>
  </si>
  <si>
    <t xml:space="preserve">Asset turnover </t>
  </si>
  <si>
    <t>Return on Equity = Net Income / Avg. Stockholders' Equity</t>
  </si>
  <si>
    <t>Return on Assets = De-levered Net Income / Avg. Total Assets</t>
  </si>
  <si>
    <t>Financial Leverage = Avg. Total Assets / Avg. Stockholders’ Equity</t>
  </si>
  <si>
    <t>Correction Factor = Net Income / De-levered Net Income</t>
  </si>
  <si>
    <t>Return on Sales =  De-levered Net Income / Sales</t>
  </si>
  <si>
    <t>Asset turnover = Sales / Avg. Total Assets</t>
  </si>
  <si>
    <t>Gross Margin = (Sales - Cost of Goods Sold) / Sales</t>
  </si>
  <si>
    <t>SG&amp;A as a % of Sales = SG&amp;A Expense / Sales</t>
  </si>
  <si>
    <t>Operating Margin = Operating Income / Sales</t>
  </si>
  <si>
    <t>Interest Expense as % of Sales</t>
  </si>
  <si>
    <t>Interest Expense as % of Sales = Interest Expense / Sales</t>
  </si>
  <si>
    <t>Effective Tax Rate = Income Taxes / Pre-tax Income</t>
  </si>
  <si>
    <t>Accounts Receivables Turnover = Sales / Avg. Accounts Receivable</t>
  </si>
  <si>
    <t>Inventory Turnover = Cost of Goods Sold / Avg. Inventory</t>
  </si>
  <si>
    <t>Accounts Payable Turnover = Purchases / Avg. Accounts Payable</t>
  </si>
  <si>
    <t>Asset Turnover Ratios</t>
  </si>
  <si>
    <t>Days Turnover Ratios</t>
  </si>
  <si>
    <t>Fixed Asset Turnover</t>
  </si>
  <si>
    <t>Fixed Asset Turnover = Sales / Avg. Net Property, Plant and Equipment</t>
  </si>
  <si>
    <t>Days Receivables =  365 * (Avg. Accounts Receivable / Sales)</t>
  </si>
  <si>
    <t>Days Inventory = 365 * (Avg. Inventory / Cost of Goods Sold)</t>
  </si>
  <si>
    <t>Days Payable = 365 * (Avg. Accounts Payable / Purchases)</t>
  </si>
  <si>
    <t>Net Trade Cycle = Days Receivable + Days Inventory - Days Payable</t>
  </si>
  <si>
    <t>Purchases = Ending Inventory + COGS – Beginning Inventory</t>
  </si>
  <si>
    <t>De-levered Net Income = Net Income + (Interest Exp. * (1 - Statutory Tax Rate))</t>
  </si>
  <si>
    <t>Current Ratio = Current Assets / Current Liabilities</t>
  </si>
  <si>
    <t>Quick Ratio = (Cash + Accts Rec) / Current Liabilities</t>
  </si>
  <si>
    <t>CFO-to-Current Liabilities = Cash from Operations / Avg. Current Laibilities</t>
  </si>
  <si>
    <t>Debt to Equity = Total Liabilities / Total Stockholders’ Equity</t>
  </si>
  <si>
    <t>Long-Term-Debt to Equity = Total Long-Term Debt / Total Stockholders’ Equity</t>
  </si>
  <si>
    <t>Long-Term Debt to Tangible Assets = Total Long-Term Debt / (Total Assets - Intangible Assets)</t>
  </si>
  <si>
    <t>Intangible Assets</t>
  </si>
  <si>
    <t>Change in Intangible Assets</t>
  </si>
  <si>
    <t>Interest Coverage = Operating Income before Depreciation / Interest Expense</t>
  </si>
  <si>
    <t>Cash Interest Coverage = (Cash from Operations + Cash Interest + Cash Taxes) / Cash Interest Paid</t>
  </si>
  <si>
    <t>Cash Interest</t>
  </si>
  <si>
    <t>Cash Taxes</t>
  </si>
  <si>
    <t>Other Information</t>
  </si>
  <si>
    <t>Federal Statutory Rate + State and Foreign Statutory Rates (excludes permanent differences)</t>
  </si>
  <si>
    <t>Sales Growth = Change in Sales / Prior Year Sales</t>
  </si>
  <si>
    <t>Ratio Analysis</t>
  </si>
  <si>
    <t>Forecasted interest rate (2015)</t>
  </si>
  <si>
    <t>Weighted Avg Depreciation Rate</t>
  </si>
  <si>
    <t>Weighted Avg Depreciation Rate = Depreciation &amp; Amortization / (Avg. Gross PP&amp;E + Avg. Intangible Assets)</t>
  </si>
  <si>
    <t>Weighted Avg Interest Rate = Interest Expense / Avg. Long-Term Debt</t>
  </si>
  <si>
    <t>Historical avg. ratio of G&amp;L / sales (common size IS)</t>
  </si>
  <si>
    <t>Historical statutory income tax rate</t>
  </si>
  <si>
    <t>Historical average</t>
  </si>
  <si>
    <t>2015 ratio of debt / TA (common size BS)</t>
  </si>
  <si>
    <t>Annual compound growth rate</t>
  </si>
  <si>
    <t>Woof Junction Inc.</t>
  </si>
  <si>
    <t>Woof Junction</t>
  </si>
  <si>
    <t>Ooh La Lab</t>
  </si>
  <si>
    <t>Specialty Pet Retail Group</t>
  </si>
  <si>
    <t>Beginning balance Stockholders' Equity</t>
  </si>
  <si>
    <t>- Ending balance Stockholders' Equity</t>
  </si>
  <si>
    <t>Dividends and net share repurchases (plug)</t>
  </si>
  <si>
    <t>Estimated market value</t>
  </si>
  <si>
    <t xml:space="preserve">    PV of perpet AE at end of 2025</t>
  </si>
  <si>
    <t xml:space="preserve">    PV of perpet AE at end of 2015</t>
  </si>
  <si>
    <t>Book value of equity at end of 2015</t>
  </si>
  <si>
    <t>Number of shares at end of 2015</t>
  </si>
  <si>
    <t>PV of AE at end of 2015</t>
  </si>
  <si>
    <t>PV of dividends at end of 2015</t>
  </si>
  <si>
    <t xml:space="preserve">    PV of dividends at end of 2015</t>
  </si>
  <si>
    <t>PV of FCF at end of 2015</t>
  </si>
  <si>
    <t xml:space="preserve">    PV of FCF at end of 2015</t>
  </si>
  <si>
    <t xml:space="preserve">    PV of dividends at end of 2025</t>
  </si>
  <si>
    <t xml:space="preserve">    PV of FCF at end of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</si>
</sst>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0.000"/>
    <numFmt numFmtId="167" formatCode="0.0%"/>
    <numFmt numFmtId="168" formatCode="0.0"/>
    <numFmt numFmtId="169" formatCode="_(* #,##0_);_(* \(#,##0\);_(* &quot;-&quot;??_);_(@_)"/>
    <numFmt numFmtId="170" formatCode="_(&quot;$&quot;* #,##0_);_(&quot;$&quot;* \(#,##0\);_(&quot;$&quot;* &quot;-&quot;??_);_(@_)"/>
    <numFmt numFmtId="171" formatCode="0.000000000%"/>
  </numFmts>
  <fonts count="14" x14ac:knownFonts="1">
    <font>
      <sz val="10"/>
      <name val="Geneva"/>
    </font>
    <font>
      <b/>
      <sz val="10"/>
      <name val="Geneva"/>
      <family val="2"/>
    </font>
    <font>
      <i/>
      <sz val="10"/>
      <name val="Geneva"/>
      <family val="2"/>
    </font>
    <font>
      <sz val="10"/>
      <name val="Geneva"/>
      <family val="2"/>
    </font>
    <font>
      <sz val="12"/>
      <name val="Geneva"/>
      <family val="2"/>
    </font>
    <font>
      <u/>
      <sz val="10"/>
      <name val="Geneva"/>
      <family val="2"/>
    </font>
    <font>
      <sz val="8"/>
      <name val="Geneva"/>
      <family val="2"/>
    </font>
    <font>
      <sz val="12"/>
      <name val="Times New Roman"/>
      <family val="1"/>
    </font>
    <font>
      <sz val="8"/>
      <name val="Times New Roman"/>
      <family val="1"/>
    </font>
    <font>
      <sz val="10"/>
      <name val="Geneva"/>
      <family val="2"/>
    </font>
    <font>
      <b/>
      <u/>
      <sz val="10"/>
      <name val="Geneva"/>
      <family val="2"/>
    </font>
    <font>
      <sz val="10"/>
      <name val="Geneva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7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0" fillId="0" borderId="1" xfId="0" applyBorder="1"/>
    <xf numFmtId="37" fontId="0" fillId="0" borderId="0" xfId="0" applyNumberFormat="1"/>
    <xf numFmtId="37" fontId="0" fillId="0" borderId="1" xfId="0" applyNumberFormat="1" applyBorder="1"/>
    <xf numFmtId="164" fontId="0" fillId="0" borderId="0" xfId="0" applyNumberFormat="1"/>
    <xf numFmtId="164" fontId="0" fillId="0" borderId="2" xfId="0" applyNumberFormat="1" applyBorder="1"/>
    <xf numFmtId="37" fontId="3" fillId="0" borderId="0" xfId="0" applyNumberFormat="1" applyFont="1"/>
    <xf numFmtId="164" fontId="3" fillId="0" borderId="0" xfId="0" applyNumberFormat="1" applyFont="1"/>
    <xf numFmtId="164" fontId="3" fillId="0" borderId="2" xfId="0" applyNumberFormat="1" applyFont="1" applyBorder="1"/>
    <xf numFmtId="0" fontId="4" fillId="0" borderId="0" xfId="0" applyFont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9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right"/>
    </xf>
    <xf numFmtId="0" fontId="1" fillId="0" borderId="0" xfId="0" applyFont="1"/>
    <xf numFmtId="2" fontId="1" fillId="0" borderId="0" xfId="0" applyNumberFormat="1" applyFont="1"/>
    <xf numFmtId="2" fontId="1" fillId="0" borderId="1" xfId="0" applyNumberFormat="1" applyFont="1" applyBorder="1"/>
    <xf numFmtId="2" fontId="1" fillId="0" borderId="2" xfId="0" applyNumberFormat="1" applyFont="1" applyBorder="1"/>
    <xf numFmtId="1" fontId="0" fillId="0" borderId="0" xfId="0" applyNumberFormat="1"/>
    <xf numFmtId="1" fontId="1" fillId="0" borderId="0" xfId="0" applyNumberFormat="1" applyFont="1"/>
    <xf numFmtId="168" fontId="1" fillId="0" borderId="0" xfId="0" applyNumberFormat="1" applyFont="1"/>
    <xf numFmtId="0" fontId="1" fillId="0" borderId="1" xfId="0" applyFont="1" applyBorder="1"/>
    <xf numFmtId="164" fontId="1" fillId="0" borderId="0" xfId="0" applyNumberFormat="1" applyFont="1"/>
    <xf numFmtId="0" fontId="5" fillId="0" borderId="0" xfId="0" applyFont="1"/>
    <xf numFmtId="165" fontId="0" fillId="0" borderId="0" xfId="0" applyNumberFormat="1"/>
    <xf numFmtId="10" fontId="0" fillId="0" borderId="0" xfId="3" applyNumberFormat="1" applyFont="1" applyBorder="1"/>
    <xf numFmtId="39" fontId="1" fillId="0" borderId="0" xfId="0" applyNumberFormat="1" applyFont="1"/>
    <xf numFmtId="0" fontId="1" fillId="0" borderId="0" xfId="0" applyFont="1" applyAlignment="1">
      <alignment horizontal="right"/>
    </xf>
    <xf numFmtId="166" fontId="3" fillId="0" borderId="0" xfId="0" applyNumberFormat="1" applyFont="1"/>
    <xf numFmtId="166" fontId="3" fillId="0" borderId="0" xfId="1" applyNumberFormat="1" applyFont="1" applyBorder="1"/>
    <xf numFmtId="10" fontId="3" fillId="0" borderId="0" xfId="3" applyNumberFormat="1" applyFont="1" applyBorder="1"/>
    <xf numFmtId="10" fontId="3" fillId="0" borderId="0" xfId="0" applyNumberFormat="1" applyFont="1"/>
    <xf numFmtId="2" fontId="3" fillId="0" borderId="0" xfId="0" applyNumberFormat="1" applyFont="1"/>
    <xf numFmtId="1" fontId="3" fillId="0" borderId="0" xfId="0" applyNumberFormat="1" applyFont="1"/>
    <xf numFmtId="169" fontId="0" fillId="0" borderId="0" xfId="1" applyNumberFormat="1" applyFont="1"/>
    <xf numFmtId="169" fontId="0" fillId="0" borderId="1" xfId="1" applyNumberFormat="1" applyFont="1" applyBorder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9" fontId="3" fillId="0" borderId="0" xfId="0" applyNumberFormat="1" applyFont="1"/>
    <xf numFmtId="37" fontId="9" fillId="0" borderId="0" xfId="0" applyNumberFormat="1" applyFont="1"/>
    <xf numFmtId="0" fontId="10" fillId="0" borderId="0" xfId="0" applyFont="1"/>
    <xf numFmtId="0" fontId="11" fillId="0" borderId="0" xfId="0" applyFont="1"/>
    <xf numFmtId="166" fontId="11" fillId="0" borderId="0" xfId="0" applyNumberFormat="1" applyFont="1"/>
    <xf numFmtId="167" fontId="0" fillId="0" borderId="0" xfId="3" applyNumberFormat="1" applyFont="1"/>
    <xf numFmtId="0" fontId="9" fillId="0" borderId="0" xfId="2" applyFont="1"/>
    <xf numFmtId="0" fontId="5" fillId="0" borderId="0" xfId="2" applyFont="1"/>
    <xf numFmtId="37" fontId="9" fillId="0" borderId="0" xfId="2" applyNumberFormat="1" applyFont="1"/>
    <xf numFmtId="0" fontId="9" fillId="0" borderId="0" xfId="2" quotePrefix="1" applyFont="1"/>
    <xf numFmtId="0" fontId="5" fillId="0" borderId="0" xfId="2" quotePrefix="1" applyFont="1"/>
    <xf numFmtId="37" fontId="9" fillId="0" borderId="1" xfId="2" applyNumberFormat="1" applyFont="1" applyBorder="1"/>
    <xf numFmtId="169" fontId="9" fillId="0" borderId="0" xfId="1" applyNumberFormat="1" applyFont="1"/>
    <xf numFmtId="164" fontId="0" fillId="0" borderId="1" xfId="0" applyNumberFormat="1" applyBorder="1"/>
    <xf numFmtId="168" fontId="3" fillId="0" borderId="0" xfId="0" applyNumberFormat="1" applyFont="1"/>
    <xf numFmtId="166" fontId="1" fillId="0" borderId="0" xfId="0" applyNumberFormat="1" applyFont="1"/>
    <xf numFmtId="0" fontId="12" fillId="0" borderId="0" xfId="0" applyFont="1"/>
    <xf numFmtId="0" fontId="13" fillId="0" borderId="0" xfId="0" applyFont="1"/>
    <xf numFmtId="167" fontId="3" fillId="0" borderId="0" xfId="3" applyNumberFormat="1" applyFont="1"/>
    <xf numFmtId="167" fontId="1" fillId="0" borderId="0" xfId="3" applyNumberFormat="1" applyFont="1"/>
    <xf numFmtId="167" fontId="3" fillId="0" borderId="0" xfId="3" applyNumberFormat="1" applyFont="1" applyBorder="1"/>
    <xf numFmtId="43" fontId="1" fillId="0" borderId="0" xfId="0" applyNumberFormat="1" applyFont="1"/>
    <xf numFmtId="170" fontId="3" fillId="0" borderId="0" xfId="4" applyNumberFormat="1" applyFont="1"/>
    <xf numFmtId="171" fontId="3" fillId="0" borderId="0" xfId="0" applyNumberFormat="1" applyFont="1"/>
    <xf numFmtId="0" fontId="0" fillId="0" borderId="0" xfId="0" quotePrefix="1"/>
    <xf numFmtId="170" fontId="3" fillId="0" borderId="0" xfId="0" applyNumberFormat="1" applyFont="1"/>
    <xf numFmtId="0" fontId="0" fillId="0" borderId="0" xfId="2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5">
    <cellStyle name="Comma" xfId="1" builtinId="3"/>
    <cellStyle name="Currency" xfId="4" builtinId="4"/>
    <cellStyle name="Normal" xfId="0" builtinId="0"/>
    <cellStyle name="Normal_Gap-FS-Projections" xfId="2" xr:uid="{00000000-0005-0000-0000-000003000000}"/>
    <cellStyle name="Per 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zoomScaleNormal="100" workbookViewId="0">
      <pane xSplit="1" ySplit="1" topLeftCell="B2" activePane="bottomRight" state="frozen"/>
      <selection activeCell="B46" sqref="B46"/>
      <selection pane="topRight" activeCell="B46" sqref="B46"/>
      <selection pane="bottomLeft" activeCell="B46" sqref="B46"/>
      <selection pane="bottomRight"/>
    </sheetView>
  </sheetViews>
  <sheetFormatPr baseColWidth="10" defaultColWidth="8.7109375" defaultRowHeight="14" x14ac:dyDescent="0.2"/>
  <cols>
    <col min="1" max="1" width="29.5703125" customWidth="1"/>
  </cols>
  <sheetData>
    <row r="1" spans="1:6" ht="16" x14ac:dyDescent="0.2">
      <c r="A1" s="10" t="s">
        <v>201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</row>
    <row r="2" spans="1:6" ht="16" x14ac:dyDescent="0.2">
      <c r="A2" s="10" t="s">
        <v>112</v>
      </c>
    </row>
    <row r="3" spans="1:6" x14ac:dyDescent="0.2">
      <c r="A3" t="s">
        <v>0</v>
      </c>
      <c r="B3" s="2">
        <v>2011</v>
      </c>
      <c r="C3" s="2">
        <v>2012</v>
      </c>
      <c r="D3" s="2">
        <v>2013</v>
      </c>
      <c r="E3" s="2">
        <v>2014</v>
      </c>
      <c r="F3" s="2">
        <v>2015</v>
      </c>
    </row>
    <row r="4" spans="1:6" x14ac:dyDescent="0.2">
      <c r="A4" t="s">
        <v>84</v>
      </c>
      <c r="B4" s="5">
        <v>32</v>
      </c>
      <c r="C4" s="5">
        <v>46</v>
      </c>
      <c r="D4" s="5">
        <v>38</v>
      </c>
      <c r="E4" s="5">
        <v>67</v>
      </c>
      <c r="F4" s="5">
        <v>193</v>
      </c>
    </row>
    <row r="5" spans="1:6" x14ac:dyDescent="0.2">
      <c r="A5" t="s">
        <v>85</v>
      </c>
      <c r="B5" s="3">
        <v>9</v>
      </c>
      <c r="C5" s="3">
        <v>6</v>
      </c>
      <c r="D5" s="3">
        <v>6</v>
      </c>
      <c r="E5" s="3">
        <v>10</v>
      </c>
      <c r="F5" s="3">
        <v>8</v>
      </c>
    </row>
    <row r="6" spans="1:6" x14ac:dyDescent="0.2">
      <c r="A6" t="s">
        <v>1</v>
      </c>
      <c r="B6" s="3">
        <v>195</v>
      </c>
      <c r="C6" s="3">
        <v>193</v>
      </c>
      <c r="D6" s="3">
        <v>244</v>
      </c>
      <c r="E6" s="3">
        <v>248</v>
      </c>
      <c r="F6" s="3">
        <v>314</v>
      </c>
    </row>
    <row r="7" spans="1:6" x14ac:dyDescent="0.2">
      <c r="A7" t="s">
        <v>87</v>
      </c>
      <c r="B7" s="4">
        <v>23</v>
      </c>
      <c r="C7" s="4">
        <v>13</v>
      </c>
      <c r="D7" s="4">
        <v>29</v>
      </c>
      <c r="E7" s="4">
        <v>40</v>
      </c>
      <c r="F7" s="4">
        <v>51</v>
      </c>
    </row>
    <row r="8" spans="1:6" x14ac:dyDescent="0.2">
      <c r="A8" t="s">
        <v>99</v>
      </c>
      <c r="B8" s="3">
        <v>259</v>
      </c>
      <c r="C8" s="3">
        <v>258</v>
      </c>
      <c r="D8" s="3">
        <v>317</v>
      </c>
      <c r="E8" s="3">
        <v>365</v>
      </c>
      <c r="F8" s="3">
        <v>566</v>
      </c>
    </row>
    <row r="9" spans="1:6" x14ac:dyDescent="0.2">
      <c r="A9" t="s">
        <v>56</v>
      </c>
      <c r="B9" s="3">
        <v>234</v>
      </c>
      <c r="C9" s="3">
        <v>286</v>
      </c>
      <c r="D9" s="3">
        <v>352</v>
      </c>
      <c r="E9" s="3">
        <v>528</v>
      </c>
      <c r="F9" s="3">
        <v>738</v>
      </c>
    </row>
    <row r="10" spans="1:6" x14ac:dyDescent="0.2">
      <c r="A10" t="s">
        <v>60</v>
      </c>
      <c r="B10" s="4">
        <v>77</v>
      </c>
      <c r="C10" s="4">
        <v>95</v>
      </c>
      <c r="D10" s="4">
        <v>114</v>
      </c>
      <c r="E10" s="4">
        <v>144</v>
      </c>
      <c r="F10" s="4">
        <v>190</v>
      </c>
    </row>
    <row r="11" spans="1:6" x14ac:dyDescent="0.2">
      <c r="A11" t="s">
        <v>100</v>
      </c>
      <c r="B11" s="3">
        <v>157</v>
      </c>
      <c r="C11" s="3">
        <v>191</v>
      </c>
      <c r="D11" s="3">
        <v>238</v>
      </c>
      <c r="E11" s="3">
        <v>384</v>
      </c>
      <c r="F11" s="3">
        <v>548</v>
      </c>
    </row>
    <row r="12" spans="1:6" x14ac:dyDescent="0.2">
      <c r="A12" t="s">
        <v>182</v>
      </c>
      <c r="B12" s="4">
        <v>18</v>
      </c>
      <c r="C12" s="4">
        <v>32</v>
      </c>
      <c r="D12" s="4">
        <v>25</v>
      </c>
      <c r="E12" s="4">
        <v>28</v>
      </c>
      <c r="F12" s="4">
        <v>33</v>
      </c>
    </row>
    <row r="13" spans="1:6" ht="15" thickBot="1" x14ac:dyDescent="0.25">
      <c r="A13" t="s">
        <v>101</v>
      </c>
      <c r="B13" s="6">
        <v>434</v>
      </c>
      <c r="C13" s="6">
        <v>481</v>
      </c>
      <c r="D13" s="6">
        <v>580</v>
      </c>
      <c r="E13" s="6">
        <v>777</v>
      </c>
      <c r="F13" s="6">
        <v>1147</v>
      </c>
    </row>
    <row r="14" spans="1:6" ht="15" thickTop="1" x14ac:dyDescent="0.2"/>
    <row r="15" spans="1:6" x14ac:dyDescent="0.2">
      <c r="A15" t="s">
        <v>3</v>
      </c>
      <c r="B15" s="2">
        <v>2011</v>
      </c>
      <c r="C15" s="2">
        <v>2012</v>
      </c>
      <c r="D15" s="2">
        <v>2013</v>
      </c>
      <c r="E15" s="2">
        <v>2014</v>
      </c>
      <c r="F15" s="2">
        <v>2015</v>
      </c>
    </row>
    <row r="16" spans="1:6" x14ac:dyDescent="0.2">
      <c r="A16" t="s">
        <v>88</v>
      </c>
      <c r="B16" s="5">
        <v>68</v>
      </c>
      <c r="C16" s="5">
        <v>81</v>
      </c>
      <c r="D16" s="5">
        <v>94</v>
      </c>
      <c r="E16" s="5">
        <v>115</v>
      </c>
      <c r="F16" s="5">
        <v>158</v>
      </c>
    </row>
    <row r="17" spans="1:6" x14ac:dyDescent="0.2">
      <c r="A17" t="s">
        <v>89</v>
      </c>
      <c r="B17" s="3">
        <v>6</v>
      </c>
      <c r="C17" s="3">
        <v>15</v>
      </c>
      <c r="D17" s="3">
        <v>15</v>
      </c>
      <c r="E17" s="3">
        <v>33</v>
      </c>
      <c r="F17" s="3">
        <v>32</v>
      </c>
    </row>
    <row r="18" spans="1:6" x14ac:dyDescent="0.2">
      <c r="A18" t="s">
        <v>86</v>
      </c>
      <c r="B18" s="4">
        <v>48</v>
      </c>
      <c r="C18" s="4">
        <v>54</v>
      </c>
      <c r="D18" s="4">
        <v>75</v>
      </c>
      <c r="E18" s="4">
        <v>103</v>
      </c>
      <c r="F18" s="4">
        <v>137</v>
      </c>
    </row>
    <row r="19" spans="1:6" x14ac:dyDescent="0.2">
      <c r="A19" t="s">
        <v>102</v>
      </c>
      <c r="B19" s="3">
        <v>122</v>
      </c>
      <c r="C19" s="3">
        <v>150</v>
      </c>
      <c r="D19" s="3">
        <v>184</v>
      </c>
      <c r="E19" s="3">
        <v>251</v>
      </c>
      <c r="F19" s="3">
        <v>327</v>
      </c>
    </row>
    <row r="20" spans="1:6" x14ac:dyDescent="0.2">
      <c r="A20" t="s">
        <v>90</v>
      </c>
      <c r="B20" s="3">
        <v>19</v>
      </c>
      <c r="C20" s="3">
        <v>22</v>
      </c>
      <c r="D20" s="3">
        <v>21</v>
      </c>
      <c r="E20" s="3">
        <v>18</v>
      </c>
      <c r="F20" s="3">
        <v>81</v>
      </c>
    </row>
    <row r="21" spans="1:6" x14ac:dyDescent="0.2">
      <c r="A21" t="s">
        <v>91</v>
      </c>
      <c r="B21" s="4">
        <v>20</v>
      </c>
      <c r="C21" s="4">
        <v>33</v>
      </c>
      <c r="D21" s="4">
        <v>37</v>
      </c>
      <c r="E21" s="4">
        <v>42</v>
      </c>
      <c r="F21" s="4">
        <v>62</v>
      </c>
    </row>
    <row r="22" spans="1:6" x14ac:dyDescent="0.2">
      <c r="A22" t="s">
        <v>103</v>
      </c>
      <c r="B22" s="3">
        <v>161</v>
      </c>
      <c r="C22" s="3">
        <v>205</v>
      </c>
      <c r="D22" s="3">
        <v>242</v>
      </c>
      <c r="E22" s="3">
        <v>311</v>
      </c>
      <c r="F22" s="3">
        <v>470</v>
      </c>
    </row>
    <row r="23" spans="1:6" x14ac:dyDescent="0.2">
      <c r="A23" t="s">
        <v>92</v>
      </c>
      <c r="B23" s="4">
        <v>273</v>
      </c>
      <c r="C23" s="4">
        <v>276</v>
      </c>
      <c r="D23" s="4">
        <v>338</v>
      </c>
      <c r="E23" s="4">
        <v>466</v>
      </c>
      <c r="F23" s="4">
        <v>677</v>
      </c>
    </row>
    <row r="24" spans="1:6" ht="15" thickBot="1" x14ac:dyDescent="0.25">
      <c r="A24" t="s">
        <v>104</v>
      </c>
      <c r="B24" s="6">
        <v>434</v>
      </c>
      <c r="C24" s="6">
        <v>481</v>
      </c>
      <c r="D24" s="6">
        <v>580</v>
      </c>
      <c r="E24" s="6">
        <v>777</v>
      </c>
      <c r="F24" s="6">
        <v>1147</v>
      </c>
    </row>
    <row r="25" spans="1:6" ht="15" thickTop="1" x14ac:dyDescent="0.2"/>
    <row r="27" spans="1:6" ht="16" x14ac:dyDescent="0.2">
      <c r="A27" s="10" t="s">
        <v>111</v>
      </c>
      <c r="B27" s="2">
        <v>2011</v>
      </c>
      <c r="C27" s="2">
        <v>2012</v>
      </c>
      <c r="D27" s="2">
        <v>2013</v>
      </c>
      <c r="E27" s="2">
        <v>2014</v>
      </c>
      <c r="F27" s="2">
        <v>2015</v>
      </c>
    </row>
    <row r="28" spans="1:6" x14ac:dyDescent="0.2">
      <c r="A28" s="1" t="s">
        <v>4</v>
      </c>
      <c r="B28" s="5">
        <v>1062</v>
      </c>
      <c r="C28" s="5">
        <v>1252</v>
      </c>
      <c r="D28" s="5">
        <v>1587</v>
      </c>
      <c r="E28" s="5">
        <v>1934</v>
      </c>
      <c r="F28" s="5">
        <v>2519</v>
      </c>
    </row>
    <row r="29" spans="1:6" x14ac:dyDescent="0.2">
      <c r="A29" t="s">
        <v>93</v>
      </c>
      <c r="B29" s="4">
        <v>654</v>
      </c>
      <c r="C29" s="4">
        <v>814</v>
      </c>
      <c r="D29" s="4">
        <v>1009</v>
      </c>
      <c r="E29" s="4">
        <v>1190</v>
      </c>
      <c r="F29" s="4">
        <v>1499</v>
      </c>
    </row>
    <row r="30" spans="1:6" x14ac:dyDescent="0.2">
      <c r="A30" t="s">
        <v>105</v>
      </c>
      <c r="B30" s="7">
        <v>408</v>
      </c>
      <c r="C30" s="7">
        <v>438</v>
      </c>
      <c r="D30" s="7">
        <v>578</v>
      </c>
      <c r="E30" s="7">
        <v>744</v>
      </c>
      <c r="F30" s="7">
        <v>1020</v>
      </c>
    </row>
    <row r="31" spans="1:6" x14ac:dyDescent="0.2">
      <c r="A31" t="s">
        <v>94</v>
      </c>
      <c r="B31" s="4">
        <v>254</v>
      </c>
      <c r="C31" s="4">
        <v>271</v>
      </c>
      <c r="D31" s="4">
        <v>364</v>
      </c>
      <c r="E31" s="4">
        <v>454</v>
      </c>
      <c r="F31" s="4">
        <v>576</v>
      </c>
    </row>
    <row r="32" spans="1:6" x14ac:dyDescent="0.2">
      <c r="A32" t="s">
        <v>106</v>
      </c>
      <c r="B32" s="7">
        <v>154</v>
      </c>
      <c r="C32" s="7">
        <v>167</v>
      </c>
      <c r="D32" s="7">
        <v>214</v>
      </c>
      <c r="E32" s="7">
        <v>290</v>
      </c>
      <c r="F32" s="7">
        <v>444</v>
      </c>
    </row>
    <row r="33" spans="1:6" x14ac:dyDescent="0.2">
      <c r="A33" t="s">
        <v>95</v>
      </c>
      <c r="B33" s="4">
        <v>25</v>
      </c>
      <c r="C33" s="4">
        <v>31</v>
      </c>
      <c r="D33" s="4">
        <v>38</v>
      </c>
      <c r="E33" s="4">
        <v>52</v>
      </c>
      <c r="F33" s="4">
        <v>70</v>
      </c>
    </row>
    <row r="34" spans="1:6" x14ac:dyDescent="0.2">
      <c r="A34" t="s">
        <v>107</v>
      </c>
      <c r="B34" s="7">
        <v>129</v>
      </c>
      <c r="C34" s="7">
        <v>136</v>
      </c>
      <c r="D34" s="7">
        <v>176</v>
      </c>
      <c r="E34" s="7">
        <v>238</v>
      </c>
      <c r="F34" s="7">
        <v>374</v>
      </c>
    </row>
    <row r="35" spans="1:6" x14ac:dyDescent="0.2">
      <c r="A35" t="s">
        <v>96</v>
      </c>
      <c r="B35" s="3">
        <v>4</v>
      </c>
      <c r="C35" s="3">
        <v>3</v>
      </c>
      <c r="D35" s="3">
        <v>3</v>
      </c>
      <c r="E35" s="3">
        <v>1</v>
      </c>
      <c r="F35" s="3">
        <v>4</v>
      </c>
    </row>
    <row r="36" spans="1:6" x14ac:dyDescent="0.2">
      <c r="A36" t="s">
        <v>97</v>
      </c>
      <c r="B36" s="4">
        <v>0</v>
      </c>
      <c r="C36" s="4">
        <v>7</v>
      </c>
      <c r="D36" s="4">
        <v>10</v>
      </c>
      <c r="E36" s="4">
        <v>0</v>
      </c>
      <c r="F36" s="4">
        <v>-1</v>
      </c>
    </row>
    <row r="37" spans="1:6" x14ac:dyDescent="0.2">
      <c r="A37" t="s">
        <v>108</v>
      </c>
      <c r="B37" s="7">
        <v>125</v>
      </c>
      <c r="C37" s="7">
        <v>126</v>
      </c>
      <c r="D37" s="7">
        <v>163</v>
      </c>
      <c r="E37" s="7">
        <v>237</v>
      </c>
      <c r="F37" s="7">
        <v>371</v>
      </c>
    </row>
    <row r="38" spans="1:6" x14ac:dyDescent="0.2">
      <c r="A38" t="s">
        <v>98</v>
      </c>
      <c r="B38" s="4">
        <v>55</v>
      </c>
      <c r="C38" s="4">
        <v>52</v>
      </c>
      <c r="D38" s="4">
        <v>65</v>
      </c>
      <c r="E38" s="4">
        <v>92</v>
      </c>
      <c r="F38" s="4">
        <v>141</v>
      </c>
    </row>
    <row r="39" spans="1:6" ht="15" thickBot="1" x14ac:dyDescent="0.25">
      <c r="A39" t="s">
        <v>109</v>
      </c>
      <c r="B39" s="9">
        <v>70</v>
      </c>
      <c r="C39" s="9">
        <v>74</v>
      </c>
      <c r="D39" s="9">
        <v>98</v>
      </c>
      <c r="E39" s="9">
        <v>145</v>
      </c>
      <c r="F39" s="9">
        <v>230</v>
      </c>
    </row>
    <row r="40" spans="1:6" ht="15" thickTop="1" x14ac:dyDescent="0.2"/>
    <row r="42" spans="1:6" ht="16" x14ac:dyDescent="0.2">
      <c r="A42" s="10" t="s">
        <v>110</v>
      </c>
      <c r="B42" s="2">
        <v>2011</v>
      </c>
      <c r="C42" s="2">
        <v>2012</v>
      </c>
      <c r="D42" s="2">
        <v>2013</v>
      </c>
      <c r="E42" s="2">
        <v>2014</v>
      </c>
      <c r="F42" s="2">
        <v>2015</v>
      </c>
    </row>
    <row r="43" spans="1:6" x14ac:dyDescent="0.2">
      <c r="A43" s="15" t="s">
        <v>18</v>
      </c>
    </row>
    <row r="44" spans="1:6" x14ac:dyDescent="0.2">
      <c r="A44" t="s">
        <v>113</v>
      </c>
      <c r="B44" s="5">
        <v>70</v>
      </c>
      <c r="C44" s="5">
        <v>74</v>
      </c>
      <c r="D44" s="5">
        <v>98</v>
      </c>
      <c r="E44" s="5">
        <v>145</v>
      </c>
      <c r="F44" s="5">
        <v>230</v>
      </c>
    </row>
    <row r="45" spans="1:6" x14ac:dyDescent="0.2">
      <c r="A45" t="s">
        <v>95</v>
      </c>
      <c r="B45" s="3">
        <v>26</v>
      </c>
      <c r="C45" s="3">
        <v>31</v>
      </c>
      <c r="D45" s="3">
        <v>38</v>
      </c>
      <c r="E45" s="3">
        <v>52</v>
      </c>
      <c r="F45" s="3">
        <v>70</v>
      </c>
    </row>
    <row r="46" spans="1:6" x14ac:dyDescent="0.2">
      <c r="A46" t="s">
        <v>97</v>
      </c>
      <c r="B46" s="3">
        <v>-2</v>
      </c>
      <c r="C46" s="3">
        <v>7</v>
      </c>
      <c r="D46" s="3">
        <v>10</v>
      </c>
      <c r="E46" s="3">
        <v>0</v>
      </c>
      <c r="F46" s="3">
        <v>-1</v>
      </c>
    </row>
    <row r="47" spans="1:6" x14ac:dyDescent="0.2">
      <c r="A47" t="s">
        <v>114</v>
      </c>
      <c r="B47" s="3">
        <v>9</v>
      </c>
      <c r="C47" s="3">
        <v>3</v>
      </c>
      <c r="D47" s="3">
        <v>0</v>
      </c>
      <c r="E47" s="3">
        <v>-4</v>
      </c>
      <c r="F47" s="3">
        <v>2</v>
      </c>
    </row>
    <row r="48" spans="1:6" x14ac:dyDescent="0.2">
      <c r="A48" t="s">
        <v>115</v>
      </c>
      <c r="B48" s="3">
        <v>-10</v>
      </c>
      <c r="C48" s="3">
        <v>2</v>
      </c>
      <c r="D48" s="3">
        <v>-51</v>
      </c>
      <c r="E48" s="3">
        <v>-4</v>
      </c>
      <c r="F48" s="3">
        <v>-66</v>
      </c>
    </row>
    <row r="49" spans="1:6" x14ac:dyDescent="0.2">
      <c r="A49" t="s">
        <v>116</v>
      </c>
      <c r="B49" s="3">
        <v>9</v>
      </c>
      <c r="C49" s="3">
        <v>10</v>
      </c>
      <c r="D49" s="3">
        <v>-16</v>
      </c>
      <c r="E49" s="3">
        <v>-11</v>
      </c>
      <c r="F49" s="3">
        <v>-11</v>
      </c>
    </row>
    <row r="50" spans="1:6" x14ac:dyDescent="0.2">
      <c r="A50" t="s">
        <v>117</v>
      </c>
      <c r="B50" s="3">
        <v>3</v>
      </c>
      <c r="C50" s="3">
        <v>13</v>
      </c>
      <c r="D50" s="3">
        <v>13</v>
      </c>
      <c r="E50" s="3">
        <v>21</v>
      </c>
      <c r="F50" s="3">
        <v>43</v>
      </c>
    </row>
    <row r="51" spans="1:6" x14ac:dyDescent="0.2">
      <c r="A51" t="s">
        <v>118</v>
      </c>
      <c r="B51" s="3">
        <v>5</v>
      </c>
      <c r="C51" s="3">
        <v>9</v>
      </c>
      <c r="D51" s="3">
        <v>0</v>
      </c>
      <c r="E51" s="3">
        <v>18</v>
      </c>
      <c r="F51" s="3">
        <v>-1</v>
      </c>
    </row>
    <row r="52" spans="1:6" x14ac:dyDescent="0.2">
      <c r="A52" t="s">
        <v>119</v>
      </c>
      <c r="B52" s="3">
        <v>11</v>
      </c>
      <c r="C52" s="3">
        <v>6</v>
      </c>
      <c r="D52" s="3">
        <v>21</v>
      </c>
      <c r="E52" s="3">
        <v>28</v>
      </c>
      <c r="F52" s="3">
        <v>34</v>
      </c>
    </row>
    <row r="53" spans="1:6" x14ac:dyDescent="0.2">
      <c r="A53" t="s">
        <v>120</v>
      </c>
      <c r="B53" s="4">
        <v>-14</v>
      </c>
      <c r="C53" s="4">
        <v>6</v>
      </c>
      <c r="D53" s="4">
        <v>-6</v>
      </c>
      <c r="E53" s="4">
        <v>5</v>
      </c>
      <c r="F53" s="4">
        <v>21</v>
      </c>
    </row>
    <row r="54" spans="1:6" x14ac:dyDescent="0.2">
      <c r="A54" t="s">
        <v>121</v>
      </c>
      <c r="B54" s="3">
        <v>107</v>
      </c>
      <c r="C54" s="3">
        <v>161</v>
      </c>
      <c r="D54" s="3">
        <v>107</v>
      </c>
      <c r="E54" s="3">
        <v>250</v>
      </c>
      <c r="F54" s="3">
        <v>321</v>
      </c>
    </row>
    <row r="56" spans="1:6" x14ac:dyDescent="0.2">
      <c r="A56" s="15" t="s">
        <v>19</v>
      </c>
    </row>
    <row r="57" spans="1:6" x14ac:dyDescent="0.2">
      <c r="A57" t="s">
        <v>125</v>
      </c>
      <c r="B57" s="3">
        <v>-49</v>
      </c>
      <c r="C57" s="3">
        <v>-65</v>
      </c>
      <c r="D57" s="3">
        <v>-85</v>
      </c>
      <c r="E57" s="3">
        <v>-198</v>
      </c>
      <c r="F57" s="3">
        <v>-234</v>
      </c>
    </row>
    <row r="58" spans="1:6" x14ac:dyDescent="0.2">
      <c r="A58" t="s">
        <v>183</v>
      </c>
      <c r="B58" s="4">
        <v>-20</v>
      </c>
      <c r="C58" s="4">
        <v>-14</v>
      </c>
      <c r="D58" s="4">
        <v>7</v>
      </c>
      <c r="E58" s="4">
        <v>-3</v>
      </c>
      <c r="F58" s="4">
        <v>-5</v>
      </c>
    </row>
    <row r="59" spans="1:6" x14ac:dyDescent="0.2">
      <c r="A59" t="s">
        <v>122</v>
      </c>
      <c r="B59" s="3">
        <v>-69</v>
      </c>
      <c r="C59" s="3">
        <v>-79</v>
      </c>
      <c r="D59" s="3">
        <v>-78</v>
      </c>
      <c r="E59" s="3">
        <v>-201</v>
      </c>
      <c r="F59" s="3">
        <v>-239</v>
      </c>
    </row>
    <row r="61" spans="1:6" x14ac:dyDescent="0.2">
      <c r="A61" s="15" t="s">
        <v>20</v>
      </c>
    </row>
    <row r="62" spans="1:6" x14ac:dyDescent="0.2">
      <c r="A62" t="s">
        <v>127</v>
      </c>
      <c r="B62" s="3">
        <v>7</v>
      </c>
      <c r="C62" s="3">
        <v>3</v>
      </c>
      <c r="D62" s="3">
        <v>-1</v>
      </c>
      <c r="E62" s="3">
        <v>-3</v>
      </c>
      <c r="F62" s="3">
        <v>63</v>
      </c>
    </row>
    <row r="63" spans="1:6" x14ac:dyDescent="0.2">
      <c r="A63" t="s">
        <v>21</v>
      </c>
      <c r="B63" s="4">
        <v>-61</v>
      </c>
      <c r="C63" s="4">
        <v>-71</v>
      </c>
      <c r="D63" s="4">
        <v>-36</v>
      </c>
      <c r="E63" s="4">
        <v>-17</v>
      </c>
      <c r="F63" s="4">
        <v>-19</v>
      </c>
    </row>
    <row r="64" spans="1:6" x14ac:dyDescent="0.2">
      <c r="A64" t="s">
        <v>123</v>
      </c>
      <c r="B64" s="3">
        <v>-54</v>
      </c>
      <c r="C64" s="3">
        <v>-68</v>
      </c>
      <c r="D64" s="3">
        <v>-37</v>
      </c>
      <c r="E64" s="3">
        <v>-20</v>
      </c>
      <c r="F64" s="3">
        <v>44</v>
      </c>
    </row>
    <row r="66" spans="1:6" x14ac:dyDescent="0.2">
      <c r="A66" t="s">
        <v>124</v>
      </c>
      <c r="B66" s="3">
        <v>-16</v>
      </c>
      <c r="C66" s="3">
        <v>14</v>
      </c>
      <c r="D66" s="3">
        <v>-8</v>
      </c>
      <c r="E66" s="3">
        <v>29</v>
      </c>
      <c r="F66" s="3">
        <v>126</v>
      </c>
    </row>
    <row r="68" spans="1:6" x14ac:dyDescent="0.2">
      <c r="A68" t="s">
        <v>186</v>
      </c>
      <c r="B68" s="3">
        <v>3</v>
      </c>
      <c r="C68" s="3">
        <v>4</v>
      </c>
      <c r="D68" s="3">
        <v>3</v>
      </c>
      <c r="E68" s="3">
        <v>2</v>
      </c>
      <c r="F68" s="3">
        <v>3</v>
      </c>
    </row>
    <row r="69" spans="1:6" x14ac:dyDescent="0.2">
      <c r="A69" t="s">
        <v>187</v>
      </c>
      <c r="B69" s="3">
        <v>49</v>
      </c>
      <c r="C69" s="3">
        <v>45</v>
      </c>
      <c r="D69" s="3">
        <v>63</v>
      </c>
      <c r="E69" s="3">
        <v>71</v>
      </c>
      <c r="F69" s="3">
        <v>140</v>
      </c>
    </row>
  </sheetData>
  <phoneticPr fontId="6" type="noConversion"/>
  <pageMargins left="1" right="1" top="1" bottom="1" header="0.5" footer="0.5"/>
  <pageSetup scale="11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78"/>
  <sheetViews>
    <sheetView zoomScaleNormal="100" workbookViewId="0">
      <pane xSplit="1" ySplit="2" topLeftCell="B3" activePane="bottomRight" state="frozen"/>
      <selection activeCell="B46" sqref="B46"/>
      <selection pane="topRight" activeCell="B46" sqref="B46"/>
      <selection pane="bottomLeft" activeCell="B46" sqref="B46"/>
      <selection pane="bottomRight"/>
    </sheetView>
  </sheetViews>
  <sheetFormatPr baseColWidth="10" defaultColWidth="11.42578125" defaultRowHeight="14" x14ac:dyDescent="0.2"/>
  <cols>
    <col min="1" max="1" width="30.140625" style="1" customWidth="1"/>
    <col min="2" max="6" width="7.7109375" style="1" customWidth="1"/>
    <col min="7" max="7" width="2.5703125" style="1" customWidth="1"/>
    <col min="8" max="12" width="7.7109375" style="1" customWidth="1"/>
    <col min="13" max="13" width="2.7109375" style="1" customWidth="1"/>
    <col min="14" max="18" width="7.7109375" style="1" customWidth="1"/>
    <col min="19" max="16384" width="11.42578125" style="1"/>
  </cols>
  <sheetData>
    <row r="1" spans="1:20" x14ac:dyDescent="0.2">
      <c r="B1" s="69" t="s">
        <v>202</v>
      </c>
      <c r="C1" s="70"/>
      <c r="D1" s="70"/>
      <c r="E1" s="70"/>
      <c r="F1" s="70"/>
      <c r="H1" s="69" t="s">
        <v>203</v>
      </c>
      <c r="I1" s="70"/>
      <c r="J1" s="70"/>
      <c r="K1" s="70"/>
      <c r="L1" s="70"/>
      <c r="N1" s="69" t="s">
        <v>204</v>
      </c>
      <c r="O1" s="70"/>
      <c r="P1" s="70"/>
      <c r="Q1" s="70"/>
      <c r="R1" s="70"/>
    </row>
    <row r="2" spans="1:20" x14ac:dyDescent="0.2">
      <c r="A2" t="s">
        <v>191</v>
      </c>
      <c r="B2" s="2">
        <v>2012</v>
      </c>
      <c r="C2" s="2">
        <v>2013</v>
      </c>
      <c r="D2" s="2">
        <v>2014</v>
      </c>
      <c r="E2" s="2">
        <v>2015</v>
      </c>
      <c r="F2" s="16" t="s">
        <v>6</v>
      </c>
      <c r="G2" s="30"/>
      <c r="H2" s="2">
        <v>2012</v>
      </c>
      <c r="I2" s="2">
        <v>2013</v>
      </c>
      <c r="J2" s="2">
        <v>2014</v>
      </c>
      <c r="K2" s="2">
        <v>2015</v>
      </c>
      <c r="L2" s="16" t="s">
        <v>6</v>
      </c>
      <c r="M2" s="30"/>
      <c r="N2" s="2">
        <v>2012</v>
      </c>
      <c r="O2" s="2">
        <v>2013</v>
      </c>
      <c r="P2" s="2">
        <v>2014</v>
      </c>
      <c r="Q2" s="2">
        <v>2015</v>
      </c>
      <c r="R2" s="16" t="s">
        <v>6</v>
      </c>
    </row>
    <row r="4" spans="1:20" x14ac:dyDescent="0.2">
      <c r="A4" s="17" t="s">
        <v>128</v>
      </c>
      <c r="B4" s="60">
        <f>Original!C39/AVERAGE(Original!B23:C23)</f>
        <v>0.26958105646630237</v>
      </c>
      <c r="C4" s="60">
        <f>Original!D39/AVERAGE(Original!C23:D23)</f>
        <v>0.31921824104234525</v>
      </c>
      <c r="D4" s="60">
        <f>Original!E39/AVERAGE(Original!D23:E23)</f>
        <v>0.36069651741293535</v>
      </c>
      <c r="E4" s="60">
        <f>Original!F39/AVERAGE(Original!E23:F23)</f>
        <v>0.40244969378827644</v>
      </c>
      <c r="F4" s="61">
        <f t="shared" ref="F4:F12" si="0">AVERAGE(B4:E4)</f>
        <v>0.33798637717746483</v>
      </c>
      <c r="G4" s="61"/>
      <c r="H4" s="60">
        <v>0.29299999999999998</v>
      </c>
      <c r="I4" s="60">
        <v>0.317</v>
      </c>
      <c r="J4" s="60">
        <v>0.28499999999999998</v>
      </c>
      <c r="K4" s="60">
        <v>0.23499999999999999</v>
      </c>
      <c r="L4" s="61">
        <f t="shared" ref="L4:L12" si="1">AVERAGE(H4:K4)</f>
        <v>0.28249999999999997</v>
      </c>
      <c r="M4" s="61"/>
      <c r="N4" s="60">
        <v>0.23</v>
      </c>
      <c r="O4" s="60">
        <v>0.22600000000000001</v>
      </c>
      <c r="P4" s="60">
        <v>0.21099999999999999</v>
      </c>
      <c r="Q4" s="60">
        <v>0.19600000000000001</v>
      </c>
      <c r="R4" s="61">
        <f t="shared" ref="R4:R12" si="2">AVERAGE(N4:Q4)</f>
        <v>0.21575</v>
      </c>
      <c r="T4" s="59" t="s">
        <v>151</v>
      </c>
    </row>
    <row r="5" spans="1:20" x14ac:dyDescent="0.2">
      <c r="B5" s="60"/>
      <c r="C5" s="60"/>
      <c r="D5" s="60"/>
      <c r="E5" s="60"/>
      <c r="F5" s="61"/>
      <c r="G5" s="61"/>
      <c r="H5" s="60"/>
      <c r="I5" s="60"/>
      <c r="J5" s="60"/>
      <c r="K5" s="60"/>
      <c r="L5" s="61"/>
      <c r="M5" s="61"/>
      <c r="N5" s="60"/>
      <c r="O5" s="60"/>
      <c r="P5" s="60"/>
      <c r="Q5" s="60"/>
      <c r="R5" s="61"/>
    </row>
    <row r="6" spans="1:20" x14ac:dyDescent="0.2">
      <c r="A6" t="s">
        <v>43</v>
      </c>
      <c r="B6" s="62">
        <f>B48/AVERAGE(Original!B13:C13)</f>
        <v>0.16581420765027322</v>
      </c>
      <c r="C6" s="62">
        <f>C48/AVERAGE(Original!C13:D13)</f>
        <v>0.18823751178133835</v>
      </c>
      <c r="D6" s="62">
        <f>D48/AVERAGE(Original!D13:E13)</f>
        <v>0.214620486366986</v>
      </c>
      <c r="E6" s="62">
        <f>E48/AVERAGE(Original!E13:F13)</f>
        <v>0.24166320166320165</v>
      </c>
      <c r="F6" s="61">
        <f t="shared" si="0"/>
        <v>0.2025838518654498</v>
      </c>
      <c r="G6" s="61"/>
      <c r="H6" s="62">
        <v>0.152</v>
      </c>
      <c r="I6" s="62">
        <v>0.16700000000000001</v>
      </c>
      <c r="J6" s="62">
        <v>0.16300000000000001</v>
      </c>
      <c r="K6" s="62">
        <v>0.14000000000000001</v>
      </c>
      <c r="L6" s="61">
        <f t="shared" si="1"/>
        <v>0.1555</v>
      </c>
      <c r="M6" s="61"/>
      <c r="N6" s="62">
        <v>0.13400000000000001</v>
      </c>
      <c r="O6" s="62">
        <v>0.13100000000000001</v>
      </c>
      <c r="P6" s="62">
        <v>0.122</v>
      </c>
      <c r="Q6" s="62">
        <f>0.114</f>
        <v>0.114</v>
      </c>
      <c r="R6" s="61">
        <f t="shared" si="2"/>
        <v>0.12525</v>
      </c>
      <c r="T6" s="59" t="s">
        <v>152</v>
      </c>
    </row>
    <row r="7" spans="1:20" x14ac:dyDescent="0.2">
      <c r="A7" t="s">
        <v>147</v>
      </c>
      <c r="B7" s="35">
        <f>AVERAGE(Original!B13:C13)/AVERAGE(Original!B23:C23)</f>
        <v>1.6666666666666667</v>
      </c>
      <c r="C7" s="35">
        <f>AVERAGE(Original!C13:D13)/AVERAGE(Original!C23:D23)</f>
        <v>1.728013029315961</v>
      </c>
      <c r="D7" s="35">
        <f>AVERAGE(Original!D13:E13)/AVERAGE(Original!D23:E23)</f>
        <v>1.6878109452736318</v>
      </c>
      <c r="E7" s="35">
        <f>AVERAGE(Original!E13:F13)/AVERAGE(Original!E23:F23)</f>
        <v>1.6832895888013999</v>
      </c>
      <c r="F7" s="18">
        <f t="shared" si="0"/>
        <v>1.6914450575144149</v>
      </c>
      <c r="G7" s="18"/>
      <c r="H7" s="35">
        <v>2.2280000000000002</v>
      </c>
      <c r="I7" s="35">
        <v>2.0870000000000002</v>
      </c>
      <c r="J7" s="35">
        <v>1.889</v>
      </c>
      <c r="K7" s="35">
        <v>1.83</v>
      </c>
      <c r="L7" s="18">
        <f t="shared" si="1"/>
        <v>2.0085000000000002</v>
      </c>
      <c r="M7" s="18"/>
      <c r="N7" s="35">
        <v>1.86</v>
      </c>
      <c r="O7" s="35">
        <v>1.869</v>
      </c>
      <c r="P7" s="35">
        <v>1.889</v>
      </c>
      <c r="Q7" s="35">
        <v>1.8740000000000001</v>
      </c>
      <c r="R7" s="18">
        <f t="shared" si="2"/>
        <v>1.8730000000000002</v>
      </c>
      <c r="T7" s="59" t="s">
        <v>153</v>
      </c>
    </row>
    <row r="8" spans="1:20" x14ac:dyDescent="0.2">
      <c r="A8" t="s">
        <v>148</v>
      </c>
      <c r="B8" s="35">
        <f>Original!C39/Ratios!B48</f>
        <v>0.97548114948589504</v>
      </c>
      <c r="C8" s="35">
        <f>Original!D39/Ratios!C48</f>
        <v>0.9813739234928901</v>
      </c>
      <c r="D8" s="35">
        <f>Original!E39/Ratios!D48</f>
        <v>0.99574234308474108</v>
      </c>
      <c r="E8" s="35">
        <f>Original!F39/Ratios!E48</f>
        <v>0.98933241569167241</v>
      </c>
      <c r="F8" s="18">
        <f t="shared" si="0"/>
        <v>0.98548245793879963</v>
      </c>
      <c r="G8" s="18"/>
      <c r="H8" s="35">
        <v>0.86599999999999999</v>
      </c>
      <c r="I8" s="35">
        <v>0.90900000000000003</v>
      </c>
      <c r="J8" s="35">
        <v>0.92100000000000004</v>
      </c>
      <c r="K8" s="35">
        <v>0.91300000000000003</v>
      </c>
      <c r="L8" s="18">
        <f t="shared" si="1"/>
        <v>0.90225</v>
      </c>
      <c r="M8" s="18"/>
      <c r="N8" s="35">
        <v>0.92100000000000004</v>
      </c>
      <c r="O8" s="35">
        <v>0.92300000000000004</v>
      </c>
      <c r="P8" s="35">
        <v>0.91900000000000004</v>
      </c>
      <c r="Q8" s="35">
        <v>0.91900000000000004</v>
      </c>
      <c r="R8" s="18">
        <f t="shared" si="2"/>
        <v>0.92049999999999998</v>
      </c>
      <c r="T8" s="59" t="s">
        <v>154</v>
      </c>
    </row>
    <row r="9" spans="1:20" x14ac:dyDescent="0.2">
      <c r="B9" s="33"/>
      <c r="C9" s="33"/>
      <c r="D9" s="33"/>
      <c r="E9" s="33"/>
      <c r="F9" s="57"/>
      <c r="G9" s="18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</row>
    <row r="10" spans="1:20" x14ac:dyDescent="0.2">
      <c r="A10" s="17" t="s">
        <v>43</v>
      </c>
      <c r="B10" s="32"/>
      <c r="C10" s="32"/>
      <c r="D10" s="32"/>
      <c r="E10" s="32"/>
      <c r="F10" s="57"/>
      <c r="G10" s="18"/>
      <c r="H10" s="31"/>
      <c r="I10" s="31"/>
      <c r="J10" s="31"/>
      <c r="K10" s="31"/>
      <c r="L10" s="18"/>
      <c r="M10" s="18"/>
      <c r="N10" s="31"/>
      <c r="O10" s="31"/>
      <c r="P10" s="31"/>
      <c r="Q10" s="31"/>
      <c r="R10" s="18"/>
    </row>
    <row r="11" spans="1:20" x14ac:dyDescent="0.2">
      <c r="A11" t="s">
        <v>149</v>
      </c>
      <c r="B11" s="60">
        <f>B48/Original!C28</f>
        <v>6.0591054313099038E-2</v>
      </c>
      <c r="C11" s="60">
        <f>C48/Original!D28</f>
        <v>6.2923755513547577E-2</v>
      </c>
      <c r="D11" s="60">
        <f>D48/Original!E28</f>
        <v>7.5294725956566708E-2</v>
      </c>
      <c r="E11" s="60">
        <f>E48/Original!F28</f>
        <v>9.2290591504565297E-2</v>
      </c>
      <c r="F11" s="61">
        <f t="shared" si="0"/>
        <v>7.2775031821944655E-2</v>
      </c>
      <c r="G11" s="61"/>
      <c r="H11" s="60">
        <v>6.8000000000000005E-2</v>
      </c>
      <c r="I11" s="60">
        <v>0.08</v>
      </c>
      <c r="J11" s="60">
        <v>0.08</v>
      </c>
      <c r="K11" s="60">
        <v>7.0000000000000007E-2</v>
      </c>
      <c r="L11" s="61">
        <f t="shared" si="1"/>
        <v>7.4500000000000011E-2</v>
      </c>
      <c r="M11" s="61"/>
      <c r="N11" s="60">
        <v>6.0999999999999999E-2</v>
      </c>
      <c r="O11" s="60">
        <v>0.06</v>
      </c>
      <c r="P11" s="60">
        <v>5.7000000000000002E-2</v>
      </c>
      <c r="Q11" s="60">
        <v>5.2999999999999999E-2</v>
      </c>
      <c r="R11" s="61">
        <f t="shared" si="2"/>
        <v>5.7749999999999996E-2</v>
      </c>
      <c r="T11" s="59" t="s">
        <v>155</v>
      </c>
    </row>
    <row r="12" spans="1:20" x14ac:dyDescent="0.2">
      <c r="A12" t="s">
        <v>150</v>
      </c>
      <c r="B12" s="35">
        <f>Original!C28/AVERAGE(Original!B13:C13)</f>
        <v>2.7366120218579235</v>
      </c>
      <c r="C12" s="35">
        <f>Original!D28/AVERAGE(Original!C13:D13)</f>
        <v>2.9915174363807728</v>
      </c>
      <c r="D12" s="35">
        <f>Original!E28/AVERAGE(Original!D13:E13)</f>
        <v>2.8504053058216656</v>
      </c>
      <c r="E12" s="35">
        <f>Original!F28/AVERAGE(Original!E13:F13)</f>
        <v>2.6185031185031185</v>
      </c>
      <c r="F12" s="18">
        <f t="shared" si="0"/>
        <v>2.79925947064087</v>
      </c>
      <c r="G12" s="18"/>
      <c r="H12" s="35">
        <v>2.226</v>
      </c>
      <c r="I12" s="35">
        <v>2.081</v>
      </c>
      <c r="J12" s="35">
        <v>2.032</v>
      </c>
      <c r="K12" s="35">
        <v>1.9970000000000001</v>
      </c>
      <c r="L12" s="18">
        <f t="shared" si="1"/>
        <v>2.0840000000000001</v>
      </c>
      <c r="M12" s="18"/>
      <c r="N12" s="35">
        <v>2.19</v>
      </c>
      <c r="O12" s="35">
        <v>2.1749999999999998</v>
      </c>
      <c r="P12" s="35">
        <v>2.153</v>
      </c>
      <c r="Q12" s="35">
        <v>2.141</v>
      </c>
      <c r="R12" s="18">
        <f t="shared" si="2"/>
        <v>2.1647500000000002</v>
      </c>
      <c r="T12" s="59" t="s">
        <v>156</v>
      </c>
    </row>
    <row r="13" spans="1:20" x14ac:dyDescent="0.2">
      <c r="B13" s="31"/>
      <c r="C13" s="31"/>
      <c r="D13" s="31"/>
      <c r="E13" s="31"/>
      <c r="F13" s="57"/>
      <c r="G13" s="18"/>
      <c r="H13" s="31"/>
      <c r="L13" s="18"/>
      <c r="M13" s="18"/>
      <c r="N13" s="31"/>
      <c r="R13" s="18"/>
    </row>
    <row r="14" spans="1:20" x14ac:dyDescent="0.2">
      <c r="A14" s="17" t="s">
        <v>44</v>
      </c>
      <c r="B14" s="31"/>
      <c r="C14" s="31"/>
      <c r="D14" s="31"/>
      <c r="E14" s="31"/>
      <c r="F14" s="57"/>
      <c r="G14" s="18"/>
      <c r="H14" s="31"/>
      <c r="L14" s="18"/>
      <c r="M14" s="18"/>
      <c r="N14" s="31"/>
      <c r="R14" s="18"/>
    </row>
    <row r="15" spans="1:20" x14ac:dyDescent="0.2">
      <c r="A15" t="s">
        <v>132</v>
      </c>
      <c r="B15" s="60">
        <f>Original!C30/Original!C28</f>
        <v>0.34984025559105431</v>
      </c>
      <c r="C15" s="60">
        <f>Original!D30/Original!D28</f>
        <v>0.36420919974795213</v>
      </c>
      <c r="D15" s="60">
        <f>Original!E30/Original!E28</f>
        <v>0.38469493278179939</v>
      </c>
      <c r="E15" s="60">
        <f>Original!F30/Original!F28</f>
        <v>0.40492258832870187</v>
      </c>
      <c r="F15" s="61">
        <f t="shared" ref="F15:F22" si="3">AVERAGE(B15:E15)</f>
        <v>0.37591674411237697</v>
      </c>
      <c r="G15" s="61"/>
      <c r="H15" s="60">
        <v>0.34599999999999997</v>
      </c>
      <c r="I15" s="60">
        <v>0.36</v>
      </c>
      <c r="J15" s="60">
        <v>0.36</v>
      </c>
      <c r="K15" s="60">
        <f>0.342</f>
        <v>0.34200000000000003</v>
      </c>
      <c r="L15" s="61">
        <f t="shared" ref="L15:L22" si="4">AVERAGE(H15:K15)</f>
        <v>0.35199999999999998</v>
      </c>
      <c r="M15" s="61"/>
      <c r="N15" s="60">
        <v>0.36799999999999999</v>
      </c>
      <c r="O15" s="60">
        <v>0.37</v>
      </c>
      <c r="P15" s="60">
        <v>0.36499999999999999</v>
      </c>
      <c r="Q15" s="60">
        <v>0.36199999999999999</v>
      </c>
      <c r="R15" s="61">
        <f t="shared" ref="R15:R22" si="5">AVERAGE(N15:Q15)</f>
        <v>0.36624999999999996</v>
      </c>
      <c r="T15" s="59" t="s">
        <v>157</v>
      </c>
    </row>
    <row r="16" spans="1:20" x14ac:dyDescent="0.2">
      <c r="A16" s="34" t="s">
        <v>37</v>
      </c>
      <c r="B16" s="60">
        <f>Original!C31/Original!C28</f>
        <v>0.21645367412140576</v>
      </c>
      <c r="C16" s="60">
        <f>Original!D31/Original!D28</f>
        <v>0.22936357908002519</v>
      </c>
      <c r="D16" s="60">
        <f>Original!E31/Original!E28</f>
        <v>0.23474663908996898</v>
      </c>
      <c r="E16" s="60">
        <f>Original!F31/Original!F28</f>
        <v>0.22866216752679636</v>
      </c>
      <c r="F16" s="61">
        <f t="shared" si="3"/>
        <v>0.22730651495454907</v>
      </c>
      <c r="G16" s="61"/>
      <c r="H16" s="60">
        <v>0.2</v>
      </c>
      <c r="I16" s="60">
        <v>0.19400000000000001</v>
      </c>
      <c r="J16" s="60">
        <v>0.19600000000000001</v>
      </c>
      <c r="K16" s="60">
        <v>0.193</v>
      </c>
      <c r="L16" s="61">
        <f t="shared" si="4"/>
        <v>0.19575000000000004</v>
      </c>
      <c r="M16" s="61"/>
      <c r="N16" s="60">
        <v>0.253</v>
      </c>
      <c r="O16" s="60">
        <v>0.251</v>
      </c>
      <c r="P16" s="60">
        <v>0.253</v>
      </c>
      <c r="Q16" s="60">
        <v>0.252</v>
      </c>
      <c r="R16" s="61">
        <f t="shared" si="5"/>
        <v>0.25224999999999997</v>
      </c>
      <c r="T16" s="59" t="s">
        <v>158</v>
      </c>
    </row>
    <row r="17" spans="1:20" x14ac:dyDescent="0.2">
      <c r="A17" s="1" t="s">
        <v>45</v>
      </c>
      <c r="B17" s="62">
        <f>Original!C34/Original!C28</f>
        <v>0.10862619808306709</v>
      </c>
      <c r="C17" s="62">
        <f>Original!D34/Original!D28</f>
        <v>0.11090107120352867</v>
      </c>
      <c r="D17" s="62">
        <f>Original!E34/Original!E28</f>
        <v>0.12306101344364012</v>
      </c>
      <c r="E17" s="62">
        <f>Original!F34/Original!F28</f>
        <v>0.14847161572052403</v>
      </c>
      <c r="F17" s="61">
        <f t="shared" si="3"/>
        <v>0.12276497461268998</v>
      </c>
      <c r="G17" s="61"/>
      <c r="H17" s="62">
        <v>0.112</v>
      </c>
      <c r="I17" s="62">
        <v>0.13200000000000001</v>
      </c>
      <c r="J17" s="62">
        <v>0.13</v>
      </c>
      <c r="K17" s="62">
        <v>0.113</v>
      </c>
      <c r="L17" s="61">
        <f t="shared" si="4"/>
        <v>0.12175</v>
      </c>
      <c r="M17" s="61"/>
      <c r="N17" s="62">
        <v>9.0999999999999998E-2</v>
      </c>
      <c r="O17" s="62">
        <v>9.4E-2</v>
      </c>
      <c r="P17" s="62">
        <v>8.6999999999999994E-2</v>
      </c>
      <c r="Q17" s="62">
        <v>8.4000000000000005E-2</v>
      </c>
      <c r="R17" s="61">
        <f t="shared" si="5"/>
        <v>8.900000000000001E-2</v>
      </c>
      <c r="T17" s="59" t="s">
        <v>159</v>
      </c>
    </row>
    <row r="18" spans="1:20" x14ac:dyDescent="0.2">
      <c r="A18" s="59" t="s">
        <v>160</v>
      </c>
      <c r="B18" s="62">
        <f>Original!C35/Original!C28</f>
        <v>2.3961661341853034E-3</v>
      </c>
      <c r="C18" s="62">
        <f>Original!D35/Original!D28</f>
        <v>1.890359168241966E-3</v>
      </c>
      <c r="D18" s="62">
        <f>Original!E35/Original!E28</f>
        <v>5.1706308169596695E-4</v>
      </c>
      <c r="E18" s="62">
        <f>Original!F35/Original!F28</f>
        <v>1.5879317189360857E-3</v>
      </c>
      <c r="F18" s="61">
        <f t="shared" si="3"/>
        <v>1.5978800257648305E-3</v>
      </c>
      <c r="G18" s="61"/>
      <c r="H18" s="62">
        <v>1.0999999999999999E-2</v>
      </c>
      <c r="I18" s="62">
        <v>1.2999999999999999E-2</v>
      </c>
      <c r="J18" s="62">
        <v>1.4E-2</v>
      </c>
      <c r="K18" s="62">
        <v>1.6E-2</v>
      </c>
      <c r="L18" s="61">
        <f t="shared" si="4"/>
        <v>1.35E-2</v>
      </c>
      <c r="M18" s="61"/>
      <c r="N18" s="62">
        <v>2.1000000000000001E-2</v>
      </c>
      <c r="O18" s="62">
        <v>1.9E-2</v>
      </c>
      <c r="P18" s="62">
        <v>2.1999999999999999E-2</v>
      </c>
      <c r="Q18" s="62">
        <v>2.4E-2</v>
      </c>
      <c r="R18" s="61">
        <f t="shared" si="5"/>
        <v>2.1499999999999998E-2</v>
      </c>
      <c r="T18" s="59" t="s">
        <v>161</v>
      </c>
    </row>
    <row r="19" spans="1:20" x14ac:dyDescent="0.2">
      <c r="A19" s="59" t="s">
        <v>130</v>
      </c>
      <c r="B19" s="60">
        <f>Original!C38/Original!C37</f>
        <v>0.41269841269841268</v>
      </c>
      <c r="C19" s="60">
        <f>Original!D38/Original!D37</f>
        <v>0.3987730061349693</v>
      </c>
      <c r="D19" s="60">
        <f>Original!E38/Original!E37</f>
        <v>0.3881856540084388</v>
      </c>
      <c r="E19" s="60">
        <f>Original!F38/Original!F37</f>
        <v>0.38005390835579517</v>
      </c>
      <c r="F19" s="61">
        <f>AVERAGE(B19:E19)</f>
        <v>0.394927745299404</v>
      </c>
      <c r="G19" s="61"/>
      <c r="H19" s="60">
        <v>0.36799999999999999</v>
      </c>
      <c r="I19" s="60">
        <v>0.39500000000000002</v>
      </c>
      <c r="J19" s="60">
        <v>0.34200000000000003</v>
      </c>
      <c r="K19" s="60">
        <v>0.40100000000000002</v>
      </c>
      <c r="L19" s="61">
        <f>AVERAGE(H19:K19)</f>
        <v>0.3765</v>
      </c>
      <c r="M19" s="61"/>
      <c r="N19" s="60">
        <v>0.38100000000000001</v>
      </c>
      <c r="O19" s="60">
        <v>0.38300000000000001</v>
      </c>
      <c r="P19" s="60">
        <v>0.38400000000000001</v>
      </c>
      <c r="Q19" s="60">
        <v>0.38300000000000001</v>
      </c>
      <c r="R19" s="61">
        <f>AVERAGE(N19:Q19)</f>
        <v>0.38275000000000003</v>
      </c>
      <c r="T19" s="59" t="s">
        <v>162</v>
      </c>
    </row>
    <row r="20" spans="1:20" x14ac:dyDescent="0.2">
      <c r="B20" s="31"/>
      <c r="C20" s="31"/>
      <c r="D20" s="31"/>
      <c r="E20" s="31"/>
      <c r="F20" s="57"/>
      <c r="G20" s="18"/>
      <c r="H20" s="31"/>
      <c r="I20" s="31"/>
      <c r="J20" s="31"/>
      <c r="K20" s="31"/>
      <c r="L20" s="18"/>
      <c r="M20" s="18"/>
      <c r="N20" s="31"/>
      <c r="O20" s="31"/>
      <c r="P20" s="31"/>
      <c r="Q20" s="31"/>
      <c r="R20" s="18"/>
    </row>
    <row r="21" spans="1:20" x14ac:dyDescent="0.2">
      <c r="A21" s="17" t="s">
        <v>166</v>
      </c>
      <c r="F21" s="57"/>
      <c r="G21" s="18"/>
      <c r="H21" s="31"/>
      <c r="I21" s="31"/>
      <c r="J21" s="31"/>
      <c r="K21" s="31"/>
      <c r="L21" s="18"/>
      <c r="M21" s="18"/>
      <c r="N21" s="31"/>
      <c r="O21" s="31"/>
      <c r="P21" s="31"/>
      <c r="Q21" s="31"/>
      <c r="R21" s="18"/>
    </row>
    <row r="22" spans="1:20" x14ac:dyDescent="0.2">
      <c r="A22" t="s">
        <v>135</v>
      </c>
      <c r="B22" s="56">
        <f>Original!C28/AVERAGE(Original!B5:C5)</f>
        <v>166.93333333333334</v>
      </c>
      <c r="C22" s="56">
        <f>Original!D28/AVERAGE(Original!C5:D5)</f>
        <v>264.5</v>
      </c>
      <c r="D22" s="56">
        <f>Original!E28/AVERAGE(Original!D5:E5)</f>
        <v>241.75</v>
      </c>
      <c r="E22" s="56">
        <f>Original!F28/AVERAGE(Original!E5:F5)</f>
        <v>279.88888888888891</v>
      </c>
      <c r="F22" s="23">
        <f t="shared" si="3"/>
        <v>238.26805555555558</v>
      </c>
      <c r="G22" s="23"/>
      <c r="H22" s="56">
        <f>4155/(0.5*(532+95))</f>
        <v>13.253588516746412</v>
      </c>
      <c r="I22" s="56">
        <f>4750/(0.5*(596+532))</f>
        <v>8.4219858156028362</v>
      </c>
      <c r="J22" s="56">
        <f>5376/(0.5*(670+596))</f>
        <v>8.4928909952606642</v>
      </c>
      <c r="K22" s="56">
        <f>6281/(0.5*(736+670))</f>
        <v>8.9345661450924609</v>
      </c>
      <c r="L22" s="23">
        <f t="shared" si="4"/>
        <v>9.7757578681755941</v>
      </c>
      <c r="M22" s="23"/>
      <c r="N22" s="56">
        <f>15734/(0.5*(1156+631))</f>
        <v>17.609401231113598</v>
      </c>
      <c r="O22" s="56">
        <f>17819/(0.5*(1290+1156))</f>
        <v>14.569910057236305</v>
      </c>
      <c r="P22" s="56">
        <f>20172/(0.5*(1430+1290))</f>
        <v>14.83235294117647</v>
      </c>
      <c r="Q22" s="56">
        <f>23220/(0.5*(1604+1430))</f>
        <v>15.306526038233356</v>
      </c>
      <c r="R22" s="23">
        <f t="shared" si="5"/>
        <v>15.579547566939933</v>
      </c>
      <c r="T22" s="59" t="s">
        <v>163</v>
      </c>
    </row>
    <row r="23" spans="1:20" x14ac:dyDescent="0.2">
      <c r="A23" s="1" t="s">
        <v>47</v>
      </c>
      <c r="B23" s="56">
        <f>Original!C29/AVERAGE(Original!B6:C6)</f>
        <v>4.195876288659794</v>
      </c>
      <c r="C23" s="56">
        <f>Original!D29/AVERAGE(Original!C6:D6)</f>
        <v>4.6178489702517158</v>
      </c>
      <c r="D23" s="56">
        <f>Original!E29/AVERAGE(Original!D6:E6)</f>
        <v>4.8373983739837394</v>
      </c>
      <c r="E23" s="56">
        <f>Original!F29/AVERAGE(Original!E6:F6)</f>
        <v>5.3345195729537362</v>
      </c>
      <c r="F23" s="23">
        <f>AVERAGE(B23:E23)</f>
        <v>4.7464108014622468</v>
      </c>
      <c r="G23" s="23"/>
      <c r="H23" s="56">
        <f>2717/(0.5*(407+354))</f>
        <v>7.1406044678055194</v>
      </c>
      <c r="I23" s="56">
        <f>3041/(0.5*(482+407))</f>
        <v>6.8413948256467938</v>
      </c>
      <c r="J23" s="56">
        <f>3440/(0.5*(585+482))</f>
        <v>6.4479850046860356</v>
      </c>
      <c r="K23" s="56">
        <f>4133/(0.5*(730+585))</f>
        <v>6.2859315589353608</v>
      </c>
      <c r="L23" s="23">
        <f>AVERAGE(H23:K23)</f>
        <v>6.6789789642684276</v>
      </c>
      <c r="M23" s="23"/>
      <c r="N23" s="56">
        <f xml:space="preserve"> 9946/(0.5*(2316+1986))</f>
        <v>4.6238958623895865</v>
      </c>
      <c r="O23" s="56">
        <f>11226/(0.5*(2558+2316))</f>
        <v>4.6064833812064014</v>
      </c>
      <c r="P23" s="56">
        <f>12817/(0.5*(3067+2558))</f>
        <v>4.5571555555555552</v>
      </c>
      <c r="Q23" s="56">
        <f>14804/(0.5*(3578+3067))</f>
        <v>4.455680963130173</v>
      </c>
      <c r="R23" s="23">
        <f>AVERAGE(N23:Q23)</f>
        <v>4.5608039405704286</v>
      </c>
      <c r="T23" s="59" t="s">
        <v>164</v>
      </c>
    </row>
    <row r="24" spans="1:20" x14ac:dyDescent="0.2">
      <c r="A24" t="s">
        <v>134</v>
      </c>
      <c r="B24" s="56">
        <f>B49/AVERAGE(Original!B16:C16)</f>
        <v>10.899328859060402</v>
      </c>
      <c r="C24" s="56">
        <f>C49/AVERAGE(Original!C16:D16)</f>
        <v>12.114285714285714</v>
      </c>
      <c r="D24" s="56">
        <f>D49/AVERAGE(Original!D16:E16)</f>
        <v>11.425837320574162</v>
      </c>
      <c r="E24" s="56">
        <f>E49/AVERAGE(Original!E16:F16)</f>
        <v>11.465201465201465</v>
      </c>
      <c r="F24" s="23">
        <f>AVERAGE(B24:E24)</f>
        <v>11.476163339780436</v>
      </c>
      <c r="G24" s="23"/>
      <c r="H24" s="56">
        <v>14.3</v>
      </c>
      <c r="I24" s="56">
        <v>13.1</v>
      </c>
      <c r="J24" s="56">
        <v>12.9</v>
      </c>
      <c r="K24" s="56">
        <v>13.2</v>
      </c>
      <c r="L24" s="23">
        <f>AVERAGE(H24:K24)</f>
        <v>13.375</v>
      </c>
      <c r="M24" s="56"/>
      <c r="N24" s="56">
        <v>15.2</v>
      </c>
      <c r="O24" s="56">
        <v>14.9</v>
      </c>
      <c r="P24" s="56">
        <v>15.4</v>
      </c>
      <c r="Q24" s="56">
        <v>16.2</v>
      </c>
      <c r="R24" s="23">
        <f>AVERAGE(N24:Q24)</f>
        <v>15.425000000000001</v>
      </c>
      <c r="T24" s="59" t="s">
        <v>165</v>
      </c>
    </row>
    <row r="25" spans="1:20" x14ac:dyDescent="0.2">
      <c r="A25" t="s">
        <v>168</v>
      </c>
      <c r="B25" s="56">
        <f>Original!C28/AVERAGE(Original!B11:C11)</f>
        <v>7.195402298850575</v>
      </c>
      <c r="C25" s="56">
        <f>Original!D28/AVERAGE(Original!C11:D11)</f>
        <v>7.3986013986013983</v>
      </c>
      <c r="D25" s="56">
        <f>Original!E28/AVERAGE(Original!D11:E11)</f>
        <v>6.2186495176848871</v>
      </c>
      <c r="E25" s="56">
        <f>Original!F28/AVERAGE(Original!E11:F11)</f>
        <v>5.4055793991416312</v>
      </c>
      <c r="F25" s="23">
        <f>AVERAGE(B25:E25)</f>
        <v>6.5545581535696229</v>
      </c>
      <c r="G25" s="23"/>
      <c r="H25" s="56">
        <v>4.3</v>
      </c>
      <c r="I25" s="56">
        <v>4.5999999999999996</v>
      </c>
      <c r="J25" s="56">
        <v>4.0999999999999996</v>
      </c>
      <c r="K25" s="56">
        <v>4.3</v>
      </c>
      <c r="L25" s="23">
        <f>AVERAGE(H25:K25)</f>
        <v>4.3249999999999993</v>
      </c>
      <c r="M25" s="56"/>
      <c r="N25" s="56">
        <v>9.8000000000000007</v>
      </c>
      <c r="O25" s="56">
        <v>11.1</v>
      </c>
      <c r="P25" s="56">
        <v>10.9</v>
      </c>
      <c r="Q25" s="56">
        <v>10.5</v>
      </c>
      <c r="R25" s="23">
        <f>AVERAGE(N25:Q25)</f>
        <v>10.574999999999999</v>
      </c>
      <c r="T25" s="59" t="s">
        <v>169</v>
      </c>
    </row>
    <row r="26" spans="1:20" x14ac:dyDescent="0.2"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</row>
    <row r="27" spans="1:20" x14ac:dyDescent="0.2">
      <c r="A27" s="17" t="s">
        <v>167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</row>
    <row r="28" spans="1:20" x14ac:dyDescent="0.2">
      <c r="A28" s="1" t="s">
        <v>46</v>
      </c>
      <c r="B28" s="56">
        <f t="shared" ref="B28:E30" si="6">365/B22</f>
        <v>2.1865015974440896</v>
      </c>
      <c r="C28" s="56">
        <f t="shared" si="6"/>
        <v>1.3799621928166352</v>
      </c>
      <c r="D28" s="56">
        <f t="shared" si="6"/>
        <v>1.5098241985522234</v>
      </c>
      <c r="E28" s="56">
        <f t="shared" si="6"/>
        <v>1.3040889241762603</v>
      </c>
      <c r="F28" s="23">
        <f>AVERAGE(B28:E28)</f>
        <v>1.5950942282473022</v>
      </c>
      <c r="G28" s="23"/>
      <c r="H28" s="56">
        <f t="shared" ref="H28:K30" si="7">365/H22</f>
        <v>27.539711191335741</v>
      </c>
      <c r="I28" s="56">
        <f t="shared" si="7"/>
        <v>43.338947368421053</v>
      </c>
      <c r="J28" s="56">
        <f t="shared" si="7"/>
        <v>42.977120535714285</v>
      </c>
      <c r="K28" s="56">
        <f t="shared" si="7"/>
        <v>40.852571246616783</v>
      </c>
      <c r="L28" s="23">
        <f>AVERAGE(H28:K28)</f>
        <v>38.67708758552196</v>
      </c>
      <c r="M28" s="23"/>
      <c r="N28" s="56">
        <f t="shared" ref="N28:Q30" si="8">365/N22</f>
        <v>20.727564509978393</v>
      </c>
      <c r="O28" s="56">
        <f t="shared" si="8"/>
        <v>25.051630282282954</v>
      </c>
      <c r="P28" s="56">
        <f t="shared" si="8"/>
        <v>24.608368034899861</v>
      </c>
      <c r="Q28" s="56">
        <f t="shared" si="8"/>
        <v>23.84603789836348</v>
      </c>
      <c r="R28" s="23">
        <f>AVERAGE(N28:Q28)</f>
        <v>23.558400181381174</v>
      </c>
      <c r="T28" s="59" t="s">
        <v>170</v>
      </c>
    </row>
    <row r="29" spans="1:20" x14ac:dyDescent="0.2">
      <c r="A29" s="1" t="s">
        <v>48</v>
      </c>
      <c r="B29" s="56">
        <f t="shared" si="6"/>
        <v>86.990171990171987</v>
      </c>
      <c r="C29" s="56">
        <f t="shared" si="6"/>
        <v>79.041129831516358</v>
      </c>
      <c r="D29" s="56">
        <f t="shared" si="6"/>
        <v>75.453781512605048</v>
      </c>
      <c r="E29" s="56">
        <f t="shared" si="6"/>
        <v>68.422281521014014</v>
      </c>
      <c r="F29" s="23">
        <f>AVERAGE(B29:E29)</f>
        <v>77.476841213826845</v>
      </c>
      <c r="G29" s="23"/>
      <c r="H29" s="56">
        <f t="shared" si="7"/>
        <v>51.116120721383879</v>
      </c>
      <c r="I29" s="56">
        <f t="shared" si="7"/>
        <v>53.351693521867809</v>
      </c>
      <c r="J29" s="56">
        <f t="shared" si="7"/>
        <v>56.606831395348834</v>
      </c>
      <c r="K29" s="56">
        <f t="shared" si="7"/>
        <v>58.066174691507385</v>
      </c>
      <c r="L29" s="23">
        <f>AVERAGE(H29:K29)</f>
        <v>54.785205082526986</v>
      </c>
      <c r="M29" s="23"/>
      <c r="N29" s="56">
        <f t="shared" si="8"/>
        <v>78.937763925196052</v>
      </c>
      <c r="O29" s="56">
        <f t="shared" si="8"/>
        <v>79.236148227329409</v>
      </c>
      <c r="P29" s="56">
        <f t="shared" si="8"/>
        <v>80.093820706873686</v>
      </c>
      <c r="Q29" s="56">
        <f t="shared" si="8"/>
        <v>81.917893812483115</v>
      </c>
      <c r="R29" s="23">
        <f>AVERAGE(N29:Q29)</f>
        <v>80.046406667970572</v>
      </c>
      <c r="T29" s="59" t="s">
        <v>171</v>
      </c>
    </row>
    <row r="30" spans="1:20" x14ac:dyDescent="0.2">
      <c r="A30" t="s">
        <v>136</v>
      </c>
      <c r="B30" s="56">
        <f t="shared" si="6"/>
        <v>33.48830049261084</v>
      </c>
      <c r="C30" s="56">
        <f t="shared" si="6"/>
        <v>30.129716981132077</v>
      </c>
      <c r="D30" s="56">
        <f t="shared" si="6"/>
        <v>31.945142378559463</v>
      </c>
      <c r="E30" s="56">
        <f t="shared" si="6"/>
        <v>31.835463258785943</v>
      </c>
      <c r="F30" s="23">
        <f>AVERAGE(B30:E30)</f>
        <v>31.849655777772078</v>
      </c>
      <c r="G30" s="23"/>
      <c r="H30" s="56">
        <f t="shared" si="7"/>
        <v>25.524475524475523</v>
      </c>
      <c r="I30" s="56">
        <f t="shared" si="7"/>
        <v>27.862595419847327</v>
      </c>
      <c r="J30" s="56">
        <f t="shared" si="7"/>
        <v>28.294573643410853</v>
      </c>
      <c r="K30" s="56">
        <f t="shared" si="7"/>
        <v>27.651515151515152</v>
      </c>
      <c r="L30" s="23">
        <f>AVERAGE(H30:K30)</f>
        <v>27.333289934812214</v>
      </c>
      <c r="M30" s="23"/>
      <c r="N30" s="56">
        <f t="shared" si="8"/>
        <v>24.013157894736842</v>
      </c>
      <c r="O30" s="56">
        <f t="shared" si="8"/>
        <v>24.496644295302012</v>
      </c>
      <c r="P30" s="56">
        <f t="shared" si="8"/>
        <v>23.7012987012987</v>
      </c>
      <c r="Q30" s="56">
        <f t="shared" si="8"/>
        <v>22.530864197530864</v>
      </c>
      <c r="R30" s="23">
        <f>AVERAGE(N30:Q30)</f>
        <v>23.685491272217103</v>
      </c>
      <c r="T30" s="59" t="s">
        <v>172</v>
      </c>
    </row>
    <row r="31" spans="1:20" x14ac:dyDescent="0.2">
      <c r="A31" t="s">
        <v>137</v>
      </c>
      <c r="B31" s="56">
        <f>B28+B29-B30</f>
        <v>55.68837309500524</v>
      </c>
      <c r="C31" s="56">
        <f>C28+C29-C30</f>
        <v>50.291375043200915</v>
      </c>
      <c r="D31" s="56">
        <f>D28+D29-D30</f>
        <v>45.018463332597804</v>
      </c>
      <c r="E31" s="56">
        <f>E28+E29-E30</f>
        <v>37.890907186404327</v>
      </c>
      <c r="F31" s="23">
        <f>AVERAGE(B31:E31)</f>
        <v>47.222279664302071</v>
      </c>
      <c r="G31" s="23"/>
      <c r="H31" s="56">
        <f>H28+H29-H30</f>
        <v>53.1313563882441</v>
      </c>
      <c r="I31" s="56">
        <f>I28+I29-I30</f>
        <v>68.828045470441538</v>
      </c>
      <c r="J31" s="56">
        <f>J28+J29-J30</f>
        <v>71.289378287652269</v>
      </c>
      <c r="K31" s="56">
        <f>K28+K29-K30</f>
        <v>71.267230786609019</v>
      </c>
      <c r="L31" s="23">
        <f>AVERAGE(H31:K31)</f>
        <v>66.129002733236732</v>
      </c>
      <c r="M31" s="23"/>
      <c r="N31" s="56">
        <f>N28+N29-N30</f>
        <v>75.652170540437595</v>
      </c>
      <c r="O31" s="56">
        <f>O28+O29-O30</f>
        <v>79.791134214310347</v>
      </c>
      <c r="P31" s="56">
        <f>P28+P29-P30</f>
        <v>81.000890040474843</v>
      </c>
      <c r="Q31" s="56">
        <f>Q28+Q29-Q30</f>
        <v>83.233067513315731</v>
      </c>
      <c r="R31" s="23">
        <f>AVERAGE(N31:Q31)</f>
        <v>79.919315577134626</v>
      </c>
      <c r="T31" s="59" t="s">
        <v>173</v>
      </c>
    </row>
    <row r="32" spans="1:20" x14ac:dyDescent="0.2">
      <c r="A32"/>
      <c r="B32" s="31"/>
      <c r="C32" s="31"/>
      <c r="D32" s="31"/>
      <c r="E32" s="31"/>
      <c r="F32" s="57"/>
      <c r="G32" s="18"/>
      <c r="H32" s="31"/>
      <c r="I32" s="31"/>
      <c r="J32" s="31"/>
      <c r="K32" s="31"/>
      <c r="L32" s="18"/>
      <c r="M32" s="18"/>
      <c r="N32" s="31"/>
      <c r="O32" s="31"/>
      <c r="P32" s="31"/>
      <c r="Q32" s="31"/>
      <c r="R32" s="18"/>
    </row>
    <row r="33" spans="1:20" x14ac:dyDescent="0.2">
      <c r="A33" s="58" t="s">
        <v>138</v>
      </c>
      <c r="F33" s="18"/>
      <c r="G33" s="18"/>
      <c r="H33" s="31"/>
      <c r="I33" s="31"/>
      <c r="J33" s="31"/>
      <c r="K33" s="31"/>
      <c r="L33" s="18"/>
      <c r="M33" s="18"/>
      <c r="N33" s="31"/>
      <c r="O33" s="31"/>
      <c r="P33" s="31"/>
      <c r="Q33" s="31"/>
      <c r="R33" s="18"/>
    </row>
    <row r="34" spans="1:20" x14ac:dyDescent="0.2">
      <c r="A34" s="59" t="s">
        <v>139</v>
      </c>
      <c r="B34" s="35">
        <f>Original!C8/Original!C19</f>
        <v>1.72</v>
      </c>
      <c r="C34" s="35">
        <f>Original!D8/Original!D19</f>
        <v>1.7228260869565217</v>
      </c>
      <c r="D34" s="35">
        <f>Original!E8/Original!E19</f>
        <v>1.454183266932271</v>
      </c>
      <c r="E34" s="35">
        <f>Original!F8/Original!F19</f>
        <v>1.7308868501529051</v>
      </c>
      <c r="F34" s="63">
        <f t="shared" ref="F34:F43" si="9">AVERAGE(B34:E34)</f>
        <v>1.6569740510104245</v>
      </c>
      <c r="G34" s="18"/>
      <c r="H34" s="35">
        <v>1.63</v>
      </c>
      <c r="I34" s="35">
        <v>1.92</v>
      </c>
      <c r="J34" s="35">
        <v>1.77</v>
      </c>
      <c r="K34" s="35">
        <v>1.59</v>
      </c>
      <c r="L34" s="63">
        <f t="shared" ref="L34:L43" si="10">AVERAGE(H34:K34)</f>
        <v>1.7275</v>
      </c>
      <c r="M34" s="35"/>
      <c r="N34" s="35">
        <v>1.01</v>
      </c>
      <c r="O34" s="35">
        <v>1.21</v>
      </c>
      <c r="P34" s="35">
        <v>0.99</v>
      </c>
      <c r="Q34" s="35">
        <v>1.1200000000000001</v>
      </c>
      <c r="R34" s="63">
        <f t="shared" ref="R34:R43" si="11">AVERAGE(N34:Q34)</f>
        <v>1.0825</v>
      </c>
      <c r="T34" s="59" t="s">
        <v>176</v>
      </c>
    </row>
    <row r="35" spans="1:20" x14ac:dyDescent="0.2">
      <c r="A35" s="59" t="s">
        <v>140</v>
      </c>
      <c r="B35" s="35">
        <f>(Original!C4+Original!C5)/Original!C19</f>
        <v>0.34666666666666668</v>
      </c>
      <c r="C35" s="35">
        <f>(Original!D4+Original!D5)/Original!D19</f>
        <v>0.2391304347826087</v>
      </c>
      <c r="D35" s="35">
        <f>(Original!E4+Original!E5)/Original!E19</f>
        <v>0.30677290836653387</v>
      </c>
      <c r="E35" s="35">
        <f>(Original!F4+Original!F5)/Original!F19</f>
        <v>0.61467889908256879</v>
      </c>
      <c r="F35" s="63">
        <f t="shared" si="9"/>
        <v>0.37681222722459451</v>
      </c>
      <c r="G35" s="18"/>
      <c r="H35" s="35">
        <v>0.23</v>
      </c>
      <c r="I35" s="35">
        <v>0.26</v>
      </c>
      <c r="J35" s="35">
        <v>0.22</v>
      </c>
      <c r="K35" s="35">
        <v>0.19</v>
      </c>
      <c r="L35" s="63">
        <f t="shared" si="10"/>
        <v>0.22499999999999998</v>
      </c>
      <c r="M35" s="35"/>
      <c r="N35" s="35">
        <v>0.11</v>
      </c>
      <c r="O35" s="35">
        <v>0.13</v>
      </c>
      <c r="P35" s="35">
        <v>0.09</v>
      </c>
      <c r="Q35" s="35">
        <v>0.13</v>
      </c>
      <c r="R35" s="63">
        <f t="shared" si="11"/>
        <v>0.11499999999999999</v>
      </c>
      <c r="T35" s="59" t="s">
        <v>177</v>
      </c>
    </row>
    <row r="36" spans="1:20" x14ac:dyDescent="0.2">
      <c r="A36" s="59" t="s">
        <v>141</v>
      </c>
      <c r="B36" s="35">
        <f>Original!C54/AVERAGE(Original!B19:C19)</f>
        <v>1.1838235294117647</v>
      </c>
      <c r="C36" s="35">
        <f>Original!D54/AVERAGE(Original!C19:D19)</f>
        <v>0.64071856287425155</v>
      </c>
      <c r="D36" s="35">
        <f>Original!E54/AVERAGE(Original!D19:E19)</f>
        <v>1.1494252873563218</v>
      </c>
      <c r="E36" s="35">
        <f>Original!F54/AVERAGE(Original!E19:F19)</f>
        <v>1.1107266435986158</v>
      </c>
      <c r="F36" s="63">
        <f t="shared" si="9"/>
        <v>1.0211735058102385</v>
      </c>
      <c r="G36" s="18"/>
      <c r="H36" s="35">
        <v>0.93</v>
      </c>
      <c r="I36" s="35">
        <v>0.86</v>
      </c>
      <c r="J36" s="35">
        <v>1.01</v>
      </c>
      <c r="K36" s="35">
        <v>1.1100000000000001</v>
      </c>
      <c r="L36" s="63">
        <f t="shared" si="10"/>
        <v>0.97750000000000004</v>
      </c>
      <c r="M36" s="35"/>
      <c r="N36" s="35">
        <v>0.87</v>
      </c>
      <c r="O36" s="35">
        <v>0.98</v>
      </c>
      <c r="P36" s="35">
        <v>0.76</v>
      </c>
      <c r="Q36" s="35">
        <v>0.86</v>
      </c>
      <c r="R36" s="63">
        <f t="shared" si="11"/>
        <v>0.86750000000000005</v>
      </c>
      <c r="T36" s="59" t="s">
        <v>178</v>
      </c>
    </row>
    <row r="37" spans="1:20" x14ac:dyDescent="0.2">
      <c r="A37" s="59"/>
      <c r="B37" s="35"/>
      <c r="C37" s="35"/>
      <c r="D37" s="35"/>
      <c r="E37" s="35"/>
      <c r="F37" s="63"/>
      <c r="G37" s="18"/>
      <c r="H37" s="35"/>
      <c r="I37" s="35"/>
      <c r="J37" s="35"/>
      <c r="K37" s="35"/>
      <c r="L37" s="63"/>
      <c r="M37" s="35"/>
      <c r="N37" s="35"/>
      <c r="O37" s="35"/>
      <c r="P37" s="35"/>
      <c r="Q37" s="35"/>
      <c r="R37" s="63"/>
    </row>
    <row r="38" spans="1:20" x14ac:dyDescent="0.2">
      <c r="A38" s="59" t="s">
        <v>145</v>
      </c>
      <c r="B38" s="35">
        <f>Original!C32/Original!C35</f>
        <v>55.666666666666664</v>
      </c>
      <c r="C38" s="35">
        <f>Original!D32/Original!D35</f>
        <v>71.333333333333329</v>
      </c>
      <c r="D38" s="35">
        <f>Original!E32/Original!E35</f>
        <v>290</v>
      </c>
      <c r="E38" s="35">
        <f>Original!F32/Original!F35</f>
        <v>111</v>
      </c>
      <c r="F38" s="63">
        <f>AVERAGE(B38:E38)</f>
        <v>132</v>
      </c>
      <c r="G38" s="18"/>
      <c r="H38" s="35">
        <v>6.5454545454545467</v>
      </c>
      <c r="I38" s="35">
        <v>7.0769230769230775</v>
      </c>
      <c r="J38" s="35">
        <v>6.4285714285714279</v>
      </c>
      <c r="K38" s="35">
        <v>4.5625000000000009</v>
      </c>
      <c r="L38" s="63">
        <f>AVERAGE(H38:K38)</f>
        <v>6.1533622627372626</v>
      </c>
      <c r="M38" s="35"/>
      <c r="N38" s="35">
        <v>2.4285714285714284</v>
      </c>
      <c r="O38" s="35">
        <v>2.8421052631578947</v>
      </c>
      <c r="P38" s="35">
        <v>2.1363636363636362</v>
      </c>
      <c r="Q38" s="35">
        <v>1.8333333333333335</v>
      </c>
      <c r="R38" s="63">
        <f>AVERAGE(N38:Q38)</f>
        <v>2.3100934153565733</v>
      </c>
      <c r="T38" s="59" t="s">
        <v>184</v>
      </c>
    </row>
    <row r="39" spans="1:20" x14ac:dyDescent="0.2">
      <c r="A39" s="59" t="s">
        <v>146</v>
      </c>
      <c r="B39" s="35">
        <f>(Original!C54+Original!C68+Original!C69)/Original!C68</f>
        <v>52.5</v>
      </c>
      <c r="C39" s="35">
        <f>(Original!D54+Original!D68+Original!D69)/Original!D68</f>
        <v>57.666666666666664</v>
      </c>
      <c r="D39" s="35">
        <f>(Original!E54+Original!E68+Original!E69)/Original!E68</f>
        <v>161.5</v>
      </c>
      <c r="E39" s="35">
        <f>(Original!F54+Original!F68+Original!F69)/Original!F68</f>
        <v>154.66666666666666</v>
      </c>
      <c r="F39" s="63">
        <f>AVERAGE(B39:E39)</f>
        <v>106.58333333333331</v>
      </c>
      <c r="G39" s="18"/>
      <c r="H39" s="35">
        <v>5.12</v>
      </c>
      <c r="I39" s="35">
        <v>6.56</v>
      </c>
      <c r="J39" s="35">
        <v>5.99</v>
      </c>
      <c r="K39" s="35">
        <v>4.59</v>
      </c>
      <c r="L39" s="63">
        <f>AVERAGE(H39:K39)</f>
        <v>5.5650000000000004</v>
      </c>
      <c r="M39" s="35"/>
      <c r="N39" s="35">
        <v>2.54</v>
      </c>
      <c r="O39" s="35">
        <v>2.4300000000000002</v>
      </c>
      <c r="P39" s="35">
        <v>2.31</v>
      </c>
      <c r="Q39" s="35">
        <v>1.76</v>
      </c>
      <c r="R39" s="63">
        <f>AVERAGE(N39:Q39)</f>
        <v>2.2600000000000002</v>
      </c>
      <c r="T39" s="59" t="s">
        <v>185</v>
      </c>
    </row>
    <row r="40" spans="1:20" x14ac:dyDescent="0.2">
      <c r="B40" s="65"/>
      <c r="F40" s="18"/>
      <c r="G40" s="18"/>
      <c r="H40" s="31"/>
      <c r="I40" s="31"/>
      <c r="J40" s="31"/>
      <c r="K40" s="31"/>
      <c r="L40" s="18"/>
      <c r="M40" s="18"/>
      <c r="N40" s="31"/>
      <c r="O40" s="31"/>
      <c r="P40" s="31"/>
      <c r="Q40" s="31"/>
      <c r="R40" s="18"/>
    </row>
    <row r="41" spans="1:20" x14ac:dyDescent="0.2">
      <c r="A41" s="59" t="s">
        <v>142</v>
      </c>
      <c r="B41" s="35">
        <f>Original!C22/Original!C23</f>
        <v>0.74275362318840576</v>
      </c>
      <c r="C41" s="35">
        <f>Original!D22/Original!D23</f>
        <v>0.71597633136094674</v>
      </c>
      <c r="D41" s="35">
        <f>Original!E22/Original!E23</f>
        <v>0.66738197424892709</v>
      </c>
      <c r="E41" s="35">
        <f>Original!F22/Original!F23</f>
        <v>0.69423929098966031</v>
      </c>
      <c r="F41" s="63">
        <f t="shared" si="9"/>
        <v>0.70508780494698498</v>
      </c>
      <c r="G41" s="18"/>
      <c r="H41" s="35">
        <v>1.21</v>
      </c>
      <c r="I41" s="35">
        <v>1.34</v>
      </c>
      <c r="J41" s="35">
        <v>1.41</v>
      </c>
      <c r="K41" s="35">
        <v>1.53</v>
      </c>
      <c r="L41" s="63">
        <f t="shared" si="10"/>
        <v>1.3725000000000001</v>
      </c>
      <c r="M41" s="35"/>
      <c r="N41" s="35">
        <v>1.43</v>
      </c>
      <c r="O41" s="35">
        <v>1.56</v>
      </c>
      <c r="P41" s="35">
        <v>1.78</v>
      </c>
      <c r="Q41" s="35">
        <v>1.89</v>
      </c>
      <c r="R41" s="63">
        <f t="shared" si="11"/>
        <v>1.665</v>
      </c>
      <c r="T41" s="59" t="s">
        <v>179</v>
      </c>
    </row>
    <row r="42" spans="1:20" x14ac:dyDescent="0.2">
      <c r="A42" s="59" t="s">
        <v>143</v>
      </c>
      <c r="B42" s="35">
        <f>Original!C20/Original!C23</f>
        <v>7.9710144927536225E-2</v>
      </c>
      <c r="C42" s="35">
        <f>Original!D20/Original!D23</f>
        <v>6.2130177514792898E-2</v>
      </c>
      <c r="D42" s="35">
        <f>Original!E20/Original!E23</f>
        <v>3.8626609442060089E-2</v>
      </c>
      <c r="E42" s="35">
        <f>Original!F20/Original!F23</f>
        <v>0.11964549483013294</v>
      </c>
      <c r="F42" s="63">
        <f t="shared" si="9"/>
        <v>7.5028106678630538E-2</v>
      </c>
      <c r="G42" s="18"/>
      <c r="H42" s="35">
        <v>0.53</v>
      </c>
      <c r="I42" s="35">
        <v>0.57999999999999996</v>
      </c>
      <c r="J42" s="35">
        <v>0.67</v>
      </c>
      <c r="K42" s="35">
        <v>0.71</v>
      </c>
      <c r="L42" s="63">
        <f t="shared" si="10"/>
        <v>0.62249999999999994</v>
      </c>
      <c r="M42" s="35"/>
      <c r="N42" s="35">
        <v>0.67</v>
      </c>
      <c r="O42" s="35">
        <v>0.78</v>
      </c>
      <c r="P42" s="35">
        <v>0.86</v>
      </c>
      <c r="Q42" s="35">
        <v>0.95</v>
      </c>
      <c r="R42" s="63">
        <f t="shared" si="11"/>
        <v>0.81499999999999995</v>
      </c>
      <c r="T42" s="59" t="s">
        <v>180</v>
      </c>
    </row>
    <row r="43" spans="1:20" x14ac:dyDescent="0.2">
      <c r="A43" s="59" t="s">
        <v>144</v>
      </c>
      <c r="B43" s="35">
        <f>Original!C20/(Original!C13-Original!C12)</f>
        <v>4.8997772828507792E-2</v>
      </c>
      <c r="C43" s="35">
        <f>Original!D20/(Original!D13-Original!D12)</f>
        <v>3.783783783783784E-2</v>
      </c>
      <c r="D43" s="35">
        <f>Original!E20/(Original!E13-Original!E12)</f>
        <v>2.4032042723631509E-2</v>
      </c>
      <c r="E43" s="35">
        <f>Original!F20/(Original!F13-Original!F12)</f>
        <v>7.2710951526032311E-2</v>
      </c>
      <c r="F43" s="63">
        <f t="shared" si="9"/>
        <v>4.589465122900236E-2</v>
      </c>
      <c r="G43" s="18"/>
      <c r="H43" s="35">
        <v>0.43</v>
      </c>
      <c r="I43" s="35">
        <v>0.48</v>
      </c>
      <c r="J43" s="35">
        <v>0.51</v>
      </c>
      <c r="K43" s="35">
        <v>0.54</v>
      </c>
      <c r="L43" s="63">
        <f t="shared" si="10"/>
        <v>0.49</v>
      </c>
      <c r="M43" s="35"/>
      <c r="N43" s="35">
        <v>0.54</v>
      </c>
      <c r="O43" s="35">
        <v>0.69</v>
      </c>
      <c r="P43" s="35">
        <v>0.77</v>
      </c>
      <c r="Q43" s="35">
        <v>0.81</v>
      </c>
      <c r="R43" s="63">
        <f t="shared" si="11"/>
        <v>0.70250000000000001</v>
      </c>
      <c r="T43" s="59" t="s">
        <v>181</v>
      </c>
    </row>
    <row r="44" spans="1:20" x14ac:dyDescent="0.2">
      <c r="A44" s="59"/>
      <c r="B44" s="35"/>
      <c r="C44" s="35"/>
      <c r="D44" s="35"/>
      <c r="E44" s="35"/>
      <c r="F44" s="63"/>
      <c r="G44" s="18"/>
      <c r="H44" s="35"/>
      <c r="I44" s="35"/>
      <c r="J44" s="35"/>
      <c r="K44" s="35"/>
      <c r="L44" s="63"/>
      <c r="M44" s="35"/>
      <c r="N44" s="35"/>
      <c r="O44" s="35"/>
      <c r="P44" s="35"/>
      <c r="Q44" s="35"/>
      <c r="R44" s="63"/>
    </row>
    <row r="45" spans="1:20" x14ac:dyDescent="0.2">
      <c r="A45" s="17" t="s">
        <v>188</v>
      </c>
      <c r="F45" s="18"/>
      <c r="G45" s="18"/>
      <c r="L45" s="18"/>
      <c r="M45" s="18"/>
      <c r="R45" s="18"/>
    </row>
    <row r="46" spans="1:20" x14ac:dyDescent="0.2">
      <c r="A46" s="1" t="s">
        <v>49</v>
      </c>
      <c r="B46" s="60">
        <f>(Original!C28-Original!B28)/Original!B28</f>
        <v>0.17890772128060264</v>
      </c>
      <c r="C46" s="60">
        <f>(Original!D28-Original!C28)/Original!C28</f>
        <v>0.26757188498402557</v>
      </c>
      <c r="D46" s="60">
        <f>(Original!E28-Original!D28)/Original!D28</f>
        <v>0.21865154379332072</v>
      </c>
      <c r="E46" s="60">
        <f>(Original!F28-Original!E28)/Original!E28</f>
        <v>0.30248190279214066</v>
      </c>
      <c r="F46" s="61">
        <f>AVERAGE(B46:E46)</f>
        <v>0.24190326321252242</v>
      </c>
      <c r="G46" s="61"/>
      <c r="H46" s="62">
        <f>(4155-3616)/3616</f>
        <v>0.14905973451327434</v>
      </c>
      <c r="I46" s="62">
        <f>(4750-4155)/4155</f>
        <v>0.14320096269554752</v>
      </c>
      <c r="J46" s="62">
        <f>(5376-4750)/4750</f>
        <v>0.13178947368421054</v>
      </c>
      <c r="K46" s="62">
        <f>(6281-5376)/5376</f>
        <v>0.16834077380952381</v>
      </c>
      <c r="L46" s="61">
        <f>AVERAGE(H46:K46)</f>
        <v>0.14809773617563907</v>
      </c>
      <c r="M46" s="61"/>
      <c r="N46" s="62">
        <f>(15734-13771)/13771</f>
        <v>0.14254592985258877</v>
      </c>
      <c r="O46" s="62">
        <f>(17819-15734)/15734</f>
        <v>0.13251557137409431</v>
      </c>
      <c r="P46" s="62">
        <f>(20172-17819)/17819</f>
        <v>0.13205005892586566</v>
      </c>
      <c r="Q46" s="62">
        <f>(23220-20172)/20172</f>
        <v>0.15110053539559787</v>
      </c>
      <c r="R46" s="61">
        <f>AVERAGE(N46:Q46)</f>
        <v>0.13955302388703664</v>
      </c>
      <c r="T46" t="s">
        <v>190</v>
      </c>
    </row>
    <row r="47" spans="1:20" x14ac:dyDescent="0.2">
      <c r="A47" t="s">
        <v>129</v>
      </c>
      <c r="B47" s="60">
        <v>0.38</v>
      </c>
      <c r="C47" s="60">
        <v>0.38</v>
      </c>
      <c r="D47" s="60">
        <v>0.38</v>
      </c>
      <c r="E47" s="60">
        <v>0.38</v>
      </c>
      <c r="F47" s="61">
        <f>AVERAGE(B47:E47)</f>
        <v>0.38</v>
      </c>
      <c r="G47" s="18"/>
      <c r="H47" s="60">
        <v>0.38</v>
      </c>
      <c r="I47" s="60">
        <v>0.38</v>
      </c>
      <c r="J47" s="60">
        <v>0.38</v>
      </c>
      <c r="K47" s="60">
        <v>0.38</v>
      </c>
      <c r="L47" s="61">
        <f>AVERAGE(H47:K47)</f>
        <v>0.38</v>
      </c>
      <c r="M47" s="18"/>
      <c r="N47" s="60">
        <v>0.38400000000000001</v>
      </c>
      <c r="O47" s="60">
        <v>0.38600000000000001</v>
      </c>
      <c r="P47" s="60">
        <v>0.38500000000000001</v>
      </c>
      <c r="Q47" s="60">
        <v>0.38300000000000001</v>
      </c>
      <c r="R47" s="61">
        <f>AVERAGE(N47:Q47)</f>
        <v>0.38450000000000001</v>
      </c>
      <c r="T47" t="s">
        <v>189</v>
      </c>
    </row>
    <row r="48" spans="1:20" x14ac:dyDescent="0.2">
      <c r="A48" t="s">
        <v>131</v>
      </c>
      <c r="B48" s="64">
        <f>Original!C39+(Original!C35*(1-Ratios!B47))</f>
        <v>75.86</v>
      </c>
      <c r="C48" s="64">
        <f>Original!D39+(Original!D35*(1-Ratios!C47))</f>
        <v>99.86</v>
      </c>
      <c r="D48" s="64">
        <f>Original!E39+(Original!E35*(1-Ratios!D47))</f>
        <v>145.62</v>
      </c>
      <c r="E48" s="64">
        <f>Original!F39+(Original!F35*(1-Ratios!E47))</f>
        <v>232.48</v>
      </c>
      <c r="F48" s="36"/>
      <c r="T48" s="59" t="s">
        <v>175</v>
      </c>
    </row>
    <row r="49" spans="1:20" x14ac:dyDescent="0.2">
      <c r="A49" t="s">
        <v>133</v>
      </c>
      <c r="B49" s="64">
        <f>Original!C6+Original!C29-Original!B6</f>
        <v>812</v>
      </c>
      <c r="C49" s="64">
        <f>Original!D6+Original!D29-Original!C6</f>
        <v>1060</v>
      </c>
      <c r="D49" s="64">
        <f>Original!E6+Original!E29-Original!D6</f>
        <v>1194</v>
      </c>
      <c r="E49" s="64">
        <f>Original!F6+Original!F29-Original!E6</f>
        <v>1565</v>
      </c>
      <c r="F49" s="18"/>
      <c r="T49" s="59" t="s">
        <v>174</v>
      </c>
    </row>
    <row r="50" spans="1:20" x14ac:dyDescent="0.2">
      <c r="A50" t="s">
        <v>193</v>
      </c>
      <c r="B50" s="47">
        <f>Original!C33/(AVERAGE(Original!B9:C9)+AVERAGE(Original!B12:C12))</f>
        <v>0.10877192982456141</v>
      </c>
      <c r="C50" s="47">
        <f>Original!D33/(AVERAGE(Original!C9:D9)+AVERAGE(Original!C12:D12))</f>
        <v>0.10935251798561151</v>
      </c>
      <c r="D50" s="47">
        <f>Original!E33/(AVERAGE(Original!D9:E9)+AVERAGE(Original!D12:E12))</f>
        <v>0.11146838156484459</v>
      </c>
      <c r="E50" s="47">
        <f>Original!F33/(AVERAGE(Original!E9:F9)+AVERAGE(Original!E12:F12))</f>
        <v>0.10550113036925396</v>
      </c>
      <c r="F50" s="61">
        <f>AVERAGE(B50:E50)</f>
        <v>0.10877348993606788</v>
      </c>
      <c r="H50" s="31"/>
      <c r="I50" s="31"/>
      <c r="J50" s="31"/>
      <c r="K50" s="31"/>
      <c r="L50" s="18"/>
      <c r="M50" s="18"/>
      <c r="N50" s="31"/>
      <c r="O50" s="31"/>
      <c r="P50" s="31"/>
      <c r="Q50" s="31"/>
      <c r="R50" s="18"/>
      <c r="T50" t="s">
        <v>194</v>
      </c>
    </row>
    <row r="51" spans="1:20" x14ac:dyDescent="0.2">
      <c r="A51" s="1" t="s">
        <v>52</v>
      </c>
      <c r="B51" s="47">
        <f>Original!C35/AVERAGE(Original!B20:C20)</f>
        <v>0.14634146341463414</v>
      </c>
      <c r="C51" s="47">
        <f>Original!D35/AVERAGE(Original!C20:D20)</f>
        <v>0.13953488372093023</v>
      </c>
      <c r="D51" s="47">
        <f>Original!E35/AVERAGE(Original!D20:E20)</f>
        <v>5.128205128205128E-2</v>
      </c>
      <c r="E51" s="47">
        <f>Original!F35/AVERAGE(Original!E20:F20)</f>
        <v>8.0808080808080815E-2</v>
      </c>
      <c r="F51" s="61">
        <f>AVERAGE(B51:E51)</f>
        <v>0.10449161980642412</v>
      </c>
      <c r="L51" s="18"/>
      <c r="M51" s="18"/>
      <c r="R51" s="18"/>
      <c r="T51" t="s">
        <v>195</v>
      </c>
    </row>
    <row r="52" spans="1:20" x14ac:dyDescent="0.2">
      <c r="G52" s="18"/>
      <c r="L52" s="18"/>
      <c r="M52" s="18"/>
      <c r="R52" s="18"/>
    </row>
    <row r="53" spans="1:20" x14ac:dyDescent="0.2">
      <c r="G53" s="18"/>
      <c r="L53" s="18"/>
      <c r="M53" s="18"/>
      <c r="R53" s="18"/>
    </row>
    <row r="54" spans="1:20" x14ac:dyDescent="0.2">
      <c r="G54" s="18"/>
      <c r="L54" s="18"/>
      <c r="M54" s="18"/>
      <c r="R54" s="18"/>
    </row>
    <row r="55" spans="1:20" x14ac:dyDescent="0.2">
      <c r="B55" s="35"/>
      <c r="C55" s="35"/>
      <c r="D55" s="35"/>
      <c r="E55" s="35"/>
      <c r="F55" s="18"/>
      <c r="G55" s="18"/>
      <c r="L55" s="18"/>
      <c r="M55" s="18"/>
      <c r="R55" s="18"/>
    </row>
    <row r="56" spans="1:20" x14ac:dyDescent="0.2">
      <c r="B56" s="35"/>
      <c r="C56" s="35"/>
      <c r="D56" s="35"/>
      <c r="E56" s="35"/>
      <c r="F56" s="18"/>
      <c r="G56" s="18"/>
      <c r="L56" s="18"/>
      <c r="M56" s="18"/>
      <c r="R56" s="18"/>
    </row>
    <row r="58" spans="1:20" x14ac:dyDescent="0.2">
      <c r="B58" s="35"/>
      <c r="C58" s="35"/>
      <c r="D58" s="35"/>
      <c r="E58" s="35"/>
      <c r="F58" s="18"/>
      <c r="G58" s="18"/>
      <c r="L58" s="18"/>
      <c r="M58" s="18"/>
      <c r="R58" s="18"/>
    </row>
    <row r="60" spans="1:20" x14ac:dyDescent="0.2">
      <c r="B60" s="35"/>
      <c r="C60" s="35"/>
      <c r="D60" s="35"/>
      <c r="E60" s="35"/>
      <c r="F60" s="18"/>
      <c r="G60" s="18"/>
      <c r="L60" s="18"/>
      <c r="M60" s="18"/>
      <c r="R60" s="18"/>
    </row>
    <row r="61" spans="1:20" x14ac:dyDescent="0.2">
      <c r="B61" s="36"/>
      <c r="C61" s="36"/>
      <c r="D61" s="36"/>
      <c r="E61" s="36"/>
      <c r="F61" s="22"/>
      <c r="G61" s="22"/>
      <c r="L61" s="22"/>
      <c r="M61" s="22"/>
      <c r="R61" s="22"/>
    </row>
    <row r="63" spans="1:20" x14ac:dyDescent="0.2">
      <c r="B63" s="35"/>
      <c r="C63" s="35"/>
      <c r="D63" s="35"/>
      <c r="E63" s="35"/>
      <c r="F63" s="18"/>
      <c r="G63" s="18"/>
      <c r="L63" s="18"/>
      <c r="M63" s="18"/>
      <c r="R63" s="18"/>
    </row>
    <row r="64" spans="1:20" x14ac:dyDescent="0.2">
      <c r="F64" s="17"/>
      <c r="G64" s="17"/>
      <c r="L64" s="17"/>
      <c r="M64" s="17"/>
      <c r="R64" s="17"/>
    </row>
    <row r="76" spans="1:6" x14ac:dyDescent="0.2">
      <c r="A76" s="1" t="s">
        <v>51</v>
      </c>
    </row>
    <row r="77" spans="1:6" x14ac:dyDescent="0.2">
      <c r="A77" s="1" t="s">
        <v>49</v>
      </c>
      <c r="B77" s="1">
        <v>0.17890772128060273</v>
      </c>
      <c r="C77" s="1">
        <v>0.26757188498402562</v>
      </c>
      <c r="D77" s="1">
        <v>0.21865154379332075</v>
      </c>
      <c r="E77" s="1">
        <v>0.3024819027921406</v>
      </c>
      <c r="F77" s="1">
        <v>0.24190326321252242</v>
      </c>
    </row>
    <row r="78" spans="1:6" x14ac:dyDescent="0.2">
      <c r="A78" s="1" t="s">
        <v>50</v>
      </c>
      <c r="C78" s="1">
        <v>389</v>
      </c>
      <c r="D78" s="1">
        <v>438</v>
      </c>
      <c r="E78" s="1">
        <v>481</v>
      </c>
      <c r="F78" s="1">
        <v>436</v>
      </c>
    </row>
  </sheetData>
  <mergeCells count="3">
    <mergeCell ref="B1:F1"/>
    <mergeCell ref="H1:L1"/>
    <mergeCell ref="N1:R1"/>
  </mergeCells>
  <phoneticPr fontId="6" type="noConversion"/>
  <pageMargins left="0.75" right="0.75" top="1" bottom="1" header="0.5" footer="0.5"/>
  <pageSetup scale="81" orientation="landscape" horizontalDpi="4294967292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6"/>
  <sheetViews>
    <sheetView zoomScaleNormal="100" workbookViewId="0"/>
  </sheetViews>
  <sheetFormatPr baseColWidth="10" defaultColWidth="11.42578125" defaultRowHeight="14" x14ac:dyDescent="0.2"/>
  <cols>
    <col min="1" max="1" width="29.7109375" customWidth="1"/>
    <col min="2" max="7" width="8.7109375" customWidth="1"/>
  </cols>
  <sheetData>
    <row r="1" spans="1:7" ht="16" x14ac:dyDescent="0.2">
      <c r="A1" s="10" t="s">
        <v>201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16" t="s">
        <v>6</v>
      </c>
    </row>
    <row r="2" spans="1:7" ht="16" x14ac:dyDescent="0.2">
      <c r="A2" s="10" t="s">
        <v>112</v>
      </c>
    </row>
    <row r="3" spans="1:7" x14ac:dyDescent="0.2">
      <c r="A3" t="s">
        <v>0</v>
      </c>
      <c r="B3" s="2">
        <v>2011</v>
      </c>
      <c r="C3" s="2">
        <v>2012</v>
      </c>
      <c r="D3" s="2">
        <v>2013</v>
      </c>
      <c r="E3" s="2">
        <v>2014</v>
      </c>
      <c r="F3" s="2">
        <v>2015</v>
      </c>
      <c r="G3" s="16" t="s">
        <v>6</v>
      </c>
    </row>
    <row r="4" spans="1:7" x14ac:dyDescent="0.2">
      <c r="A4" t="s">
        <v>84</v>
      </c>
      <c r="B4" s="11">
        <f>Original!B4/Original!B$13</f>
        <v>7.3732718894009217E-2</v>
      </c>
      <c r="C4" s="11">
        <f>Original!C4/Original!C$13</f>
        <v>9.5634095634095639E-2</v>
      </c>
      <c r="D4" s="11">
        <f>Original!D4/Original!D$13</f>
        <v>6.5517241379310351E-2</v>
      </c>
      <c r="E4" s="11">
        <f>Original!E4/Original!E$13</f>
        <v>8.6229086229086233E-2</v>
      </c>
      <c r="F4" s="11">
        <f>Original!F4/Original!F$13</f>
        <v>0.16826503923278116</v>
      </c>
      <c r="G4" s="18">
        <f t="shared" ref="G4:G13" si="0">AVERAGE(B4:F4)</f>
        <v>9.7875636273856509E-2</v>
      </c>
    </row>
    <row r="5" spans="1:7" x14ac:dyDescent="0.2">
      <c r="A5" t="s">
        <v>85</v>
      </c>
      <c r="B5" s="11">
        <f>Original!B5/Original!B$13</f>
        <v>2.0737327188940093E-2</v>
      </c>
      <c r="C5" s="11">
        <f>Original!C5/Original!C$13</f>
        <v>1.2474012474012475E-2</v>
      </c>
      <c r="D5" s="11">
        <f>Original!D5/Original!D$13</f>
        <v>1.0344827586206896E-2</v>
      </c>
      <c r="E5" s="11">
        <f>Original!E5/Original!E$13</f>
        <v>1.2870012870012869E-2</v>
      </c>
      <c r="F5" s="11">
        <f>Original!F5/Original!F$13</f>
        <v>6.9747166521360072E-3</v>
      </c>
      <c r="G5" s="18">
        <f t="shared" si="0"/>
        <v>1.2680179354261667E-2</v>
      </c>
    </row>
    <row r="6" spans="1:7" x14ac:dyDescent="0.2">
      <c r="A6" t="s">
        <v>1</v>
      </c>
      <c r="B6" s="11">
        <f>Original!B6/Original!B$13</f>
        <v>0.44930875576036866</v>
      </c>
      <c r="C6" s="11">
        <f>Original!C6/Original!C$13</f>
        <v>0.40124740124740127</v>
      </c>
      <c r="D6" s="11">
        <f>Original!D6/Original!D$13</f>
        <v>0.4206896551724138</v>
      </c>
      <c r="E6" s="11">
        <f>Original!E6/Original!E$13</f>
        <v>0.31917631917631917</v>
      </c>
      <c r="F6" s="11">
        <f>Original!F6/Original!F$13</f>
        <v>0.27375762859633829</v>
      </c>
      <c r="G6" s="18">
        <f t="shared" si="0"/>
        <v>0.37283595199056824</v>
      </c>
    </row>
    <row r="7" spans="1:7" x14ac:dyDescent="0.2">
      <c r="A7" t="s">
        <v>87</v>
      </c>
      <c r="B7" s="12">
        <f>Original!B7/Original!B$13</f>
        <v>5.2995391705069124E-2</v>
      </c>
      <c r="C7" s="12">
        <f>Original!C7/Original!C$13</f>
        <v>2.7027027027027029E-2</v>
      </c>
      <c r="D7" s="12">
        <f>Original!D7/Original!D$13</f>
        <v>0.05</v>
      </c>
      <c r="E7" s="12">
        <f>Original!E7/Original!E$13</f>
        <v>5.1480051480051477E-2</v>
      </c>
      <c r="F7" s="12">
        <f>Original!F7/Original!F$13</f>
        <v>4.4463818657367045E-2</v>
      </c>
      <c r="G7" s="19">
        <f t="shared" si="0"/>
        <v>4.5193257773902928E-2</v>
      </c>
    </row>
    <row r="8" spans="1:7" x14ac:dyDescent="0.2">
      <c r="A8" t="s">
        <v>99</v>
      </c>
      <c r="B8" s="11">
        <f>Original!B8/Original!B$13</f>
        <v>0.59677419354838712</v>
      </c>
      <c r="C8" s="11">
        <f>Original!C8/Original!C$13</f>
        <v>0.53638253638253641</v>
      </c>
      <c r="D8" s="11">
        <f>Original!D8/Original!D$13</f>
        <v>0.54655172413793107</v>
      </c>
      <c r="E8" s="11">
        <f>Original!E8/Original!E$13</f>
        <v>0.46975546975546978</v>
      </c>
      <c r="F8" s="11">
        <f>Original!F8/Original!F$13</f>
        <v>0.49346120313862252</v>
      </c>
      <c r="G8" s="18">
        <f t="shared" si="0"/>
        <v>0.52858502539258934</v>
      </c>
    </row>
    <row r="9" spans="1:7" x14ac:dyDescent="0.2">
      <c r="A9" t="s">
        <v>56</v>
      </c>
      <c r="B9" s="11">
        <f>Original!B9/Original!B$13</f>
        <v>0.53917050691244239</v>
      </c>
      <c r="C9" s="11">
        <f>Original!C9/Original!C$13</f>
        <v>0.59459459459459463</v>
      </c>
      <c r="D9" s="11">
        <f>Original!D9/Original!D$13</f>
        <v>0.60689655172413792</v>
      </c>
      <c r="E9" s="11">
        <f>Original!E9/Original!E$13</f>
        <v>0.67953667953667951</v>
      </c>
      <c r="F9" s="11">
        <f>Original!F9/Original!F$13</f>
        <v>0.64341761115954665</v>
      </c>
      <c r="G9" s="18">
        <f t="shared" si="0"/>
        <v>0.61272318878548016</v>
      </c>
    </row>
    <row r="10" spans="1:7" x14ac:dyDescent="0.2">
      <c r="A10" t="s">
        <v>60</v>
      </c>
      <c r="B10" s="12">
        <f>Original!B10/Original!B$13</f>
        <v>0.17741935483870969</v>
      </c>
      <c r="C10" s="12">
        <f>Original!C10/Original!C$13</f>
        <v>0.19750519750519752</v>
      </c>
      <c r="D10" s="12">
        <f>Original!D10/Original!D$13</f>
        <v>0.19655172413793104</v>
      </c>
      <c r="E10" s="12">
        <f>Original!E10/Original!E$13</f>
        <v>0.18532818532818532</v>
      </c>
      <c r="F10" s="12">
        <f>Original!F10/Original!F$13</f>
        <v>0.16564952048823017</v>
      </c>
      <c r="G10" s="19">
        <f t="shared" si="0"/>
        <v>0.18449079645965072</v>
      </c>
    </row>
    <row r="11" spans="1:7" x14ac:dyDescent="0.2">
      <c r="A11" t="s">
        <v>100</v>
      </c>
      <c r="B11" s="11">
        <f>Original!B11/Original!B$13</f>
        <v>0.36175115207373271</v>
      </c>
      <c r="C11" s="11">
        <f>Original!C11/Original!C$13</f>
        <v>0.39708939708939711</v>
      </c>
      <c r="D11" s="11">
        <f>Original!D11/Original!D$13</f>
        <v>0.41034482758620688</v>
      </c>
      <c r="E11" s="11">
        <f>Original!E11/Original!E$13</f>
        <v>0.49420849420849422</v>
      </c>
      <c r="F11" s="11">
        <f>Original!F11/Original!F$13</f>
        <v>0.47776809067131648</v>
      </c>
      <c r="G11" s="18">
        <f t="shared" si="0"/>
        <v>0.42823239232582944</v>
      </c>
    </row>
    <row r="12" spans="1:7" x14ac:dyDescent="0.2">
      <c r="A12" t="s">
        <v>182</v>
      </c>
      <c r="B12" s="12">
        <f>Original!B12/Original!B$13</f>
        <v>4.1474654377880185E-2</v>
      </c>
      <c r="C12" s="12">
        <f>Original!C12/Original!C$13</f>
        <v>6.6528066528066532E-2</v>
      </c>
      <c r="D12" s="12">
        <f>Original!D12/Original!D$13</f>
        <v>4.3103448275862072E-2</v>
      </c>
      <c r="E12" s="12">
        <f>Original!E12/Original!E$13</f>
        <v>3.6036036036036036E-2</v>
      </c>
      <c r="F12" s="12">
        <f>Original!F12/Original!F$13</f>
        <v>2.8770706190061029E-2</v>
      </c>
      <c r="G12" s="19">
        <f t="shared" si="0"/>
        <v>4.3182582281581172E-2</v>
      </c>
    </row>
    <row r="13" spans="1:7" ht="15" thickBot="1" x14ac:dyDescent="0.25">
      <c r="A13" t="s">
        <v>101</v>
      </c>
      <c r="B13" s="13">
        <f>Original!B13/Original!B$13</f>
        <v>1</v>
      </c>
      <c r="C13" s="13">
        <f>Original!C13/Original!C$13</f>
        <v>1</v>
      </c>
      <c r="D13" s="13">
        <f>Original!D13/Original!D$13</f>
        <v>1</v>
      </c>
      <c r="E13" s="13">
        <f>Original!E13/Original!E$13</f>
        <v>1</v>
      </c>
      <c r="F13" s="13">
        <f>Original!F13/Original!F$13</f>
        <v>1</v>
      </c>
      <c r="G13" s="20">
        <f t="shared" si="0"/>
        <v>1</v>
      </c>
    </row>
    <row r="14" spans="1:7" ht="15" thickTop="1" x14ac:dyDescent="0.2">
      <c r="G14" s="17"/>
    </row>
    <row r="15" spans="1:7" x14ac:dyDescent="0.2">
      <c r="A15" t="s">
        <v>3</v>
      </c>
      <c r="B15" s="2">
        <v>2011</v>
      </c>
      <c r="C15" s="2">
        <v>2012</v>
      </c>
      <c r="D15" s="2">
        <v>2013</v>
      </c>
      <c r="E15" s="2">
        <v>2014</v>
      </c>
      <c r="F15" s="2">
        <v>2015</v>
      </c>
      <c r="G15" s="16" t="s">
        <v>6</v>
      </c>
    </row>
    <row r="16" spans="1:7" x14ac:dyDescent="0.2">
      <c r="A16" t="s">
        <v>88</v>
      </c>
      <c r="B16" s="11">
        <f>Original!B16/Original!B$24</f>
        <v>0.15668202764976957</v>
      </c>
      <c r="C16" s="11">
        <f>Original!C16/Original!C$24</f>
        <v>0.16839916839916841</v>
      </c>
      <c r="D16" s="11">
        <f>Original!D16/Original!D$24</f>
        <v>0.16206896551724137</v>
      </c>
      <c r="E16" s="11">
        <f>Original!E16/Original!E$24</f>
        <v>0.148005148005148</v>
      </c>
      <c r="F16" s="11">
        <f>Original!F16/Original!F$24</f>
        <v>0.13775065387968613</v>
      </c>
      <c r="G16" s="18">
        <f t="shared" ref="G16:G24" si="1">AVERAGE(B16:F16)</f>
        <v>0.15458119269020271</v>
      </c>
    </row>
    <row r="17" spans="1:7" x14ac:dyDescent="0.2">
      <c r="A17" t="s">
        <v>89</v>
      </c>
      <c r="B17" s="11">
        <f>Original!B17/Original!B$24</f>
        <v>1.3824884792626729E-2</v>
      </c>
      <c r="C17" s="11">
        <f>Original!C17/Original!C$24</f>
        <v>3.1185031185031187E-2</v>
      </c>
      <c r="D17" s="11">
        <f>Original!D17/Original!D$24</f>
        <v>2.5862068965517241E-2</v>
      </c>
      <c r="E17" s="11">
        <f>Original!E17/Original!E$24</f>
        <v>4.2471042471042469E-2</v>
      </c>
      <c r="F17" s="11">
        <f>Original!F17/Original!F$24</f>
        <v>2.7898866608544029E-2</v>
      </c>
      <c r="G17" s="18">
        <f t="shared" si="1"/>
        <v>2.8248378804552332E-2</v>
      </c>
    </row>
    <row r="18" spans="1:7" x14ac:dyDescent="0.2">
      <c r="A18" t="s">
        <v>86</v>
      </c>
      <c r="B18" s="12">
        <f>Original!B18/Original!B$24</f>
        <v>0.11059907834101383</v>
      </c>
      <c r="C18" s="12">
        <f>Original!C18/Original!C$24</f>
        <v>0.11226611226611227</v>
      </c>
      <c r="D18" s="12">
        <f>Original!D18/Original!D$24</f>
        <v>0.12931034482758622</v>
      </c>
      <c r="E18" s="12">
        <f>Original!E18/Original!E$24</f>
        <v>0.13256113256113256</v>
      </c>
      <c r="F18" s="12">
        <f>Original!F18/Original!F$24</f>
        <v>0.11944202266782912</v>
      </c>
      <c r="G18" s="19">
        <f t="shared" si="1"/>
        <v>0.12083573813273481</v>
      </c>
    </row>
    <row r="19" spans="1:7" x14ac:dyDescent="0.2">
      <c r="A19" t="s">
        <v>102</v>
      </c>
      <c r="B19" s="11">
        <f>Original!B19/Original!B$24</f>
        <v>0.28110599078341014</v>
      </c>
      <c r="C19" s="11">
        <f>Original!C19/Original!C$24</f>
        <v>0.31185031185031187</v>
      </c>
      <c r="D19" s="11">
        <f>Original!D19/Original!D$24</f>
        <v>0.31724137931034485</v>
      </c>
      <c r="E19" s="11">
        <f>Original!E19/Original!E$24</f>
        <v>0.32303732303732302</v>
      </c>
      <c r="F19" s="11">
        <f>Original!F19/Original!F$24</f>
        <v>0.28509154315605928</v>
      </c>
      <c r="G19" s="18">
        <f t="shared" si="1"/>
        <v>0.30366530962748983</v>
      </c>
    </row>
    <row r="20" spans="1:7" x14ac:dyDescent="0.2">
      <c r="A20" t="s">
        <v>90</v>
      </c>
      <c r="B20" s="11">
        <f>Original!B20/Original!B$24</f>
        <v>4.377880184331797E-2</v>
      </c>
      <c r="C20" s="11">
        <f>Original!C20/Original!C$24</f>
        <v>4.5738045738045741E-2</v>
      </c>
      <c r="D20" s="11">
        <f>Original!D20/Original!D$24</f>
        <v>3.6206896551724141E-2</v>
      </c>
      <c r="E20" s="11">
        <f>Original!E20/Original!E$24</f>
        <v>2.3166023166023165E-2</v>
      </c>
      <c r="F20" s="11">
        <f>Original!F20/Original!F$24</f>
        <v>7.0619006102877066E-2</v>
      </c>
      <c r="G20" s="18">
        <f t="shared" si="1"/>
        <v>4.3901754680397621E-2</v>
      </c>
    </row>
    <row r="21" spans="1:7" x14ac:dyDescent="0.2">
      <c r="A21" t="s">
        <v>91</v>
      </c>
      <c r="B21" s="12">
        <f>Original!B21/Original!B$24</f>
        <v>4.6082949308755762E-2</v>
      </c>
      <c r="C21" s="12">
        <f>Original!C21/Original!C$24</f>
        <v>6.8607068607068611E-2</v>
      </c>
      <c r="D21" s="12">
        <f>Original!D21/Original!D$24</f>
        <v>6.3793103448275865E-2</v>
      </c>
      <c r="E21" s="12">
        <f>Original!E21/Original!E$24</f>
        <v>5.4054054054054057E-2</v>
      </c>
      <c r="F21" s="12">
        <f>Original!F21/Original!F$24</f>
        <v>5.4054054054054057E-2</v>
      </c>
      <c r="G21" s="19">
        <f t="shared" si="1"/>
        <v>5.7318245894441663E-2</v>
      </c>
    </row>
    <row r="22" spans="1:7" x14ac:dyDescent="0.2">
      <c r="A22" t="s">
        <v>103</v>
      </c>
      <c r="B22" s="11">
        <f>Original!B22/Original!B$24</f>
        <v>0.37096774193548387</v>
      </c>
      <c r="C22" s="11">
        <f>Original!C22/Original!C$24</f>
        <v>0.42619542619542622</v>
      </c>
      <c r="D22" s="11">
        <f>Original!D22/Original!D$24</f>
        <v>0.41724137931034483</v>
      </c>
      <c r="E22" s="11">
        <f>Original!E22/Original!E$24</f>
        <v>0.40025740025740025</v>
      </c>
      <c r="F22" s="11">
        <f>Original!F22/Original!F$24</f>
        <v>0.40976460331299042</v>
      </c>
      <c r="G22" s="18">
        <f t="shared" si="1"/>
        <v>0.40488531020232915</v>
      </c>
    </row>
    <row r="23" spans="1:7" x14ac:dyDescent="0.2">
      <c r="A23" t="s">
        <v>92</v>
      </c>
      <c r="B23" s="12">
        <f>Original!B23/Original!B$24</f>
        <v>0.62903225806451613</v>
      </c>
      <c r="C23" s="12">
        <f>Original!C23/Original!C$24</f>
        <v>0.57380457380457384</v>
      </c>
      <c r="D23" s="12">
        <f>Original!D23/Original!D$24</f>
        <v>0.58275862068965523</v>
      </c>
      <c r="E23" s="12">
        <f>Original!E23/Original!E$24</f>
        <v>0.59974259974259969</v>
      </c>
      <c r="F23" s="12">
        <f>Original!F23/Original!F$24</f>
        <v>0.59023539668700964</v>
      </c>
      <c r="G23" s="19">
        <f t="shared" si="1"/>
        <v>0.5951146897976709</v>
      </c>
    </row>
    <row r="24" spans="1:7" ht="15" thickBot="1" x14ac:dyDescent="0.25">
      <c r="A24" t="s">
        <v>104</v>
      </c>
      <c r="B24" s="13">
        <f>Original!B24/Original!B$13</f>
        <v>1</v>
      </c>
      <c r="C24" s="13">
        <f>Original!C24/Original!C$13</f>
        <v>1</v>
      </c>
      <c r="D24" s="13">
        <f>Original!D24/Original!D$13</f>
        <v>1</v>
      </c>
      <c r="E24" s="13">
        <f>Original!E24/Original!E$13</f>
        <v>1</v>
      </c>
      <c r="F24" s="13">
        <f>Original!F24/Original!F$13</f>
        <v>1</v>
      </c>
      <c r="G24" s="20">
        <f t="shared" si="1"/>
        <v>1</v>
      </c>
    </row>
    <row r="25" spans="1:7" ht="15" thickTop="1" x14ac:dyDescent="0.2">
      <c r="G25" s="17"/>
    </row>
    <row r="26" spans="1:7" ht="16" x14ac:dyDescent="0.2">
      <c r="A26" s="10" t="s">
        <v>111</v>
      </c>
      <c r="B26" s="2">
        <v>2011</v>
      </c>
      <c r="C26" s="2">
        <v>2012</v>
      </c>
      <c r="D26" s="2">
        <v>2013</v>
      </c>
      <c r="E26" s="2">
        <v>2014</v>
      </c>
      <c r="F26" s="2">
        <v>2015</v>
      </c>
      <c r="G26" s="16" t="s">
        <v>6</v>
      </c>
    </row>
    <row r="27" spans="1:7" x14ac:dyDescent="0.2">
      <c r="A27" s="1" t="s">
        <v>4</v>
      </c>
      <c r="B27" s="11">
        <f>Original!B28/Original!B$28</f>
        <v>1</v>
      </c>
      <c r="C27" s="11">
        <f>Original!C28/Original!C$28</f>
        <v>1</v>
      </c>
      <c r="D27" s="11">
        <f>Original!D28/Original!D$28</f>
        <v>1</v>
      </c>
      <c r="E27" s="11">
        <f>Original!E28/Original!E$28</f>
        <v>1</v>
      </c>
      <c r="F27" s="11">
        <f>Original!F28/Original!F$28</f>
        <v>1</v>
      </c>
      <c r="G27" s="18">
        <f t="shared" ref="G27:G38" si="2">AVERAGE(B27:F27)</f>
        <v>1</v>
      </c>
    </row>
    <row r="28" spans="1:7" x14ac:dyDescent="0.2">
      <c r="A28" t="s">
        <v>93</v>
      </c>
      <c r="B28" s="12">
        <f>Original!B29/Original!B$28</f>
        <v>0.61581920903954801</v>
      </c>
      <c r="C28" s="12">
        <f>Original!C29/Original!C$28</f>
        <v>0.65015974440894564</v>
      </c>
      <c r="D28" s="12">
        <f>Original!D29/Original!D$28</f>
        <v>0.63579080025204793</v>
      </c>
      <c r="E28" s="12">
        <f>Original!E29/Original!E$28</f>
        <v>0.61530506721820066</v>
      </c>
      <c r="F28" s="12">
        <f>Original!F29/Original!F$28</f>
        <v>0.59507741167129813</v>
      </c>
      <c r="G28" s="19">
        <f t="shared" si="2"/>
        <v>0.62243044651800805</v>
      </c>
    </row>
    <row r="29" spans="1:7" x14ac:dyDescent="0.2">
      <c r="A29" t="s">
        <v>105</v>
      </c>
      <c r="B29" s="11">
        <f>Original!B30/Original!B$28</f>
        <v>0.38418079096045199</v>
      </c>
      <c r="C29" s="11">
        <f>Original!C30/Original!C$28</f>
        <v>0.34984025559105431</v>
      </c>
      <c r="D29" s="11">
        <f>Original!D30/Original!D$28</f>
        <v>0.36420919974795213</v>
      </c>
      <c r="E29" s="11">
        <f>Original!E30/Original!E$28</f>
        <v>0.38469493278179939</v>
      </c>
      <c r="F29" s="11">
        <f>Original!F30/Original!F$28</f>
        <v>0.40492258832870187</v>
      </c>
      <c r="G29" s="18">
        <f t="shared" si="2"/>
        <v>0.37756955348199195</v>
      </c>
    </row>
    <row r="30" spans="1:7" x14ac:dyDescent="0.2">
      <c r="A30" t="s">
        <v>94</v>
      </c>
      <c r="B30" s="12">
        <f>Original!B31/Original!B$28</f>
        <v>0.2391713747645951</v>
      </c>
      <c r="C30" s="12">
        <f>Original!C31/Original!C$28</f>
        <v>0.21645367412140576</v>
      </c>
      <c r="D30" s="12">
        <f>Original!D31/Original!D$28</f>
        <v>0.22936357908002519</v>
      </c>
      <c r="E30" s="12">
        <f>Original!E31/Original!E$28</f>
        <v>0.23474663908996898</v>
      </c>
      <c r="F30" s="12">
        <f>Original!F31/Original!F$28</f>
        <v>0.22866216752679636</v>
      </c>
      <c r="G30" s="19">
        <f t="shared" si="2"/>
        <v>0.22967948691655823</v>
      </c>
    </row>
    <row r="31" spans="1:7" x14ac:dyDescent="0.2">
      <c r="A31" t="s">
        <v>106</v>
      </c>
      <c r="B31" s="11">
        <f>Original!B32/Original!B$28</f>
        <v>0.14500941619585686</v>
      </c>
      <c r="C31" s="11">
        <f>Original!C32/Original!C$28</f>
        <v>0.13338658146964857</v>
      </c>
      <c r="D31" s="11">
        <f>Original!D32/Original!D$28</f>
        <v>0.13484562066792691</v>
      </c>
      <c r="E31" s="11">
        <f>Original!E32/Original!E$28</f>
        <v>0.14994829369183041</v>
      </c>
      <c r="F31" s="11">
        <f>Original!F32/Original!F$28</f>
        <v>0.17626042080190552</v>
      </c>
      <c r="G31" s="18">
        <f t="shared" si="2"/>
        <v>0.14789006656543363</v>
      </c>
    </row>
    <row r="32" spans="1:7" x14ac:dyDescent="0.2">
      <c r="A32" t="s">
        <v>95</v>
      </c>
      <c r="B32" s="12">
        <f>Original!B33/Original!B$28</f>
        <v>2.3540489642184557E-2</v>
      </c>
      <c r="C32" s="12">
        <f>Original!C33/Original!C$28</f>
        <v>2.4760383386581469E-2</v>
      </c>
      <c r="D32" s="12">
        <f>Original!D33/Original!D$28</f>
        <v>2.3944549464398234E-2</v>
      </c>
      <c r="E32" s="12">
        <f>Original!E33/Original!E$28</f>
        <v>2.688728024819028E-2</v>
      </c>
      <c r="F32" s="12">
        <f>Original!F33/Original!F$28</f>
        <v>2.7788805081381502E-2</v>
      </c>
      <c r="G32" s="19">
        <f t="shared" si="2"/>
        <v>2.5384301564547213E-2</v>
      </c>
    </row>
    <row r="33" spans="1:7" x14ac:dyDescent="0.2">
      <c r="A33" t="s">
        <v>107</v>
      </c>
      <c r="B33" s="11">
        <f>Original!B34/Original!B$28</f>
        <v>0.12146892655367232</v>
      </c>
      <c r="C33" s="11">
        <f>Original!C34/Original!C$28</f>
        <v>0.10862619808306709</v>
      </c>
      <c r="D33" s="11">
        <f>Original!D34/Original!D$28</f>
        <v>0.11090107120352867</v>
      </c>
      <c r="E33" s="11">
        <f>Original!E34/Original!E$28</f>
        <v>0.12306101344364012</v>
      </c>
      <c r="F33" s="11">
        <f>Original!F34/Original!F$28</f>
        <v>0.14847161572052403</v>
      </c>
      <c r="G33" s="18">
        <f t="shared" si="2"/>
        <v>0.12250576500088646</v>
      </c>
    </row>
    <row r="34" spans="1:7" x14ac:dyDescent="0.2">
      <c r="A34" t="s">
        <v>96</v>
      </c>
      <c r="B34" s="11">
        <f>Original!B35/Original!B$28</f>
        <v>3.766478342749529E-3</v>
      </c>
      <c r="C34" s="11">
        <f>Original!C35/Original!C$28</f>
        <v>2.3961661341853034E-3</v>
      </c>
      <c r="D34" s="11">
        <f>Original!D35/Original!D$28</f>
        <v>1.890359168241966E-3</v>
      </c>
      <c r="E34" s="11">
        <f>Original!E35/Original!E$28</f>
        <v>5.1706308169596695E-4</v>
      </c>
      <c r="F34" s="11">
        <f>Original!F35/Original!F$28</f>
        <v>1.5879317189360857E-3</v>
      </c>
      <c r="G34" s="18">
        <f t="shared" si="2"/>
        <v>2.0315996891617704E-3</v>
      </c>
    </row>
    <row r="35" spans="1:7" x14ac:dyDescent="0.2">
      <c r="A35" t="s">
        <v>97</v>
      </c>
      <c r="B35" s="12">
        <f>Original!B36/Original!B$28</f>
        <v>0</v>
      </c>
      <c r="C35" s="12">
        <f>Original!C36/Original!C$28</f>
        <v>5.5910543130990413E-3</v>
      </c>
      <c r="D35" s="12">
        <f>Original!D36/Original!D$28</f>
        <v>6.3011972274732196E-3</v>
      </c>
      <c r="E35" s="12">
        <f>Original!E36/Original!E$28</f>
        <v>0</v>
      </c>
      <c r="F35" s="12">
        <f>Original!F36/Original!F$28</f>
        <v>-3.9698292973402142E-4</v>
      </c>
      <c r="G35" s="19">
        <f t="shared" si="2"/>
        <v>2.2990537221676479E-3</v>
      </c>
    </row>
    <row r="36" spans="1:7" x14ac:dyDescent="0.2">
      <c r="A36" t="s">
        <v>108</v>
      </c>
      <c r="B36" s="11">
        <f>Original!B37/Original!B$28</f>
        <v>0.11770244821092278</v>
      </c>
      <c r="C36" s="11">
        <f>Original!C37/Original!C$28</f>
        <v>0.10063897763578275</v>
      </c>
      <c r="D36" s="11">
        <f>Original!D37/Original!D$28</f>
        <v>0.10270951480781348</v>
      </c>
      <c r="E36" s="11">
        <f>Original!E37/Original!E$28</f>
        <v>0.12254395036194415</v>
      </c>
      <c r="F36" s="11">
        <f>Original!F37/Original!F$28</f>
        <v>0.14728066693132194</v>
      </c>
      <c r="G36" s="18">
        <f t="shared" si="2"/>
        <v>0.11817511158955703</v>
      </c>
    </row>
    <row r="37" spans="1:7" x14ac:dyDescent="0.2">
      <c r="A37" t="s">
        <v>98</v>
      </c>
      <c r="B37" s="12">
        <f>Original!B38/Original!B$28</f>
        <v>5.1789077212806026E-2</v>
      </c>
      <c r="C37" s="12">
        <f>Original!C38/Original!C$28</f>
        <v>4.1533546325878593E-2</v>
      </c>
      <c r="D37" s="12">
        <f>Original!D38/Original!D$28</f>
        <v>4.0957781978575927E-2</v>
      </c>
      <c r="E37" s="12">
        <f>Original!E38/Original!E$28</f>
        <v>4.7569803516028956E-2</v>
      </c>
      <c r="F37" s="12">
        <f>Original!F38/Original!F$28</f>
        <v>5.597459309249702E-2</v>
      </c>
      <c r="G37" s="19">
        <f t="shared" si="2"/>
        <v>4.7564960425157309E-2</v>
      </c>
    </row>
    <row r="38" spans="1:7" ht="15" thickBot="1" x14ac:dyDescent="0.25">
      <c r="A38" t="s">
        <v>109</v>
      </c>
      <c r="B38" s="13">
        <f>Original!B39/Original!B$28</f>
        <v>6.5913370998116755E-2</v>
      </c>
      <c r="C38" s="13">
        <f>Original!C39/Original!C$28</f>
        <v>5.9105431309904151E-2</v>
      </c>
      <c r="D38" s="13">
        <f>Original!D39/Original!D$28</f>
        <v>6.1751732829237557E-2</v>
      </c>
      <c r="E38" s="13">
        <f>Original!E39/Original!E$28</f>
        <v>7.4974146845915204E-2</v>
      </c>
      <c r="F38" s="13">
        <f>Original!F39/Original!F$28</f>
        <v>9.1306073838824928E-2</v>
      </c>
      <c r="G38" s="20">
        <f t="shared" si="2"/>
        <v>7.0610151164399712E-2</v>
      </c>
    </row>
    <row r="39" spans="1:7" ht="15" thickTop="1" x14ac:dyDescent="0.2"/>
    <row r="42" spans="1:7" x14ac:dyDescent="0.2">
      <c r="A42" s="1"/>
    </row>
    <row r="43" spans="1:7" x14ac:dyDescent="0.2">
      <c r="A43" s="1"/>
    </row>
    <row r="44" spans="1:7" x14ac:dyDescent="0.2">
      <c r="A44" s="1"/>
    </row>
    <row r="45" spans="1:7" x14ac:dyDescent="0.2">
      <c r="A45" s="1"/>
    </row>
    <row r="46" spans="1:7" x14ac:dyDescent="0.2">
      <c r="A46" s="1"/>
    </row>
  </sheetData>
  <phoneticPr fontId="6" type="noConversion"/>
  <pageMargins left="1" right="1" top="1" bottom="1" header="0.5" footer="0.5"/>
  <pageSetup scale="103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57"/>
  <sheetViews>
    <sheetView workbookViewId="0">
      <pane xSplit="1" ySplit="2" topLeftCell="B3" activePane="bottomRight" state="frozen"/>
      <selection activeCell="B46" sqref="B46"/>
      <selection pane="topRight" activeCell="B46" sqref="B46"/>
      <selection pane="bottomLeft" activeCell="B46" sqref="B46"/>
      <selection pane="bottomRight"/>
    </sheetView>
  </sheetViews>
  <sheetFormatPr baseColWidth="10" defaultColWidth="13" defaultRowHeight="14" x14ac:dyDescent="0.2"/>
  <cols>
    <col min="1" max="1" width="32.28515625" style="48" customWidth="1"/>
    <col min="2" max="6" width="10.140625" style="48" bestFit="1" customWidth="1"/>
    <col min="7" max="16" width="9.85546875" style="48" customWidth="1"/>
    <col min="17" max="16384" width="13" style="48"/>
  </cols>
  <sheetData>
    <row r="1" spans="1:16" s="1" customFormat="1" ht="16" x14ac:dyDescent="0.2">
      <c r="A1" s="10" t="s">
        <v>201</v>
      </c>
      <c r="G1" s="1">
        <f t="shared" ref="G1:P1" si="0">G2-$F2</f>
        <v>1</v>
      </c>
      <c r="H1" s="1">
        <f t="shared" si="0"/>
        <v>2</v>
      </c>
      <c r="I1" s="1">
        <f t="shared" si="0"/>
        <v>3</v>
      </c>
      <c r="J1" s="1">
        <f t="shared" si="0"/>
        <v>4</v>
      </c>
      <c r="K1" s="1">
        <f t="shared" si="0"/>
        <v>5</v>
      </c>
      <c r="L1" s="1">
        <f t="shared" si="0"/>
        <v>6</v>
      </c>
      <c r="M1" s="1">
        <f t="shared" si="0"/>
        <v>7</v>
      </c>
      <c r="N1" s="1">
        <f t="shared" si="0"/>
        <v>8</v>
      </c>
      <c r="O1" s="1">
        <f t="shared" si="0"/>
        <v>9</v>
      </c>
      <c r="P1" s="1">
        <f t="shared" si="0"/>
        <v>10</v>
      </c>
    </row>
    <row r="2" spans="1:16" s="1" customFormat="1" x14ac:dyDescent="0.2">
      <c r="A2" s="39" t="s">
        <v>55</v>
      </c>
      <c r="B2" s="39">
        <v>2011</v>
      </c>
      <c r="C2" s="39">
        <v>2012</v>
      </c>
      <c r="D2" s="39">
        <v>2013</v>
      </c>
      <c r="E2" s="39">
        <v>2014</v>
      </c>
      <c r="F2" s="39">
        <v>2015</v>
      </c>
      <c r="G2" s="24">
        <f t="shared" ref="G2:P2" si="1">F2+1</f>
        <v>2016</v>
      </c>
      <c r="H2" s="24">
        <f t="shared" si="1"/>
        <v>2017</v>
      </c>
      <c r="I2" s="24">
        <f t="shared" si="1"/>
        <v>2018</v>
      </c>
      <c r="J2" s="24">
        <f t="shared" si="1"/>
        <v>2019</v>
      </c>
      <c r="K2" s="24">
        <f t="shared" si="1"/>
        <v>2020</v>
      </c>
      <c r="L2" s="24">
        <f t="shared" si="1"/>
        <v>2021</v>
      </c>
      <c r="M2" s="24">
        <f t="shared" si="1"/>
        <v>2022</v>
      </c>
      <c r="N2" s="24">
        <f t="shared" si="1"/>
        <v>2023</v>
      </c>
      <c r="O2" s="24">
        <f t="shared" si="1"/>
        <v>2024</v>
      </c>
      <c r="P2" s="24">
        <f t="shared" si="1"/>
        <v>2025</v>
      </c>
    </row>
    <row r="3" spans="1:16" s="1" customFormat="1" x14ac:dyDescent="0.2"/>
    <row r="4" spans="1:16" s="45" customFormat="1" x14ac:dyDescent="0.2">
      <c r="A4" s="44" t="s">
        <v>53</v>
      </c>
    </row>
    <row r="5" spans="1:16" s="1" customFormat="1" x14ac:dyDescent="0.2">
      <c r="A5" s="17" t="s">
        <v>7</v>
      </c>
      <c r="B5" s="17" t="s">
        <v>42</v>
      </c>
      <c r="C5" s="17"/>
      <c r="D5" s="17"/>
      <c r="E5" s="17"/>
      <c r="F5" s="17"/>
      <c r="G5" s="57">
        <f>Ratios!F46</f>
        <v>0.24190326321252242</v>
      </c>
      <c r="H5" s="57">
        <f t="shared" ref="H5:K11" si="2">G5</f>
        <v>0.24190326321252242</v>
      </c>
      <c r="I5" s="57">
        <f t="shared" si="2"/>
        <v>0.24190326321252242</v>
      </c>
      <c r="J5" s="57">
        <f t="shared" si="2"/>
        <v>0.24190326321252242</v>
      </c>
      <c r="K5" s="57">
        <f t="shared" si="2"/>
        <v>0.24190326321252242</v>
      </c>
      <c r="L5" s="57">
        <v>0.05</v>
      </c>
      <c r="M5" s="57">
        <f t="shared" ref="M5:P11" si="3">L5</f>
        <v>0.05</v>
      </c>
      <c r="N5" s="57">
        <f t="shared" si="3"/>
        <v>0.05</v>
      </c>
      <c r="O5" s="57">
        <f t="shared" si="3"/>
        <v>0.05</v>
      </c>
      <c r="P5" s="57">
        <f t="shared" si="3"/>
        <v>0.05</v>
      </c>
    </row>
    <row r="6" spans="1:16" s="1" customFormat="1" x14ac:dyDescent="0.2">
      <c r="A6" s="1" t="s">
        <v>5</v>
      </c>
      <c r="B6" s="1" t="s">
        <v>11</v>
      </c>
      <c r="G6" s="31">
        <f>CommonSize!G28</f>
        <v>0.62243044651800805</v>
      </c>
      <c r="H6" s="31">
        <f t="shared" si="2"/>
        <v>0.62243044651800805</v>
      </c>
      <c r="I6" s="31">
        <f t="shared" si="2"/>
        <v>0.62243044651800805</v>
      </c>
      <c r="J6" s="31">
        <f t="shared" si="2"/>
        <v>0.62243044651800805</v>
      </c>
      <c r="K6" s="31">
        <f t="shared" si="2"/>
        <v>0.62243044651800805</v>
      </c>
      <c r="L6" s="31">
        <f t="shared" ref="L6:L11" si="4">K6</f>
        <v>0.62243044651800805</v>
      </c>
      <c r="M6" s="31">
        <f t="shared" si="3"/>
        <v>0.62243044651800805</v>
      </c>
      <c r="N6" s="31">
        <f t="shared" si="3"/>
        <v>0.62243044651800805</v>
      </c>
      <c r="O6" s="31">
        <f t="shared" si="3"/>
        <v>0.62243044651800805</v>
      </c>
      <c r="P6" s="31">
        <f t="shared" si="3"/>
        <v>0.62243044651800805</v>
      </c>
    </row>
    <row r="7" spans="1:16" s="1" customFormat="1" x14ac:dyDescent="0.2">
      <c r="A7" t="s">
        <v>94</v>
      </c>
      <c r="B7" s="1" t="s">
        <v>33</v>
      </c>
      <c r="G7" s="31">
        <f>CommonSize!G30</f>
        <v>0.22967948691655823</v>
      </c>
      <c r="H7" s="31">
        <f t="shared" si="2"/>
        <v>0.22967948691655823</v>
      </c>
      <c r="I7" s="31">
        <f t="shared" si="2"/>
        <v>0.22967948691655823</v>
      </c>
      <c r="J7" s="31">
        <f t="shared" si="2"/>
        <v>0.22967948691655823</v>
      </c>
      <c r="K7" s="31">
        <f t="shared" si="2"/>
        <v>0.22967948691655823</v>
      </c>
      <c r="L7" s="31">
        <f t="shared" si="4"/>
        <v>0.22967948691655823</v>
      </c>
      <c r="M7" s="31">
        <f t="shared" si="3"/>
        <v>0.22967948691655823</v>
      </c>
      <c r="N7" s="31">
        <f t="shared" si="3"/>
        <v>0.22967948691655823</v>
      </c>
      <c r="O7" s="31">
        <f t="shared" si="3"/>
        <v>0.22967948691655823</v>
      </c>
      <c r="P7" s="31">
        <f t="shared" si="3"/>
        <v>0.22967948691655823</v>
      </c>
    </row>
    <row r="8" spans="1:16" s="1" customFormat="1" x14ac:dyDescent="0.2">
      <c r="A8" t="s">
        <v>95</v>
      </c>
      <c r="B8" s="1" t="s">
        <v>34</v>
      </c>
      <c r="G8" s="31">
        <f>Ratios!F50</f>
        <v>0.10877348993606788</v>
      </c>
      <c r="H8" s="31">
        <f t="shared" si="2"/>
        <v>0.10877348993606788</v>
      </c>
      <c r="I8" s="31">
        <f t="shared" si="2"/>
        <v>0.10877348993606788</v>
      </c>
      <c r="J8" s="31">
        <f t="shared" si="2"/>
        <v>0.10877348993606788</v>
      </c>
      <c r="K8" s="31">
        <f t="shared" si="2"/>
        <v>0.10877348993606788</v>
      </c>
      <c r="L8" s="31">
        <f t="shared" si="4"/>
        <v>0.10877348993606788</v>
      </c>
      <c r="M8" s="31">
        <f t="shared" si="3"/>
        <v>0.10877348993606788</v>
      </c>
      <c r="N8" s="31">
        <f t="shared" si="3"/>
        <v>0.10877348993606788</v>
      </c>
      <c r="O8" s="31">
        <f t="shared" si="3"/>
        <v>0.10877348993606788</v>
      </c>
      <c r="P8" s="31">
        <f t="shared" si="3"/>
        <v>0.10877348993606788</v>
      </c>
    </row>
    <row r="9" spans="1:16" s="1" customFormat="1" x14ac:dyDescent="0.2">
      <c r="A9" t="s">
        <v>96</v>
      </c>
      <c r="B9" t="s">
        <v>192</v>
      </c>
      <c r="G9" s="31">
        <f>Ratios!E51</f>
        <v>8.0808080808080815E-2</v>
      </c>
      <c r="H9" s="31">
        <f t="shared" si="2"/>
        <v>8.0808080808080815E-2</v>
      </c>
      <c r="I9" s="31">
        <f t="shared" si="2"/>
        <v>8.0808080808080815E-2</v>
      </c>
      <c r="J9" s="31">
        <f t="shared" si="2"/>
        <v>8.0808080808080815E-2</v>
      </c>
      <c r="K9" s="31">
        <f t="shared" si="2"/>
        <v>8.0808080808080815E-2</v>
      </c>
      <c r="L9" s="31">
        <f t="shared" si="4"/>
        <v>8.0808080808080815E-2</v>
      </c>
      <c r="M9" s="31">
        <f t="shared" si="3"/>
        <v>8.0808080808080815E-2</v>
      </c>
      <c r="N9" s="31">
        <f t="shared" si="3"/>
        <v>8.0808080808080815E-2</v>
      </c>
      <c r="O9" s="31">
        <f t="shared" si="3"/>
        <v>8.0808080808080815E-2</v>
      </c>
      <c r="P9" s="31">
        <f t="shared" si="3"/>
        <v>8.0808080808080815E-2</v>
      </c>
    </row>
    <row r="10" spans="1:16" s="1" customFormat="1" x14ac:dyDescent="0.2">
      <c r="A10" t="s">
        <v>97</v>
      </c>
      <c r="B10" t="s">
        <v>196</v>
      </c>
      <c r="G10" s="31">
        <f>CommonSize!G35</f>
        <v>2.2990537221676479E-3</v>
      </c>
      <c r="H10" s="31">
        <f t="shared" si="2"/>
        <v>2.2990537221676479E-3</v>
      </c>
      <c r="I10" s="31">
        <f t="shared" si="2"/>
        <v>2.2990537221676479E-3</v>
      </c>
      <c r="J10" s="31">
        <f t="shared" si="2"/>
        <v>2.2990537221676479E-3</v>
      </c>
      <c r="K10" s="31">
        <f t="shared" si="2"/>
        <v>2.2990537221676479E-3</v>
      </c>
      <c r="L10" s="31">
        <f t="shared" si="4"/>
        <v>2.2990537221676479E-3</v>
      </c>
      <c r="M10" s="31">
        <f t="shared" si="3"/>
        <v>2.2990537221676479E-3</v>
      </c>
      <c r="N10" s="31">
        <f t="shared" si="3"/>
        <v>2.2990537221676479E-3</v>
      </c>
      <c r="O10" s="31">
        <f t="shared" si="3"/>
        <v>2.2990537221676479E-3</v>
      </c>
      <c r="P10" s="31">
        <f t="shared" si="3"/>
        <v>2.2990537221676479E-3</v>
      </c>
    </row>
    <row r="11" spans="1:16" s="1" customFormat="1" x14ac:dyDescent="0.2">
      <c r="A11" t="s">
        <v>98</v>
      </c>
      <c r="B11" t="s">
        <v>197</v>
      </c>
      <c r="G11" s="31">
        <f>Ratios!E47</f>
        <v>0.38</v>
      </c>
      <c r="H11" s="31">
        <f t="shared" si="2"/>
        <v>0.38</v>
      </c>
      <c r="I11" s="31">
        <f t="shared" si="2"/>
        <v>0.38</v>
      </c>
      <c r="J11" s="31">
        <f t="shared" si="2"/>
        <v>0.38</v>
      </c>
      <c r="K11" s="31">
        <f t="shared" si="2"/>
        <v>0.38</v>
      </c>
      <c r="L11" s="31">
        <f t="shared" si="4"/>
        <v>0.38</v>
      </c>
      <c r="M11" s="31">
        <f t="shared" si="3"/>
        <v>0.38</v>
      </c>
      <c r="N11" s="31">
        <f t="shared" si="3"/>
        <v>0.38</v>
      </c>
      <c r="O11" s="31">
        <f t="shared" si="3"/>
        <v>0.38</v>
      </c>
      <c r="P11" s="31">
        <f t="shared" si="3"/>
        <v>0.38</v>
      </c>
    </row>
    <row r="12" spans="1:16" s="40" customFormat="1" x14ac:dyDescent="0.2">
      <c r="A12" s="26"/>
    </row>
    <row r="13" spans="1:16" s="45" customFormat="1" x14ac:dyDescent="0.2">
      <c r="A13" s="44" t="s">
        <v>54</v>
      </c>
    </row>
    <row r="14" spans="1:16" s="45" customFormat="1" x14ac:dyDescent="0.2">
      <c r="A14" t="s">
        <v>84</v>
      </c>
      <c r="B14" s="45" t="s">
        <v>9</v>
      </c>
      <c r="G14" s="46">
        <f>CommonSize!G4</f>
        <v>9.7875636273856509E-2</v>
      </c>
      <c r="H14" s="46">
        <f>G14</f>
        <v>9.7875636273856509E-2</v>
      </c>
      <c r="I14" s="46">
        <f t="shared" ref="I14:P14" si="5">H14</f>
        <v>9.7875636273856509E-2</v>
      </c>
      <c r="J14" s="46">
        <f t="shared" si="5"/>
        <v>9.7875636273856509E-2</v>
      </c>
      <c r="K14" s="46">
        <f t="shared" si="5"/>
        <v>9.7875636273856509E-2</v>
      </c>
      <c r="L14" s="46">
        <f t="shared" si="5"/>
        <v>9.7875636273856509E-2</v>
      </c>
      <c r="M14" s="46">
        <f t="shared" si="5"/>
        <v>9.7875636273856509E-2</v>
      </c>
      <c r="N14" s="46">
        <f t="shared" si="5"/>
        <v>9.7875636273856509E-2</v>
      </c>
      <c r="O14" s="46">
        <f t="shared" si="5"/>
        <v>9.7875636273856509E-2</v>
      </c>
      <c r="P14" s="46">
        <f t="shared" si="5"/>
        <v>9.7875636273856509E-2</v>
      </c>
    </row>
    <row r="15" spans="1:16" s="45" customFormat="1" x14ac:dyDescent="0.2">
      <c r="A15" t="s">
        <v>85</v>
      </c>
      <c r="B15" s="45" t="s">
        <v>9</v>
      </c>
      <c r="G15" s="46">
        <f>CommonSize!G5</f>
        <v>1.2680179354261667E-2</v>
      </c>
      <c r="H15" s="46">
        <f t="shared" ref="H15:P23" si="6">G15</f>
        <v>1.2680179354261667E-2</v>
      </c>
      <c r="I15" s="46">
        <f t="shared" si="6"/>
        <v>1.2680179354261667E-2</v>
      </c>
      <c r="J15" s="46">
        <f t="shared" si="6"/>
        <v>1.2680179354261667E-2</v>
      </c>
      <c r="K15" s="46">
        <f t="shared" si="6"/>
        <v>1.2680179354261667E-2</v>
      </c>
      <c r="L15" s="46">
        <f t="shared" si="6"/>
        <v>1.2680179354261667E-2</v>
      </c>
      <c r="M15" s="46">
        <f t="shared" si="6"/>
        <v>1.2680179354261667E-2</v>
      </c>
      <c r="N15" s="46">
        <f t="shared" si="6"/>
        <v>1.2680179354261667E-2</v>
      </c>
      <c r="O15" s="46">
        <f t="shared" si="6"/>
        <v>1.2680179354261667E-2</v>
      </c>
      <c r="P15" s="46">
        <f t="shared" si="6"/>
        <v>1.2680179354261667E-2</v>
      </c>
    </row>
    <row r="16" spans="1:16" s="45" customFormat="1" x14ac:dyDescent="0.2">
      <c r="A16" t="s">
        <v>1</v>
      </c>
      <c r="B16" s="45" t="s">
        <v>9</v>
      </c>
      <c r="G16" s="46">
        <f>CommonSize!G6</f>
        <v>0.37283595199056824</v>
      </c>
      <c r="H16" s="46">
        <f t="shared" si="6"/>
        <v>0.37283595199056824</v>
      </c>
      <c r="I16" s="46">
        <f t="shared" si="6"/>
        <v>0.37283595199056824</v>
      </c>
      <c r="J16" s="46">
        <f t="shared" si="6"/>
        <v>0.37283595199056824</v>
      </c>
      <c r="K16" s="46">
        <f t="shared" si="6"/>
        <v>0.37283595199056824</v>
      </c>
      <c r="L16" s="46">
        <f t="shared" si="6"/>
        <v>0.37283595199056824</v>
      </c>
      <c r="M16" s="46">
        <f t="shared" si="6"/>
        <v>0.37283595199056824</v>
      </c>
      <c r="N16" s="46">
        <f t="shared" si="6"/>
        <v>0.37283595199056824</v>
      </c>
      <c r="O16" s="46">
        <f t="shared" si="6"/>
        <v>0.37283595199056824</v>
      </c>
      <c r="P16" s="46">
        <f t="shared" si="6"/>
        <v>0.37283595199056824</v>
      </c>
    </row>
    <row r="17" spans="1:16" s="45" customFormat="1" x14ac:dyDescent="0.2">
      <c r="A17" t="s">
        <v>87</v>
      </c>
      <c r="B17" s="45" t="s">
        <v>9</v>
      </c>
      <c r="G17" s="46">
        <f>CommonSize!G7</f>
        <v>4.5193257773902928E-2</v>
      </c>
      <c r="H17" s="46">
        <f t="shared" si="6"/>
        <v>4.5193257773902928E-2</v>
      </c>
      <c r="I17" s="46">
        <f t="shared" si="6"/>
        <v>4.5193257773902928E-2</v>
      </c>
      <c r="J17" s="46">
        <f t="shared" si="6"/>
        <v>4.5193257773902928E-2</v>
      </c>
      <c r="K17" s="46">
        <f t="shared" si="6"/>
        <v>4.5193257773902928E-2</v>
      </c>
      <c r="L17" s="46">
        <f t="shared" si="6"/>
        <v>4.5193257773902928E-2</v>
      </c>
      <c r="M17" s="46">
        <f t="shared" si="6"/>
        <v>4.5193257773902928E-2</v>
      </c>
      <c r="N17" s="46">
        <f t="shared" si="6"/>
        <v>4.5193257773902928E-2</v>
      </c>
      <c r="O17" s="46">
        <f t="shared" si="6"/>
        <v>4.5193257773902928E-2</v>
      </c>
      <c r="P17" s="46">
        <f t="shared" si="6"/>
        <v>4.5193257773902928E-2</v>
      </c>
    </row>
    <row r="18" spans="1:16" s="45" customFormat="1" x14ac:dyDescent="0.2">
      <c r="A18" s="45" t="s">
        <v>56</v>
      </c>
      <c r="B18" s="45" t="s">
        <v>9</v>
      </c>
      <c r="G18" s="46">
        <f>CommonSize!G9</f>
        <v>0.61272318878548016</v>
      </c>
      <c r="H18" s="46">
        <f t="shared" si="6"/>
        <v>0.61272318878548016</v>
      </c>
      <c r="I18" s="46">
        <f t="shared" si="6"/>
        <v>0.61272318878548016</v>
      </c>
      <c r="J18" s="46">
        <f t="shared" si="6"/>
        <v>0.61272318878548016</v>
      </c>
      <c r="K18" s="46">
        <f t="shared" si="6"/>
        <v>0.61272318878548016</v>
      </c>
      <c r="L18" s="46">
        <f t="shared" si="6"/>
        <v>0.61272318878548016</v>
      </c>
      <c r="M18" s="46">
        <f t="shared" si="6"/>
        <v>0.61272318878548016</v>
      </c>
      <c r="N18" s="46">
        <f t="shared" si="6"/>
        <v>0.61272318878548016</v>
      </c>
      <c r="O18" s="46">
        <f t="shared" si="6"/>
        <v>0.61272318878548016</v>
      </c>
      <c r="P18" s="46">
        <f t="shared" si="6"/>
        <v>0.61272318878548016</v>
      </c>
    </row>
    <row r="19" spans="1:16" s="45" customFormat="1" x14ac:dyDescent="0.2">
      <c r="A19" s="45" t="s">
        <v>60</v>
      </c>
      <c r="B19" s="45" t="s">
        <v>9</v>
      </c>
      <c r="G19" s="46">
        <f>CommonSize!G10</f>
        <v>0.18449079645965072</v>
      </c>
      <c r="H19" s="46">
        <f t="shared" si="6"/>
        <v>0.18449079645965072</v>
      </c>
      <c r="I19" s="46">
        <f t="shared" si="6"/>
        <v>0.18449079645965072</v>
      </c>
      <c r="J19" s="46">
        <f t="shared" si="6"/>
        <v>0.18449079645965072</v>
      </c>
      <c r="K19" s="46">
        <f t="shared" si="6"/>
        <v>0.18449079645965072</v>
      </c>
      <c r="L19" s="46">
        <f t="shared" si="6"/>
        <v>0.18449079645965072</v>
      </c>
      <c r="M19" s="46">
        <f t="shared" si="6"/>
        <v>0.18449079645965072</v>
      </c>
      <c r="N19" s="46">
        <f t="shared" si="6"/>
        <v>0.18449079645965072</v>
      </c>
      <c r="O19" s="46">
        <f t="shared" si="6"/>
        <v>0.18449079645965072</v>
      </c>
      <c r="P19" s="46">
        <f t="shared" si="6"/>
        <v>0.18449079645965072</v>
      </c>
    </row>
    <row r="20" spans="1:16" s="45" customFormat="1" x14ac:dyDescent="0.2">
      <c r="A20" t="s">
        <v>182</v>
      </c>
      <c r="B20" s="45" t="s">
        <v>9</v>
      </c>
      <c r="G20" s="46">
        <f>CommonSize!G12</f>
        <v>4.3182582281581172E-2</v>
      </c>
      <c r="H20" s="46">
        <f t="shared" si="6"/>
        <v>4.3182582281581172E-2</v>
      </c>
      <c r="I20" s="46">
        <f t="shared" si="6"/>
        <v>4.3182582281581172E-2</v>
      </c>
      <c r="J20" s="46">
        <f t="shared" si="6"/>
        <v>4.3182582281581172E-2</v>
      </c>
      <c r="K20" s="46">
        <f t="shared" si="6"/>
        <v>4.3182582281581172E-2</v>
      </c>
      <c r="L20" s="46">
        <f t="shared" si="6"/>
        <v>4.3182582281581172E-2</v>
      </c>
      <c r="M20" s="46">
        <f t="shared" si="6"/>
        <v>4.3182582281581172E-2</v>
      </c>
      <c r="N20" s="46">
        <f t="shared" si="6"/>
        <v>4.3182582281581172E-2</v>
      </c>
      <c r="O20" s="46">
        <f t="shared" si="6"/>
        <v>4.3182582281581172E-2</v>
      </c>
      <c r="P20" s="46">
        <f t="shared" si="6"/>
        <v>4.3182582281581172E-2</v>
      </c>
    </row>
    <row r="21" spans="1:16" s="45" customFormat="1" x14ac:dyDescent="0.2">
      <c r="A21" s="45" t="s">
        <v>57</v>
      </c>
      <c r="B21" t="s">
        <v>198</v>
      </c>
      <c r="G21" s="46">
        <f>Ratios!F12</f>
        <v>2.79925947064087</v>
      </c>
      <c r="H21" s="46">
        <f t="shared" si="6"/>
        <v>2.79925947064087</v>
      </c>
      <c r="I21" s="46">
        <f t="shared" si="6"/>
        <v>2.79925947064087</v>
      </c>
      <c r="J21" s="46">
        <f t="shared" si="6"/>
        <v>2.79925947064087</v>
      </c>
      <c r="K21" s="46">
        <f t="shared" si="6"/>
        <v>2.79925947064087</v>
      </c>
      <c r="L21" s="46">
        <f t="shared" si="6"/>
        <v>2.79925947064087</v>
      </c>
      <c r="M21" s="46">
        <f t="shared" si="6"/>
        <v>2.79925947064087</v>
      </c>
      <c r="N21" s="46">
        <f t="shared" si="6"/>
        <v>2.79925947064087</v>
      </c>
      <c r="O21" s="46">
        <f t="shared" si="6"/>
        <v>2.79925947064087</v>
      </c>
      <c r="P21" s="46">
        <f t="shared" si="6"/>
        <v>2.79925947064087</v>
      </c>
    </row>
    <row r="22" spans="1:16" s="45" customFormat="1" x14ac:dyDescent="0.2">
      <c r="G22" s="46"/>
      <c r="H22" s="46"/>
      <c r="I22" s="46"/>
      <c r="J22" s="46"/>
      <c r="K22" s="46"/>
      <c r="L22" s="46"/>
      <c r="M22" s="46"/>
      <c r="N22" s="46"/>
      <c r="O22" s="46"/>
      <c r="P22" s="46"/>
    </row>
    <row r="23" spans="1:16" s="45" customFormat="1" x14ac:dyDescent="0.2">
      <c r="A23" t="s">
        <v>88</v>
      </c>
      <c r="B23" s="45" t="s">
        <v>9</v>
      </c>
      <c r="G23" s="46">
        <f>CommonSize!G16</f>
        <v>0.15458119269020271</v>
      </c>
      <c r="H23" s="46">
        <f t="shared" si="6"/>
        <v>0.15458119269020271</v>
      </c>
      <c r="I23" s="46">
        <f t="shared" ref="I23:P23" si="7">H23</f>
        <v>0.15458119269020271</v>
      </c>
      <c r="J23" s="46">
        <f t="shared" si="7"/>
        <v>0.15458119269020271</v>
      </c>
      <c r="K23" s="46">
        <f t="shared" si="7"/>
        <v>0.15458119269020271</v>
      </c>
      <c r="L23" s="46">
        <f t="shared" si="7"/>
        <v>0.15458119269020271</v>
      </c>
      <c r="M23" s="46">
        <f t="shared" si="7"/>
        <v>0.15458119269020271</v>
      </c>
      <c r="N23" s="46">
        <f t="shared" si="7"/>
        <v>0.15458119269020271</v>
      </c>
      <c r="O23" s="46">
        <f t="shared" si="7"/>
        <v>0.15458119269020271</v>
      </c>
      <c r="P23" s="46">
        <f t="shared" si="7"/>
        <v>0.15458119269020271</v>
      </c>
    </row>
    <row r="24" spans="1:16" s="45" customFormat="1" x14ac:dyDescent="0.2">
      <c r="A24" t="s">
        <v>89</v>
      </c>
      <c r="B24" s="45" t="s">
        <v>9</v>
      </c>
      <c r="G24" s="46">
        <f>CommonSize!G17</f>
        <v>2.8248378804552332E-2</v>
      </c>
      <c r="H24" s="46">
        <f t="shared" ref="H24:P24" si="8">G24</f>
        <v>2.8248378804552332E-2</v>
      </c>
      <c r="I24" s="46">
        <f t="shared" si="8"/>
        <v>2.8248378804552332E-2</v>
      </c>
      <c r="J24" s="46">
        <f t="shared" si="8"/>
        <v>2.8248378804552332E-2</v>
      </c>
      <c r="K24" s="46">
        <f t="shared" si="8"/>
        <v>2.8248378804552332E-2</v>
      </c>
      <c r="L24" s="46">
        <f t="shared" si="8"/>
        <v>2.8248378804552332E-2</v>
      </c>
      <c r="M24" s="46">
        <f t="shared" si="8"/>
        <v>2.8248378804552332E-2</v>
      </c>
      <c r="N24" s="46">
        <f t="shared" si="8"/>
        <v>2.8248378804552332E-2</v>
      </c>
      <c r="O24" s="46">
        <f t="shared" si="8"/>
        <v>2.8248378804552332E-2</v>
      </c>
      <c r="P24" s="46">
        <f t="shared" si="8"/>
        <v>2.8248378804552332E-2</v>
      </c>
    </row>
    <row r="25" spans="1:16" s="45" customFormat="1" x14ac:dyDescent="0.2">
      <c r="A25" t="s">
        <v>86</v>
      </c>
      <c r="B25" s="45" t="s">
        <v>9</v>
      </c>
      <c r="G25" s="46">
        <f>CommonSize!G18</f>
        <v>0.12083573813273481</v>
      </c>
      <c r="H25" s="46">
        <f t="shared" ref="H25:P25" si="9">G25</f>
        <v>0.12083573813273481</v>
      </c>
      <c r="I25" s="46">
        <f t="shared" si="9"/>
        <v>0.12083573813273481</v>
      </c>
      <c r="J25" s="46">
        <f t="shared" si="9"/>
        <v>0.12083573813273481</v>
      </c>
      <c r="K25" s="46">
        <f t="shared" si="9"/>
        <v>0.12083573813273481</v>
      </c>
      <c r="L25" s="46">
        <f t="shared" si="9"/>
        <v>0.12083573813273481</v>
      </c>
      <c r="M25" s="46">
        <f t="shared" si="9"/>
        <v>0.12083573813273481</v>
      </c>
      <c r="N25" s="46">
        <f t="shared" si="9"/>
        <v>0.12083573813273481</v>
      </c>
      <c r="O25" s="46">
        <f t="shared" si="9"/>
        <v>0.12083573813273481</v>
      </c>
      <c r="P25" s="46">
        <f t="shared" si="9"/>
        <v>0.12083573813273481</v>
      </c>
    </row>
    <row r="26" spans="1:16" s="45" customFormat="1" x14ac:dyDescent="0.2">
      <c r="A26" t="s">
        <v>90</v>
      </c>
      <c r="B26" s="66" t="s">
        <v>199</v>
      </c>
      <c r="G26" s="46">
        <f>CommonSize!F20</f>
        <v>7.0619006102877066E-2</v>
      </c>
      <c r="H26" s="46">
        <f t="shared" ref="H26:P26" si="10">G26</f>
        <v>7.0619006102877066E-2</v>
      </c>
      <c r="I26" s="46">
        <f t="shared" si="10"/>
        <v>7.0619006102877066E-2</v>
      </c>
      <c r="J26" s="46">
        <f t="shared" si="10"/>
        <v>7.0619006102877066E-2</v>
      </c>
      <c r="K26" s="46">
        <f t="shared" si="10"/>
        <v>7.0619006102877066E-2</v>
      </c>
      <c r="L26" s="46">
        <f t="shared" si="10"/>
        <v>7.0619006102877066E-2</v>
      </c>
      <c r="M26" s="46">
        <f t="shared" si="10"/>
        <v>7.0619006102877066E-2</v>
      </c>
      <c r="N26" s="46">
        <f t="shared" si="10"/>
        <v>7.0619006102877066E-2</v>
      </c>
      <c r="O26" s="46">
        <f t="shared" si="10"/>
        <v>7.0619006102877066E-2</v>
      </c>
      <c r="P26" s="46">
        <f t="shared" si="10"/>
        <v>7.0619006102877066E-2</v>
      </c>
    </row>
    <row r="27" spans="1:16" s="45" customFormat="1" x14ac:dyDescent="0.2">
      <c r="A27" t="s">
        <v>91</v>
      </c>
      <c r="B27" s="45" t="s">
        <v>9</v>
      </c>
      <c r="G27" s="46">
        <f>CommonSize!G21</f>
        <v>5.7318245894441663E-2</v>
      </c>
      <c r="H27" s="46">
        <f t="shared" ref="H27:P27" si="11">G27</f>
        <v>5.7318245894441663E-2</v>
      </c>
      <c r="I27" s="46">
        <f t="shared" si="11"/>
        <v>5.7318245894441663E-2</v>
      </c>
      <c r="J27" s="46">
        <f t="shared" si="11"/>
        <v>5.7318245894441663E-2</v>
      </c>
      <c r="K27" s="46">
        <f t="shared" si="11"/>
        <v>5.7318245894441663E-2</v>
      </c>
      <c r="L27" s="46">
        <f t="shared" si="11"/>
        <v>5.7318245894441663E-2</v>
      </c>
      <c r="M27" s="46">
        <f t="shared" si="11"/>
        <v>5.7318245894441663E-2</v>
      </c>
      <c r="N27" s="46">
        <f t="shared" si="11"/>
        <v>5.7318245894441663E-2</v>
      </c>
      <c r="O27" s="46">
        <f t="shared" si="11"/>
        <v>5.7318245894441663E-2</v>
      </c>
      <c r="P27" s="46">
        <f t="shared" si="11"/>
        <v>5.7318245894441663E-2</v>
      </c>
    </row>
    <row r="28" spans="1:16" s="45" customFormat="1" x14ac:dyDescent="0.2">
      <c r="A28" s="45" t="s">
        <v>58</v>
      </c>
      <c r="B28" s="45" t="s">
        <v>10</v>
      </c>
      <c r="G28" s="46"/>
      <c r="H28" s="46"/>
      <c r="I28" s="46"/>
      <c r="J28" s="46"/>
      <c r="K28" s="46"/>
      <c r="L28" s="46"/>
      <c r="M28" s="46"/>
      <c r="N28" s="46"/>
      <c r="O28" s="46"/>
      <c r="P28" s="46"/>
    </row>
    <row r="29" spans="1:16" s="45" customFormat="1" x14ac:dyDescent="0.2">
      <c r="G29" s="46"/>
      <c r="H29" s="46"/>
      <c r="I29" s="46"/>
      <c r="J29" s="46"/>
      <c r="K29" s="46"/>
      <c r="L29" s="46"/>
      <c r="M29" s="46"/>
      <c r="N29" s="46"/>
      <c r="O29" s="46"/>
      <c r="P29" s="46"/>
    </row>
    <row r="30" spans="1:16" s="45" customFormat="1" x14ac:dyDescent="0.2"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6" s="45" customFormat="1" x14ac:dyDescent="0.2">
      <c r="A31" s="44" t="s">
        <v>63</v>
      </c>
    </row>
    <row r="32" spans="1:16" s="40" customFormat="1" x14ac:dyDescent="0.2">
      <c r="A32" s="26" t="s">
        <v>12</v>
      </c>
    </row>
    <row r="33" spans="1:16" s="40" customFormat="1" x14ac:dyDescent="0.2">
      <c r="A33" s="40" t="s">
        <v>13</v>
      </c>
      <c r="G33" s="41">
        <f>ProFormas!G$28/G21</f>
        <v>1117.5649677506065</v>
      </c>
      <c r="H33" s="41">
        <f>ProFormas!H$28/H21</f>
        <v>1387.9075803014755</v>
      </c>
      <c r="I33" s="41">
        <f>ProFormas!I$28/I21</f>
        <v>1723.6469530137983</v>
      </c>
      <c r="J33" s="41">
        <f>ProFormas!J$28/J21</f>
        <v>2140.6027755741575</v>
      </c>
      <c r="K33" s="41">
        <f>ProFormas!K$28/K21</f>
        <v>2658.4215722273289</v>
      </c>
      <c r="L33" s="41">
        <f>ProFormas!L$28/L21</f>
        <v>2791.3426508386956</v>
      </c>
      <c r="M33" s="41">
        <f>ProFormas!M$28/M21</f>
        <v>2930.9097833806304</v>
      </c>
      <c r="N33" s="41">
        <f>ProFormas!N$28/N21</f>
        <v>3077.4552725496619</v>
      </c>
      <c r="O33" s="41">
        <f>ProFormas!O$28/O21</f>
        <v>3231.3280361771453</v>
      </c>
      <c r="P33" s="41">
        <f>ProFormas!P$28/P21</f>
        <v>3392.8944379860027</v>
      </c>
    </row>
    <row r="34" spans="1:16" s="1" customFormat="1" x14ac:dyDescent="0.2">
      <c r="A34" s="40" t="s">
        <v>14</v>
      </c>
      <c r="B34" s="40"/>
      <c r="C34" s="40"/>
      <c r="D34" s="40"/>
      <c r="E34" s="40"/>
      <c r="F34" s="25">
        <f>ProFormas!F$14</f>
        <v>1147</v>
      </c>
      <c r="G34" s="67">
        <f>(G33*2)-F34</f>
        <v>1088.1299355012129</v>
      </c>
      <c r="H34" s="67">
        <f t="shared" ref="H34:J34" si="12">(H33*2)-G34</f>
        <v>1687.6852251017381</v>
      </c>
      <c r="I34" s="67">
        <f t="shared" si="12"/>
        <v>1759.6086809258586</v>
      </c>
      <c r="J34" s="67">
        <f t="shared" si="12"/>
        <v>2521.5968702224563</v>
      </c>
      <c r="K34" s="67">
        <f t="shared" ref="K34" si="13">(K33*2)-J34</f>
        <v>2795.2462742322014</v>
      </c>
      <c r="L34" s="67">
        <f t="shared" ref="L34" si="14">(L33*2)-K34</f>
        <v>2787.4390274451898</v>
      </c>
      <c r="M34" s="67">
        <f t="shared" ref="M34" si="15">(M33*2)-L34</f>
        <v>3074.380539316071</v>
      </c>
      <c r="N34" s="67">
        <f t="shared" ref="N34" si="16">(N33*2)-M34</f>
        <v>3080.5300057832528</v>
      </c>
      <c r="O34" s="67">
        <f t="shared" ref="O34" si="17">(O33*2)-N34</f>
        <v>3382.1260665710379</v>
      </c>
      <c r="P34" s="67">
        <f t="shared" ref="P34" si="18">(P33*2)-O34</f>
        <v>3403.6628094009675</v>
      </c>
    </row>
    <row r="35" spans="1:16" s="1" customFormat="1" x14ac:dyDescent="0.2">
      <c r="A35" t="s">
        <v>200</v>
      </c>
      <c r="F35" s="35"/>
      <c r="G35" s="42"/>
      <c r="H35" s="42"/>
      <c r="I35" s="42"/>
      <c r="J35" s="42"/>
      <c r="K35" s="29">
        <f>((K$33/$F$34)^(1/K$1))-1</f>
        <v>0.18307448157287842</v>
      </c>
      <c r="L35" s="42" t="s">
        <v>35</v>
      </c>
      <c r="M35" s="42" t="s">
        <v>35</v>
      </c>
      <c r="N35" s="29" t="s">
        <v>35</v>
      </c>
      <c r="O35" s="29"/>
      <c r="P35" s="29">
        <f>((P$33/$K$33)^(1/(P$1-K$1)))-1</f>
        <v>5.0000000000000044E-2</v>
      </c>
    </row>
    <row r="36" spans="1:16" s="1" customFormat="1" x14ac:dyDescent="0.2">
      <c r="A36" s="1" t="s">
        <v>15</v>
      </c>
      <c r="F36" s="35"/>
      <c r="G36" s="42">
        <f>$K$35</f>
        <v>0.18307448157287842</v>
      </c>
      <c r="H36" s="42">
        <f>$K$35</f>
        <v>0.18307448157287842</v>
      </c>
      <c r="I36" s="42">
        <f>$K$35</f>
        <v>0.18307448157287842</v>
      </c>
      <c r="J36" s="42">
        <f>$K$35</f>
        <v>0.18307448157287842</v>
      </c>
      <c r="K36" s="42">
        <f>$K$35</f>
        <v>0.18307448157287842</v>
      </c>
      <c r="L36" s="42">
        <f>$P$35</f>
        <v>5.0000000000000044E-2</v>
      </c>
      <c r="M36" s="42">
        <f>$P$35</f>
        <v>5.0000000000000044E-2</v>
      </c>
      <c r="N36" s="42">
        <f t="shared" ref="N36:P36" si="19">$P$35</f>
        <v>5.0000000000000044E-2</v>
      </c>
      <c r="O36" s="42">
        <f t="shared" si="19"/>
        <v>5.0000000000000044E-2</v>
      </c>
      <c r="P36" s="42">
        <f t="shared" si="19"/>
        <v>5.0000000000000044E-2</v>
      </c>
    </row>
    <row r="37" spans="1:16" s="1" customFormat="1" x14ac:dyDescent="0.2">
      <c r="A37" s="1" t="s">
        <v>16</v>
      </c>
      <c r="F37" s="25">
        <f>ProFormas!F$14</f>
        <v>1147</v>
      </c>
      <c r="G37" s="8">
        <f t="shared" ref="G37:P37" si="20">F37*(1+G36)</f>
        <v>1356.9864303640916</v>
      </c>
      <c r="H37" s="8">
        <f t="shared" si="20"/>
        <v>1605.4160176044286</v>
      </c>
      <c r="I37" s="8">
        <f t="shared" si="20"/>
        <v>1899.3267227361544</v>
      </c>
      <c r="J37" s="8">
        <f t="shared" si="20"/>
        <v>2247.0449778385901</v>
      </c>
      <c r="K37" s="8">
        <f t="shared" si="20"/>
        <v>2658.4215722273302</v>
      </c>
      <c r="L37" s="8">
        <f t="shared" si="20"/>
        <v>2791.342650838697</v>
      </c>
      <c r="M37" s="8">
        <f t="shared" si="20"/>
        <v>2930.9097833806318</v>
      </c>
      <c r="N37" s="8">
        <f t="shared" si="20"/>
        <v>3077.4552725496633</v>
      </c>
      <c r="O37" s="8">
        <f t="shared" si="20"/>
        <v>3231.3280361771467</v>
      </c>
      <c r="P37" s="8">
        <f t="shared" si="20"/>
        <v>3392.894437986004</v>
      </c>
    </row>
    <row r="38" spans="1:16" s="1" customFormat="1" x14ac:dyDescent="0.2">
      <c r="A38" s="1" t="s">
        <v>17</v>
      </c>
      <c r="G38" s="8">
        <f t="shared" ref="G38:P38" si="21">(G37+F37)/2</f>
        <v>1251.9932151820458</v>
      </c>
      <c r="H38" s="8">
        <f t="shared" si="21"/>
        <v>1481.2012239842602</v>
      </c>
      <c r="I38" s="8">
        <f t="shared" si="21"/>
        <v>1752.3713701702914</v>
      </c>
      <c r="J38" s="8">
        <f t="shared" si="21"/>
        <v>2073.185850287372</v>
      </c>
      <c r="K38" s="8">
        <f t="shared" si="21"/>
        <v>2452.7332750329601</v>
      </c>
      <c r="L38" s="8">
        <f t="shared" si="21"/>
        <v>2724.8821115330138</v>
      </c>
      <c r="M38" s="8">
        <f t="shared" si="21"/>
        <v>2861.1262171096641</v>
      </c>
      <c r="N38" s="8">
        <f t="shared" si="21"/>
        <v>3004.1825279651475</v>
      </c>
      <c r="O38" s="8">
        <f t="shared" si="21"/>
        <v>3154.391654363405</v>
      </c>
      <c r="P38" s="8">
        <f t="shared" si="21"/>
        <v>3312.1112370815754</v>
      </c>
    </row>
    <row r="39" spans="1:16" s="1" customFormat="1" x14ac:dyDescent="0.2"/>
    <row r="40" spans="1:16" s="1" customFormat="1" x14ac:dyDescent="0.2"/>
    <row r="41" spans="1:16" s="40" customFormat="1" x14ac:dyDescent="0.2">
      <c r="A41" s="26" t="s">
        <v>2</v>
      </c>
    </row>
    <row r="42" spans="1:16" x14ac:dyDescent="0.2">
      <c r="A42" s="48" t="s">
        <v>64</v>
      </c>
      <c r="C42" s="50">
        <f>ProFormas!B$11</f>
        <v>77</v>
      </c>
      <c r="D42" s="50">
        <f>ProFormas!C$11</f>
        <v>95</v>
      </c>
      <c r="E42" s="50">
        <f>ProFormas!D$11</f>
        <v>114</v>
      </c>
      <c r="F42" s="50">
        <f>ProFormas!E$11</f>
        <v>144</v>
      </c>
      <c r="G42" s="50">
        <f>ProFormas!F$11</f>
        <v>190</v>
      </c>
      <c r="H42" s="50">
        <f>ProFormas!G$11</f>
        <v>250.35150732280962</v>
      </c>
      <c r="I42" s="50">
        <f>ProFormas!H$11</f>
        <v>296.18447973692167</v>
      </c>
      <c r="J42" s="50">
        <f>ProFormas!I$11</f>
        <v>350.4082998146913</v>
      </c>
      <c r="K42" s="50">
        <f>ProFormas!J$11</f>
        <v>414.55911764209969</v>
      </c>
      <c r="L42" s="50">
        <f>ProFormas!K$11</f>
        <v>490.45431318573702</v>
      </c>
      <c r="M42" s="50">
        <f>ProFormas!L$11</f>
        <v>514.97702884502394</v>
      </c>
      <c r="N42" s="50">
        <f>ProFormas!M$11</f>
        <v>540.72588028727512</v>
      </c>
      <c r="O42" s="50">
        <f>ProFormas!N$11</f>
        <v>567.76217430163888</v>
      </c>
      <c r="P42" s="50">
        <f>ProFormas!O$11</f>
        <v>596.15028301672089</v>
      </c>
    </row>
    <row r="43" spans="1:16" s="40" customFormat="1" x14ac:dyDescent="0.2">
      <c r="A43" s="51" t="s">
        <v>66</v>
      </c>
      <c r="C43" s="43">
        <f>ProFormas!C$33</f>
        <v>31</v>
      </c>
      <c r="D43" s="43">
        <f>ProFormas!D$33</f>
        <v>38</v>
      </c>
      <c r="E43" s="43">
        <f>ProFormas!E$33</f>
        <v>52</v>
      </c>
      <c r="F43" s="43">
        <f>ProFormas!F$33</f>
        <v>70</v>
      </c>
      <c r="G43" s="43">
        <f>ProFormas!G$33</f>
        <v>85.357660466267788</v>
      </c>
      <c r="H43" s="43">
        <f>ProFormas!H$33</f>
        <v>98.719157844932397</v>
      </c>
      <c r="I43" s="43">
        <f>ProFormas!I$33</f>
        <v>116.79211648870456</v>
      </c>
      <c r="J43" s="43">
        <f>ProFormas!J$33</f>
        <v>138.17377266667339</v>
      </c>
      <c r="K43" s="43">
        <f>ProFormas!K$33</f>
        <v>163.46986446459337</v>
      </c>
      <c r="L43" s="43">
        <f>ProFormas!L$33</f>
        <v>181.60805089917935</v>
      </c>
      <c r="M43" s="43">
        <f>ProFormas!M$33</f>
        <v>190.6884534441383</v>
      </c>
      <c r="N43" s="43">
        <f>ProFormas!N$33</f>
        <v>200.22287611634522</v>
      </c>
      <c r="O43" s="43">
        <f>ProFormas!O$33</f>
        <v>210.23401992216247</v>
      </c>
      <c r="P43" s="43">
        <f>ProFormas!P$33</f>
        <v>220.74572091827062</v>
      </c>
    </row>
    <row r="44" spans="1:16" x14ac:dyDescent="0.2">
      <c r="A44" s="52" t="s">
        <v>67</v>
      </c>
      <c r="C44" s="53">
        <f>-ProFormas!C$11</f>
        <v>-95</v>
      </c>
      <c r="D44" s="53">
        <f>-ProFormas!D$11</f>
        <v>-114</v>
      </c>
      <c r="E44" s="53">
        <f>-ProFormas!E$11</f>
        <v>-144</v>
      </c>
      <c r="F44" s="53">
        <f>-ProFormas!F$11</f>
        <v>-190</v>
      </c>
      <c r="G44" s="53">
        <f>-ProFormas!G$11</f>
        <v>-250.35150732280962</v>
      </c>
      <c r="H44" s="53">
        <f>-ProFormas!H$11</f>
        <v>-296.18447973692167</v>
      </c>
      <c r="I44" s="53">
        <f>-ProFormas!I$11</f>
        <v>-350.4082998146913</v>
      </c>
      <c r="J44" s="53">
        <f>-ProFormas!J$11</f>
        <v>-414.55911764209969</v>
      </c>
      <c r="K44" s="53">
        <f>-ProFormas!K$11</f>
        <v>-490.45431318573702</v>
      </c>
      <c r="L44" s="53">
        <f>-ProFormas!L$11</f>
        <v>-514.97702884502394</v>
      </c>
      <c r="M44" s="53">
        <f>-ProFormas!M$11</f>
        <v>-540.72588028727512</v>
      </c>
      <c r="N44" s="53">
        <f>-ProFormas!N$11</f>
        <v>-567.76217430163888</v>
      </c>
      <c r="O44" s="53">
        <f>-ProFormas!O$11</f>
        <v>-596.15028301672089</v>
      </c>
      <c r="P44" s="53">
        <f>-ProFormas!P$11</f>
        <v>-625.95779716755692</v>
      </c>
    </row>
    <row r="45" spans="1:16" s="40" customFormat="1" x14ac:dyDescent="0.2">
      <c r="A45" s="40" t="s">
        <v>65</v>
      </c>
      <c r="C45" s="43">
        <f>C42+C43+C44</f>
        <v>13</v>
      </c>
      <c r="D45" s="43">
        <f t="shared" ref="D45:P45" si="22">D42+D43+D44</f>
        <v>19</v>
      </c>
      <c r="E45" s="43">
        <f t="shared" si="22"/>
        <v>22</v>
      </c>
      <c r="F45" s="43">
        <f t="shared" si="22"/>
        <v>24</v>
      </c>
      <c r="G45" s="43">
        <f t="shared" si="22"/>
        <v>25.006153143458192</v>
      </c>
      <c r="H45" s="43">
        <f t="shared" si="22"/>
        <v>52.886185430820376</v>
      </c>
      <c r="I45" s="43">
        <f t="shared" si="22"/>
        <v>62.56829641093492</v>
      </c>
      <c r="J45" s="43">
        <f t="shared" si="22"/>
        <v>74.022954839264969</v>
      </c>
      <c r="K45" s="43">
        <f t="shared" si="22"/>
        <v>87.574668920956071</v>
      </c>
      <c r="L45" s="43">
        <f t="shared" si="22"/>
        <v>157.0853352398924</v>
      </c>
      <c r="M45" s="43">
        <f t="shared" si="22"/>
        <v>164.93960200188712</v>
      </c>
      <c r="N45" s="43">
        <f t="shared" si="22"/>
        <v>173.18658210198146</v>
      </c>
      <c r="O45" s="43">
        <f t="shared" si="22"/>
        <v>181.84591120708046</v>
      </c>
      <c r="P45" s="43">
        <f t="shared" si="22"/>
        <v>190.93820676743462</v>
      </c>
    </row>
    <row r="47" spans="1:16" s="40" customFormat="1" x14ac:dyDescent="0.2">
      <c r="A47" s="49" t="s">
        <v>56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pans="1:16" x14ac:dyDescent="0.2">
      <c r="A48" s="48" t="s">
        <v>69</v>
      </c>
      <c r="C48" s="50">
        <f>ProFormas!C$10</f>
        <v>286</v>
      </c>
      <c r="D48" s="50">
        <f>ProFormas!D$10</f>
        <v>352</v>
      </c>
      <c r="E48" s="50">
        <f>ProFormas!E$10</f>
        <v>528</v>
      </c>
      <c r="F48" s="50">
        <f>ProFormas!F$10</f>
        <v>738</v>
      </c>
      <c r="G48" s="50">
        <f>ProFormas!G$10</f>
        <v>831.45705275131206</v>
      </c>
      <c r="H48" s="50">
        <f>ProFormas!H$10</f>
        <v>983.67562163387208</v>
      </c>
      <c r="I48" s="50">
        <f>ProFormas!I$10</f>
        <v>1163.7615261003721</v>
      </c>
      <c r="J48" s="50">
        <f>ProFormas!J$10</f>
        <v>1376.8165641656594</v>
      </c>
      <c r="K48" s="50">
        <f>ProFormas!K$10</f>
        <v>1628.8765428712395</v>
      </c>
      <c r="L48" s="50">
        <f>ProFormas!L$10</f>
        <v>1710.3203700148015</v>
      </c>
      <c r="M48" s="50">
        <f>ProFormas!M$10</f>
        <v>1795.8363885155416</v>
      </c>
      <c r="N48" s="50">
        <f>ProFormas!N$10</f>
        <v>1885.6282079413186</v>
      </c>
      <c r="O48" s="50">
        <f>ProFormas!O$10</f>
        <v>1979.9096183383847</v>
      </c>
      <c r="P48" s="50">
        <f>ProFormas!P$10</f>
        <v>2078.9050992553039</v>
      </c>
    </row>
    <row r="49" spans="1:16" x14ac:dyDescent="0.2">
      <c r="A49" s="51" t="s">
        <v>71</v>
      </c>
      <c r="C49" s="50">
        <f>C45</f>
        <v>13</v>
      </c>
      <c r="D49" s="50">
        <f t="shared" ref="D49:I49" si="23">D45</f>
        <v>19</v>
      </c>
      <c r="E49" s="50">
        <f t="shared" si="23"/>
        <v>22</v>
      </c>
      <c r="F49" s="50">
        <f t="shared" si="23"/>
        <v>24</v>
      </c>
      <c r="G49" s="50">
        <f t="shared" si="23"/>
        <v>25.006153143458192</v>
      </c>
      <c r="H49" s="50">
        <f t="shared" si="23"/>
        <v>52.886185430820376</v>
      </c>
      <c r="I49" s="50">
        <f t="shared" si="23"/>
        <v>62.56829641093492</v>
      </c>
      <c r="J49" s="50">
        <f t="shared" ref="J49:P49" si="24">J45</f>
        <v>74.022954839264969</v>
      </c>
      <c r="K49" s="50">
        <f t="shared" si="24"/>
        <v>87.574668920956071</v>
      </c>
      <c r="L49" s="50">
        <f t="shared" si="24"/>
        <v>157.0853352398924</v>
      </c>
      <c r="M49" s="50">
        <f t="shared" si="24"/>
        <v>164.93960200188712</v>
      </c>
      <c r="N49" s="50">
        <f t="shared" si="24"/>
        <v>173.18658210198146</v>
      </c>
      <c r="O49" s="50">
        <f t="shared" si="24"/>
        <v>181.84591120708046</v>
      </c>
      <c r="P49" s="50">
        <f t="shared" si="24"/>
        <v>190.93820676743462</v>
      </c>
    </row>
    <row r="50" spans="1:16" x14ac:dyDescent="0.2">
      <c r="A50" s="52" t="s">
        <v>70</v>
      </c>
      <c r="C50" s="53">
        <f>-ProFormas!B$10</f>
        <v>-234</v>
      </c>
      <c r="D50" s="53">
        <f>-ProFormas!C$10</f>
        <v>-286</v>
      </c>
      <c r="E50" s="53">
        <f>-ProFormas!D$10</f>
        <v>-352</v>
      </c>
      <c r="F50" s="53">
        <f>-ProFormas!E$10</f>
        <v>-528</v>
      </c>
      <c r="G50" s="53">
        <f>-ProFormas!F$10</f>
        <v>-738</v>
      </c>
      <c r="H50" s="53">
        <f>-ProFormas!G$10</f>
        <v>-831.45705275131206</v>
      </c>
      <c r="I50" s="53">
        <f>-ProFormas!H$10</f>
        <v>-983.67562163387208</v>
      </c>
      <c r="J50" s="53">
        <f>-ProFormas!I$10</f>
        <v>-1163.7615261003721</v>
      </c>
      <c r="K50" s="53">
        <f>-ProFormas!J$10</f>
        <v>-1376.8165641656594</v>
      </c>
      <c r="L50" s="53">
        <f>-ProFormas!K$10</f>
        <v>-1628.8765428712395</v>
      </c>
      <c r="M50" s="53">
        <f>-ProFormas!L$10</f>
        <v>-1710.3203700148015</v>
      </c>
      <c r="N50" s="53">
        <f>-ProFormas!M$10</f>
        <v>-1795.8363885155416</v>
      </c>
      <c r="O50" s="53">
        <f>-ProFormas!N$10</f>
        <v>-1885.6282079413186</v>
      </c>
      <c r="P50" s="53">
        <f>-ProFormas!O$10</f>
        <v>-1979.9096183383847</v>
      </c>
    </row>
    <row r="51" spans="1:16" x14ac:dyDescent="0.2">
      <c r="A51" s="48" t="s">
        <v>68</v>
      </c>
      <c r="C51" s="50">
        <f>+C48+C49+C50</f>
        <v>65</v>
      </c>
      <c r="D51" s="50">
        <f t="shared" ref="D51:P51" si="25">+D48+D49+D50</f>
        <v>85</v>
      </c>
      <c r="E51" s="50">
        <f t="shared" si="25"/>
        <v>198</v>
      </c>
      <c r="F51" s="50">
        <f t="shared" si="25"/>
        <v>234</v>
      </c>
      <c r="G51" s="50">
        <f t="shared" si="25"/>
        <v>118.46320589477023</v>
      </c>
      <c r="H51" s="50">
        <f t="shared" si="25"/>
        <v>205.10475431338034</v>
      </c>
      <c r="I51" s="50">
        <f t="shared" si="25"/>
        <v>242.65420087743485</v>
      </c>
      <c r="J51" s="50">
        <f t="shared" si="25"/>
        <v>287.07799290455227</v>
      </c>
      <c r="K51" s="50">
        <f t="shared" si="25"/>
        <v>339.63464762653621</v>
      </c>
      <c r="L51" s="50">
        <f t="shared" si="25"/>
        <v>238.52916238345438</v>
      </c>
      <c r="M51" s="50">
        <f t="shared" si="25"/>
        <v>250.4556205026272</v>
      </c>
      <c r="N51" s="50">
        <f t="shared" si="25"/>
        <v>262.97840152775848</v>
      </c>
      <c r="O51" s="50">
        <f t="shared" si="25"/>
        <v>276.12732160414635</v>
      </c>
      <c r="P51" s="50">
        <f t="shared" si="25"/>
        <v>289.9336876843538</v>
      </c>
    </row>
    <row r="53" spans="1:16" x14ac:dyDescent="0.2">
      <c r="A53" s="49" t="s">
        <v>72</v>
      </c>
    </row>
    <row r="54" spans="1:16" x14ac:dyDescent="0.2">
      <c r="A54" s="68" t="s">
        <v>205</v>
      </c>
      <c r="C54" s="50">
        <f>+ProFormas!B$24</f>
        <v>273</v>
      </c>
      <c r="D54" s="50">
        <f>+ProFormas!C$24</f>
        <v>276</v>
      </c>
      <c r="E54" s="50">
        <f>+ProFormas!D$24</f>
        <v>338</v>
      </c>
      <c r="F54" s="50">
        <f>+ProFormas!E$24</f>
        <v>466</v>
      </c>
      <c r="G54" s="50">
        <f>+ProFormas!F$24</f>
        <v>677</v>
      </c>
      <c r="H54" s="50">
        <f>+ProFormas!G$24</f>
        <v>771.30761092884472</v>
      </c>
      <c r="I54" s="50">
        <f>+ProFormas!H$24</f>
        <v>912.5143519328584</v>
      </c>
      <c r="J54" s="50">
        <f>+ProFormas!I$24</f>
        <v>1079.5724438407776</v>
      </c>
      <c r="K54" s="50">
        <f>+ProFormas!J$24</f>
        <v>1277.2146093172933</v>
      </c>
      <c r="L54" s="50">
        <f>+ProFormas!K$24</f>
        <v>1511.0400117753636</v>
      </c>
      <c r="M54" s="50">
        <f>+ProFormas!L$24</f>
        <v>1586.5920123641317</v>
      </c>
      <c r="N54" s="50">
        <f>+ProFormas!M$24</f>
        <v>1665.9216129823383</v>
      </c>
      <c r="O54" s="50">
        <f>+ProFormas!N$24</f>
        <v>1749.2176936314552</v>
      </c>
      <c r="P54" s="50">
        <f>+ProFormas!O$24</f>
        <v>1836.6785783130281</v>
      </c>
    </row>
    <row r="55" spans="1:16" x14ac:dyDescent="0.2">
      <c r="A55" s="51" t="s">
        <v>73</v>
      </c>
      <c r="C55" s="54">
        <f>+ProFormas!C$39</f>
        <v>74</v>
      </c>
      <c r="D55" s="54">
        <f>+ProFormas!D$39</f>
        <v>98</v>
      </c>
      <c r="E55" s="54">
        <f>+ProFormas!E$39</f>
        <v>145</v>
      </c>
      <c r="F55" s="54">
        <f>+ProFormas!F$39</f>
        <v>230</v>
      </c>
      <c r="G55" s="54">
        <f>+ProFormas!G$39</f>
        <v>225.03396379787787</v>
      </c>
      <c r="H55" s="54">
        <f>+ProFormas!H$39</f>
        <v>284.24882079573047</v>
      </c>
      <c r="I55" s="54">
        <f>+ProFormas!I$39</f>
        <v>356.9185042515287</v>
      </c>
      <c r="J55" s="54">
        <f>+ProFormas!J$39</f>
        <v>447.88285322165427</v>
      </c>
      <c r="K55" s="54">
        <f>+ProFormas!K$39</f>
        <v>561.69842094160299</v>
      </c>
      <c r="L55" s="54">
        <f>+ProFormas!L$39</f>
        <v>583.0762456404982</v>
      </c>
      <c r="M55" s="54">
        <f>+ProFormas!M$39</f>
        <v>612.23005792252297</v>
      </c>
      <c r="N55" s="54">
        <f>+ProFormas!N$39</f>
        <v>642.84156081864899</v>
      </c>
      <c r="O55" s="54">
        <f>+ProFormas!O$39</f>
        <v>674.98363885958156</v>
      </c>
      <c r="P55" s="54">
        <f>+ProFormas!P$39</f>
        <v>708.73282080256058</v>
      </c>
    </row>
    <row r="56" spans="1:16" x14ac:dyDescent="0.2">
      <c r="A56" s="52" t="s">
        <v>206</v>
      </c>
      <c r="C56" s="53">
        <f>-ProFormas!C$24</f>
        <v>-276</v>
      </c>
      <c r="D56" s="53">
        <f>-ProFormas!D$24</f>
        <v>-338</v>
      </c>
      <c r="E56" s="53">
        <f>-ProFormas!E$24</f>
        <v>-466</v>
      </c>
      <c r="F56" s="53">
        <f>-ProFormas!F$24</f>
        <v>-677</v>
      </c>
      <c r="G56" s="53">
        <f>-ProFormas!G$24</f>
        <v>-771.30761092884472</v>
      </c>
      <c r="H56" s="53">
        <f>-ProFormas!H$24</f>
        <v>-912.5143519328584</v>
      </c>
      <c r="I56" s="53">
        <f>-ProFormas!I$24</f>
        <v>-1079.5724438407776</v>
      </c>
      <c r="J56" s="53">
        <f>-ProFormas!J$24</f>
        <v>-1277.2146093172933</v>
      </c>
      <c r="K56" s="53">
        <f>-ProFormas!K$24</f>
        <v>-1511.0400117753636</v>
      </c>
      <c r="L56" s="53">
        <f>-ProFormas!L$24</f>
        <v>-1586.5920123641317</v>
      </c>
      <c r="M56" s="53">
        <f>-ProFormas!M$24</f>
        <v>-1665.9216129823383</v>
      </c>
      <c r="N56" s="53">
        <f>-ProFormas!N$24</f>
        <v>-1749.2176936314552</v>
      </c>
      <c r="O56" s="53">
        <f>-ProFormas!O$24</f>
        <v>-1836.6785783130281</v>
      </c>
      <c r="P56" s="53">
        <f>-ProFormas!P$24</f>
        <v>-1928.5125072286794</v>
      </c>
    </row>
    <row r="57" spans="1:16" x14ac:dyDescent="0.2">
      <c r="A57" s="68" t="s">
        <v>207</v>
      </c>
      <c r="C57" s="3">
        <f>+C54+C55+C56</f>
        <v>71</v>
      </c>
      <c r="D57" s="3">
        <f>+D54+D55+D56</f>
        <v>36</v>
      </c>
      <c r="E57" s="3">
        <f>+E54+E55+E56</f>
        <v>17</v>
      </c>
      <c r="F57" s="3">
        <f>+F54+F55+F56</f>
        <v>19</v>
      </c>
      <c r="G57" s="3">
        <f t="shared" ref="G57:P57" si="26">+G54+G55+G56</f>
        <v>130.72635286903312</v>
      </c>
      <c r="H57" s="3">
        <f t="shared" si="26"/>
        <v>143.0420797917169</v>
      </c>
      <c r="I57" s="3">
        <f t="shared" si="26"/>
        <v>189.8604123436096</v>
      </c>
      <c r="J57" s="3">
        <f t="shared" si="26"/>
        <v>250.24068774513853</v>
      </c>
      <c r="K57" s="3">
        <f t="shared" si="26"/>
        <v>327.87301848353263</v>
      </c>
      <c r="L57" s="3">
        <f t="shared" si="26"/>
        <v>507.52424505172985</v>
      </c>
      <c r="M57" s="3">
        <f t="shared" si="26"/>
        <v>532.90045730431643</v>
      </c>
      <c r="N57" s="3">
        <f t="shared" si="26"/>
        <v>559.54548016953208</v>
      </c>
      <c r="O57" s="3">
        <f t="shared" si="26"/>
        <v>587.52275417800865</v>
      </c>
      <c r="P57" s="3">
        <f t="shared" si="26"/>
        <v>616.89889188690927</v>
      </c>
    </row>
  </sheetData>
  <phoneticPr fontId="8" type="noConversion"/>
  <printOptions horizontalCentered="1"/>
  <pageMargins left="0.75" right="0.75" top="1" bottom="1" header="0.5" footer="0.5"/>
  <pageSetup scale="66" orientation="landscape" r:id="rId1"/>
  <headerFooter alignWithMargins="0">
    <oddHeader>&amp;C&amp;"Times New Roman,Bold"&amp;16Assumptions Underlying The Forecasting Analysis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17"/>
  <sheetViews>
    <sheetView zoomScaleNormal="100" workbookViewId="0">
      <pane xSplit="1" ySplit="2" topLeftCell="B3" activePane="bottomRight" state="frozen"/>
      <selection activeCell="B46" sqref="B46"/>
      <selection pane="topRight" activeCell="B46" sqref="B46"/>
      <selection pane="bottomLeft" activeCell="B46" sqref="B46"/>
      <selection pane="bottomRight"/>
    </sheetView>
  </sheetViews>
  <sheetFormatPr baseColWidth="10" defaultColWidth="9.7109375" defaultRowHeight="14" x14ac:dyDescent="0.2"/>
  <cols>
    <col min="1" max="1" width="30" bestFit="1" customWidth="1"/>
    <col min="2" max="5" width="7.7109375" bestFit="1" customWidth="1"/>
    <col min="6" max="16" width="8.85546875" customWidth="1"/>
  </cols>
  <sheetData>
    <row r="1" spans="1:17" ht="16" x14ac:dyDescent="0.2">
      <c r="A1" s="10" t="s">
        <v>201</v>
      </c>
      <c r="B1" s="1"/>
      <c r="C1" s="1"/>
      <c r="D1" s="1"/>
      <c r="E1" s="1"/>
      <c r="F1" s="1"/>
      <c r="G1" s="1">
        <f t="shared" ref="G1:P1" si="0">G2-$F2</f>
        <v>1</v>
      </c>
      <c r="H1" s="1">
        <f t="shared" si="0"/>
        <v>2</v>
      </c>
      <c r="I1" s="1">
        <f t="shared" si="0"/>
        <v>3</v>
      </c>
      <c r="J1" s="1">
        <f t="shared" si="0"/>
        <v>4</v>
      </c>
      <c r="K1" s="1">
        <f t="shared" si="0"/>
        <v>5</v>
      </c>
      <c r="L1" s="1">
        <f t="shared" si="0"/>
        <v>6</v>
      </c>
      <c r="M1" s="1">
        <f t="shared" si="0"/>
        <v>7</v>
      </c>
      <c r="N1" s="1">
        <f t="shared" si="0"/>
        <v>8</v>
      </c>
      <c r="O1" s="1">
        <f t="shared" si="0"/>
        <v>9</v>
      </c>
      <c r="P1" s="1">
        <f t="shared" si="0"/>
        <v>10</v>
      </c>
    </row>
    <row r="2" spans="1:17" x14ac:dyDescent="0.2">
      <c r="A2" s="2" t="s">
        <v>8</v>
      </c>
      <c r="B2" s="39">
        <v>2011</v>
      </c>
      <c r="C2" s="39">
        <v>2012</v>
      </c>
      <c r="D2" s="39">
        <v>2013</v>
      </c>
      <c r="E2" s="39">
        <v>2014</v>
      </c>
      <c r="F2" s="39">
        <v>2015</v>
      </c>
      <c r="G2" s="24">
        <f t="shared" ref="G2:P2" si="1">F2+1</f>
        <v>2016</v>
      </c>
      <c r="H2" s="24">
        <f t="shared" si="1"/>
        <v>2017</v>
      </c>
      <c r="I2" s="24">
        <f t="shared" si="1"/>
        <v>2018</v>
      </c>
      <c r="J2" s="24">
        <f t="shared" si="1"/>
        <v>2019</v>
      </c>
      <c r="K2" s="24">
        <f t="shared" si="1"/>
        <v>2020</v>
      </c>
      <c r="L2" s="24">
        <f t="shared" si="1"/>
        <v>2021</v>
      </c>
      <c r="M2" s="24">
        <f t="shared" si="1"/>
        <v>2022</v>
      </c>
      <c r="N2" s="24">
        <f t="shared" si="1"/>
        <v>2023</v>
      </c>
      <c r="O2" s="24">
        <f t="shared" si="1"/>
        <v>2024</v>
      </c>
      <c r="P2" s="24">
        <f t="shared" si="1"/>
        <v>2025</v>
      </c>
    </row>
    <row r="4" spans="1:17" x14ac:dyDescent="0.2">
      <c r="A4" t="s">
        <v>0</v>
      </c>
    </row>
    <row r="5" spans="1:17" x14ac:dyDescent="0.2">
      <c r="A5" t="s">
        <v>84</v>
      </c>
      <c r="B5" s="5">
        <f>Original!B4</f>
        <v>32</v>
      </c>
      <c r="C5" s="5">
        <f>Original!C4</f>
        <v>46</v>
      </c>
      <c r="D5" s="5">
        <f>Original!D4</f>
        <v>38</v>
      </c>
      <c r="E5" s="5">
        <f>Original!E4</f>
        <v>67</v>
      </c>
      <c r="F5" s="5">
        <f>Original!F4</f>
        <v>193</v>
      </c>
      <c r="G5" s="5">
        <f>Asssumptions!G14*G$14</f>
        <v>132.81591028687475</v>
      </c>
      <c r="H5" s="5">
        <f>Asssumptions!H14*H$14</f>
        <v>157.13111420727427</v>
      </c>
      <c r="I5" s="5">
        <f>Asssumptions!I14*I$14</f>
        <v>185.89781147973974</v>
      </c>
      <c r="J5" s="5">
        <f>Asssumptions!J14*J$14</f>
        <v>219.93095694192581</v>
      </c>
      <c r="K5" s="5">
        <f>Asssumptions!K14*K$14</f>
        <v>260.19470286589592</v>
      </c>
      <c r="L5" s="5">
        <f>Asssumptions!L14*L$14</f>
        <v>273.20443800919077</v>
      </c>
      <c r="M5" s="5">
        <f>Asssumptions!M14*M$14</f>
        <v>286.8646599096503</v>
      </c>
      <c r="N5" s="5">
        <f>Asssumptions!N14*N$14</f>
        <v>301.20789290513278</v>
      </c>
      <c r="O5" s="5">
        <f>Asssumptions!O14*O$14</f>
        <v>316.26828755038946</v>
      </c>
      <c r="P5" s="5">
        <f>Asssumptions!P14*P$14</f>
        <v>332.08170192790891</v>
      </c>
      <c r="Q5" s="21"/>
    </row>
    <row r="6" spans="1:17" x14ac:dyDescent="0.2">
      <c r="A6" t="s">
        <v>85</v>
      </c>
      <c r="B6" s="3">
        <f>Original!B5</f>
        <v>9</v>
      </c>
      <c r="C6" s="3">
        <f>Original!C5</f>
        <v>6</v>
      </c>
      <c r="D6" s="3">
        <f>Original!D5</f>
        <v>6</v>
      </c>
      <c r="E6" s="3">
        <f>Original!E5</f>
        <v>10</v>
      </c>
      <c r="F6" s="3">
        <f>Original!F5</f>
        <v>8</v>
      </c>
      <c r="G6" s="37">
        <f>Asssumptions!G15*G$14</f>
        <v>17.206831318315992</v>
      </c>
      <c r="H6" s="37">
        <f>Asssumptions!H15*H$14</f>
        <v>20.35696304142866</v>
      </c>
      <c r="I6" s="37">
        <f>Asssumptions!I15*I$14</f>
        <v>24.083803496636456</v>
      </c>
      <c r="J6" s="37">
        <f>Asssumptions!J15*J$14</f>
        <v>28.492933336086253</v>
      </c>
      <c r="K6" s="37">
        <f>Asssumptions!K15*K$14</f>
        <v>33.70926233508083</v>
      </c>
      <c r="L6" s="37">
        <f>Asssumptions!L15*L$14</f>
        <v>35.39472545183488</v>
      </c>
      <c r="M6" s="37">
        <f>Asssumptions!M15*M$14</f>
        <v>37.164461724426623</v>
      </c>
      <c r="N6" s="37">
        <f>Asssumptions!N15*N$14</f>
        <v>39.022684810647952</v>
      </c>
      <c r="O6" s="37">
        <f>Asssumptions!O15*O$14</f>
        <v>40.97381905118035</v>
      </c>
      <c r="P6" s="37">
        <f>Asssumptions!P15*P$14</f>
        <v>43.02251000373937</v>
      </c>
      <c r="Q6" s="21"/>
    </row>
    <row r="7" spans="1:17" x14ac:dyDescent="0.2">
      <c r="A7" t="s">
        <v>1</v>
      </c>
      <c r="B7" s="3">
        <f>Original!B6</f>
        <v>195</v>
      </c>
      <c r="C7" s="3">
        <f>Original!C6</f>
        <v>193</v>
      </c>
      <c r="D7" s="3">
        <f>Original!D6</f>
        <v>244</v>
      </c>
      <c r="E7" s="3">
        <f>Original!E6</f>
        <v>248</v>
      </c>
      <c r="F7" s="3">
        <f>Original!F6</f>
        <v>314</v>
      </c>
      <c r="G7" s="37">
        <f>Asssumptions!G16*G$14</f>
        <v>505.93332760307902</v>
      </c>
      <c r="H7" s="37">
        <f>Asssumptions!H16*H$14</f>
        <v>598.55680926445405</v>
      </c>
      <c r="I7" s="37">
        <f>Asssumptions!I16*I$14</f>
        <v>708.13728681246016</v>
      </c>
      <c r="J7" s="37">
        <f>Asssumptions!J16*J$14</f>
        <v>837.77915347807607</v>
      </c>
      <c r="K7" s="37">
        <f>Asssumptions!K16*K$14</f>
        <v>991.15513767363984</v>
      </c>
      <c r="L7" s="37">
        <f>Asssumptions!L16*L$14</f>
        <v>1040.712894557322</v>
      </c>
      <c r="M7" s="37">
        <f>Asssumptions!M16*M$14</f>
        <v>1092.7485392851879</v>
      </c>
      <c r="N7" s="37">
        <f>Asssumptions!N16*N$14</f>
        <v>1147.3859662494474</v>
      </c>
      <c r="O7" s="37">
        <f>Asssumptions!O16*O$14</f>
        <v>1204.7552645619198</v>
      </c>
      <c r="P7" s="37">
        <f>Asssumptions!P16*P$14</f>
        <v>1264.9930277900157</v>
      </c>
      <c r="Q7" s="21"/>
    </row>
    <row r="8" spans="1:17" x14ac:dyDescent="0.2">
      <c r="A8" t="s">
        <v>87</v>
      </c>
      <c r="B8" s="4">
        <f>Original!B7</f>
        <v>23</v>
      </c>
      <c r="C8" s="4">
        <f>Original!C7</f>
        <v>13</v>
      </c>
      <c r="D8" s="4">
        <f>Original!D7</f>
        <v>29</v>
      </c>
      <c r="E8" s="4">
        <f>Original!E7</f>
        <v>40</v>
      </c>
      <c r="F8" s="4">
        <f>Original!F7</f>
        <v>51</v>
      </c>
      <c r="G8" s="38">
        <f>Asssumptions!G17*G$14</f>
        <v>61.326637543132769</v>
      </c>
      <c r="H8" s="38">
        <f>Asssumptions!H17*H$14</f>
        <v>72.553979917949619</v>
      </c>
      <c r="I8" s="38">
        <f>Asssumptions!I17*I$14</f>
        <v>85.836762177477283</v>
      </c>
      <c r="J8" s="38">
        <f>Asssumptions!J17*J$14</f>
        <v>101.5512829130134</v>
      </c>
      <c r="K8" s="38">
        <f>Asssumptions!K17*K$14</f>
        <v>120.14273138537403</v>
      </c>
      <c r="L8" s="38">
        <f>Asssumptions!L17*L$14</f>
        <v>126.14986795464274</v>
      </c>
      <c r="M8" s="38">
        <f>Asssumptions!M17*M$14</f>
        <v>132.45736135237487</v>
      </c>
      <c r="N8" s="38">
        <f>Asssumptions!N17*N$14</f>
        <v>139.08022941999363</v>
      </c>
      <c r="O8" s="38">
        <f>Asssumptions!O17*O$14</f>
        <v>146.03424089099332</v>
      </c>
      <c r="P8" s="38">
        <f>Asssumptions!P17*P$14</f>
        <v>153.33595293554299</v>
      </c>
      <c r="Q8" s="21"/>
    </row>
    <row r="9" spans="1:17" x14ac:dyDescent="0.2">
      <c r="A9" t="s">
        <v>99</v>
      </c>
      <c r="B9" s="3">
        <f t="shared" ref="B9:E9" si="2">SUM(B5:B8)</f>
        <v>259</v>
      </c>
      <c r="C9" s="3">
        <f t="shared" si="2"/>
        <v>258</v>
      </c>
      <c r="D9" s="3">
        <f t="shared" si="2"/>
        <v>317</v>
      </c>
      <c r="E9" s="3">
        <f t="shared" si="2"/>
        <v>365</v>
      </c>
      <c r="F9" s="3">
        <f t="shared" ref="F9:P9" si="3">SUM(F5:F8)</f>
        <v>566</v>
      </c>
      <c r="G9" s="3">
        <f t="shared" si="3"/>
        <v>717.28270675140254</v>
      </c>
      <c r="H9" s="3">
        <f t="shared" si="3"/>
        <v>848.59886643110656</v>
      </c>
      <c r="I9" s="3">
        <f t="shared" si="3"/>
        <v>1003.9556639663138</v>
      </c>
      <c r="J9" s="3">
        <f t="shared" si="3"/>
        <v>1187.7543266691016</v>
      </c>
      <c r="K9" s="3">
        <f t="shared" si="3"/>
        <v>1405.2018342599906</v>
      </c>
      <c r="L9" s="3">
        <f t="shared" si="3"/>
        <v>1475.4619259729905</v>
      </c>
      <c r="M9" s="3">
        <f t="shared" si="3"/>
        <v>1549.2350222716398</v>
      </c>
      <c r="N9" s="3">
        <f t="shared" si="3"/>
        <v>1626.6967733852218</v>
      </c>
      <c r="O9" s="3">
        <f t="shared" si="3"/>
        <v>1708.0316120544828</v>
      </c>
      <c r="P9" s="3">
        <f t="shared" si="3"/>
        <v>1793.433192657207</v>
      </c>
      <c r="Q9" s="21"/>
    </row>
    <row r="10" spans="1:17" x14ac:dyDescent="0.2">
      <c r="A10" t="s">
        <v>56</v>
      </c>
      <c r="B10" s="3">
        <f>Original!B9</f>
        <v>234</v>
      </c>
      <c r="C10" s="3">
        <f>Original!C9</f>
        <v>286</v>
      </c>
      <c r="D10" s="3">
        <f>Original!D9</f>
        <v>352</v>
      </c>
      <c r="E10" s="3">
        <f>Original!E9</f>
        <v>528</v>
      </c>
      <c r="F10" s="3">
        <f>Original!F9</f>
        <v>738</v>
      </c>
      <c r="G10" s="37">
        <f>Asssumptions!G18*G$14</f>
        <v>831.45705275131206</v>
      </c>
      <c r="H10" s="37">
        <f>Asssumptions!H18*H$14</f>
        <v>983.67562163387208</v>
      </c>
      <c r="I10" s="37">
        <f>Asssumptions!I18*I$14</f>
        <v>1163.7615261003721</v>
      </c>
      <c r="J10" s="37">
        <f>Asssumptions!J18*J$14</f>
        <v>1376.8165641656594</v>
      </c>
      <c r="K10" s="37">
        <f>Asssumptions!K18*K$14</f>
        <v>1628.8765428712395</v>
      </c>
      <c r="L10" s="37">
        <f>Asssumptions!L18*L$14</f>
        <v>1710.3203700148015</v>
      </c>
      <c r="M10" s="37">
        <f>Asssumptions!M18*M$14</f>
        <v>1795.8363885155416</v>
      </c>
      <c r="N10" s="37">
        <f>Asssumptions!N18*N$14</f>
        <v>1885.6282079413186</v>
      </c>
      <c r="O10" s="37">
        <f>Asssumptions!O18*O$14</f>
        <v>1979.9096183383847</v>
      </c>
      <c r="P10" s="37">
        <f>Asssumptions!P18*P$14</f>
        <v>2078.9050992553039</v>
      </c>
      <c r="Q10" s="21"/>
    </row>
    <row r="11" spans="1:17" x14ac:dyDescent="0.2">
      <c r="A11" t="s">
        <v>60</v>
      </c>
      <c r="B11" s="4">
        <f>Original!B10</f>
        <v>77</v>
      </c>
      <c r="C11" s="4">
        <f>Original!C10</f>
        <v>95</v>
      </c>
      <c r="D11" s="4">
        <f>Original!D10</f>
        <v>114</v>
      </c>
      <c r="E11" s="4">
        <f>Original!E10</f>
        <v>144</v>
      </c>
      <c r="F11" s="4">
        <f>Original!F10</f>
        <v>190</v>
      </c>
      <c r="G11" s="38">
        <f>Asssumptions!G19*G$14</f>
        <v>250.35150732280962</v>
      </c>
      <c r="H11" s="38">
        <f>Asssumptions!H19*H$14</f>
        <v>296.18447973692167</v>
      </c>
      <c r="I11" s="38">
        <f>Asssumptions!I19*I$14</f>
        <v>350.4082998146913</v>
      </c>
      <c r="J11" s="38">
        <f>Asssumptions!J19*J$14</f>
        <v>414.55911764209969</v>
      </c>
      <c r="K11" s="38">
        <f>Asssumptions!K19*K$14</f>
        <v>490.45431318573702</v>
      </c>
      <c r="L11" s="38">
        <f>Asssumptions!L19*L$14</f>
        <v>514.97702884502394</v>
      </c>
      <c r="M11" s="38">
        <f>Asssumptions!M19*M$14</f>
        <v>540.72588028727512</v>
      </c>
      <c r="N11" s="38">
        <f>Asssumptions!N19*N$14</f>
        <v>567.76217430163888</v>
      </c>
      <c r="O11" s="38">
        <f>Asssumptions!O19*O$14</f>
        <v>596.15028301672089</v>
      </c>
      <c r="P11" s="38">
        <f>Asssumptions!P19*P$14</f>
        <v>625.95779716755692</v>
      </c>
      <c r="Q11" s="21"/>
    </row>
    <row r="12" spans="1:17" x14ac:dyDescent="0.2">
      <c r="A12" t="s">
        <v>100</v>
      </c>
      <c r="B12" s="3">
        <f t="shared" ref="B12:E12" si="4">B10-B11</f>
        <v>157</v>
      </c>
      <c r="C12" s="3">
        <f t="shared" si="4"/>
        <v>191</v>
      </c>
      <c r="D12" s="3">
        <f t="shared" si="4"/>
        <v>238</v>
      </c>
      <c r="E12" s="3">
        <f t="shared" si="4"/>
        <v>384</v>
      </c>
      <c r="F12" s="3">
        <f t="shared" ref="F12:P12" si="5">F10-F11</f>
        <v>548</v>
      </c>
      <c r="G12" s="3">
        <f t="shared" si="5"/>
        <v>581.10554542850241</v>
      </c>
      <c r="H12" s="3">
        <f t="shared" si="5"/>
        <v>687.49114189695047</v>
      </c>
      <c r="I12" s="3">
        <f t="shared" si="5"/>
        <v>813.35322628568076</v>
      </c>
      <c r="J12" s="3">
        <f t="shared" si="5"/>
        <v>962.25744652355979</v>
      </c>
      <c r="K12" s="3">
        <f t="shared" si="5"/>
        <v>1138.4222296855025</v>
      </c>
      <c r="L12" s="3">
        <f t="shared" si="5"/>
        <v>1195.3433411697774</v>
      </c>
      <c r="M12" s="3">
        <f t="shared" si="5"/>
        <v>1255.1105082282666</v>
      </c>
      <c r="N12" s="3">
        <f t="shared" si="5"/>
        <v>1317.8660336396797</v>
      </c>
      <c r="O12" s="3">
        <f t="shared" si="5"/>
        <v>1383.7593353216639</v>
      </c>
      <c r="P12" s="3">
        <f t="shared" si="5"/>
        <v>1452.9473020877469</v>
      </c>
      <c r="Q12" s="21"/>
    </row>
    <row r="13" spans="1:17" x14ac:dyDescent="0.2">
      <c r="A13" t="s">
        <v>182</v>
      </c>
      <c r="B13" s="4">
        <f>Original!B12</f>
        <v>18</v>
      </c>
      <c r="C13" s="4">
        <f>Original!C12</f>
        <v>32</v>
      </c>
      <c r="D13" s="4">
        <f>Original!D12</f>
        <v>25</v>
      </c>
      <c r="E13" s="4">
        <f>Original!E12</f>
        <v>28</v>
      </c>
      <c r="F13" s="4">
        <f>Original!F12</f>
        <v>33</v>
      </c>
      <c r="G13" s="38">
        <f>Asssumptions!G20*G$14</f>
        <v>58.598178184186501</v>
      </c>
      <c r="H13" s="38">
        <f>Asssumptions!H20*H$14</f>
        <v>69.326009276371607</v>
      </c>
      <c r="I13" s="38">
        <f>Asssumptions!I20*I$14</f>
        <v>82.017832484159896</v>
      </c>
      <c r="J13" s="38">
        <f>Asssumptions!J20*J$14</f>
        <v>97.033204645928663</v>
      </c>
      <c r="K13" s="38">
        <f>Asssumptions!K20*K$14</f>
        <v>114.79750828183707</v>
      </c>
      <c r="L13" s="38">
        <f>Asssumptions!L20*L$14</f>
        <v>120.53738369592894</v>
      </c>
      <c r="M13" s="38">
        <f>Asssumptions!M20*M$14</f>
        <v>126.56425288072538</v>
      </c>
      <c r="N13" s="38">
        <f>Asssumptions!N20*N$14</f>
        <v>132.89246552476163</v>
      </c>
      <c r="O13" s="38">
        <f>Asssumptions!O20*O$14</f>
        <v>139.53708880099975</v>
      </c>
      <c r="P13" s="38">
        <f>Asssumptions!P20*P$14</f>
        <v>146.51394324104973</v>
      </c>
      <c r="Q13" s="21"/>
    </row>
    <row r="14" spans="1:17" ht="15" thickBot="1" x14ac:dyDescent="0.25">
      <c r="A14" t="s">
        <v>101</v>
      </c>
      <c r="B14" s="6">
        <f t="shared" ref="B14:E14" si="6">B9+B12+B13</f>
        <v>434</v>
      </c>
      <c r="C14" s="6">
        <f t="shared" si="6"/>
        <v>481</v>
      </c>
      <c r="D14" s="6">
        <f t="shared" si="6"/>
        <v>580</v>
      </c>
      <c r="E14" s="6">
        <f t="shared" si="6"/>
        <v>777</v>
      </c>
      <c r="F14" s="6">
        <f>F9+F12+F13</f>
        <v>1147</v>
      </c>
      <c r="G14" s="6">
        <f>Asssumptions!G$37</f>
        <v>1356.9864303640916</v>
      </c>
      <c r="H14" s="6">
        <f>Asssumptions!H$37</f>
        <v>1605.4160176044286</v>
      </c>
      <c r="I14" s="6">
        <f>Asssumptions!I$37</f>
        <v>1899.3267227361544</v>
      </c>
      <c r="J14" s="6">
        <f>Asssumptions!J$37</f>
        <v>2247.0449778385901</v>
      </c>
      <c r="K14" s="6">
        <f>Asssumptions!K$37</f>
        <v>2658.4215722273302</v>
      </c>
      <c r="L14" s="6">
        <f>Asssumptions!L$37</f>
        <v>2791.342650838697</v>
      </c>
      <c r="M14" s="6">
        <f>Asssumptions!M$37</f>
        <v>2930.9097833806318</v>
      </c>
      <c r="N14" s="6">
        <f>Asssumptions!N$37</f>
        <v>3077.4552725496633</v>
      </c>
      <c r="O14" s="6">
        <f>Asssumptions!O$37</f>
        <v>3231.3280361771467</v>
      </c>
      <c r="P14" s="6">
        <f>Asssumptions!P$37</f>
        <v>3392.894437986004</v>
      </c>
      <c r="Q14" s="21"/>
    </row>
    <row r="15" spans="1:17" ht="15" thickTop="1" x14ac:dyDescent="0.2">
      <c r="G15" s="5"/>
      <c r="H15" s="5"/>
      <c r="I15" s="5"/>
      <c r="J15" s="5"/>
      <c r="K15" s="5"/>
      <c r="L15" s="5"/>
      <c r="M15" s="5"/>
      <c r="N15" s="5"/>
      <c r="O15" s="5"/>
      <c r="P15" s="5"/>
      <c r="Q15" s="21"/>
    </row>
    <row r="16" spans="1:17" x14ac:dyDescent="0.2">
      <c r="A16" t="s">
        <v>3</v>
      </c>
      <c r="Q16" s="21"/>
    </row>
    <row r="17" spans="1:17" x14ac:dyDescent="0.2">
      <c r="A17" t="s">
        <v>88</v>
      </c>
      <c r="B17" s="5">
        <f>Original!B16</f>
        <v>68</v>
      </c>
      <c r="C17" s="5">
        <f>Original!C16</f>
        <v>81</v>
      </c>
      <c r="D17" s="5">
        <f>Original!D16</f>
        <v>94</v>
      </c>
      <c r="E17" s="5">
        <f>Original!E16</f>
        <v>115</v>
      </c>
      <c r="F17" s="5">
        <f>Original!F16</f>
        <v>158</v>
      </c>
      <c r="G17" s="5">
        <f>Asssumptions!G23*G$14</f>
        <v>209.76458087010198</v>
      </c>
      <c r="H17" s="5">
        <f>Asssumptions!H23*H$14</f>
        <v>248.16712276524802</v>
      </c>
      <c r="I17" s="5">
        <f>Asssumptions!I23*I$14</f>
        <v>293.6001901089287</v>
      </c>
      <c r="J17" s="5">
        <f>Asssumptions!J23*J$14</f>
        <v>347.35089270281935</v>
      </c>
      <c r="K17" s="5">
        <f>Asssumptions!K23*K$14</f>
        <v>410.94197730826454</v>
      </c>
      <c r="L17" s="5">
        <f>Asssumptions!L23*L$14</f>
        <v>431.4890761736778</v>
      </c>
      <c r="M17" s="5">
        <f>Asssumptions!M23*M$14</f>
        <v>453.06352998236173</v>
      </c>
      <c r="N17" s="5">
        <f>Asssumptions!N23*N$14</f>
        <v>475.71670648147978</v>
      </c>
      <c r="O17" s="5">
        <f>Asssumptions!O23*O$14</f>
        <v>499.50254180555385</v>
      </c>
      <c r="P17" s="5">
        <f>Asssumptions!P23*P$14</f>
        <v>524.47766889583147</v>
      </c>
      <c r="Q17" s="21"/>
    </row>
    <row r="18" spans="1:17" x14ac:dyDescent="0.2">
      <c r="A18" t="s">
        <v>89</v>
      </c>
      <c r="B18" s="3">
        <f>Original!B17</f>
        <v>6</v>
      </c>
      <c r="C18" s="3">
        <f>Original!C17</f>
        <v>15</v>
      </c>
      <c r="D18" s="3">
        <f>Original!D17</f>
        <v>15</v>
      </c>
      <c r="E18" s="3">
        <f>Original!E17</f>
        <v>33</v>
      </c>
      <c r="F18" s="3">
        <f>Original!F17</f>
        <v>32</v>
      </c>
      <c r="G18" s="37">
        <f>Asssumptions!G24*G$14</f>
        <v>38.332666717562134</v>
      </c>
      <c r="H18" s="37">
        <f>Asssumptions!H24*H$14</f>
        <v>45.350399804185756</v>
      </c>
      <c r="I18" s="37">
        <f>Asssumptions!I24*I$14</f>
        <v>53.652900737459824</v>
      </c>
      <c r="J18" s="37">
        <f>Asssumptions!J24*J$14</f>
        <v>63.475377724851391</v>
      </c>
      <c r="K18" s="37">
        <f>Asssumptions!K24*K$14</f>
        <v>75.096099594471198</v>
      </c>
      <c r="L18" s="37">
        <f>Asssumptions!L24*L$14</f>
        <v>78.850904574194772</v>
      </c>
      <c r="M18" s="37">
        <f>Asssumptions!M24*M$14</f>
        <v>82.793449802904505</v>
      </c>
      <c r="N18" s="37">
        <f>Asssumptions!N24*N$14</f>
        <v>86.933122293049735</v>
      </c>
      <c r="O18" s="37">
        <f>Asssumptions!O24*O$14</f>
        <v>91.279778407702224</v>
      </c>
      <c r="P18" s="37">
        <f>Asssumptions!P24*P$14</f>
        <v>95.843767328087338</v>
      </c>
      <c r="Q18" s="21"/>
    </row>
    <row r="19" spans="1:17" x14ac:dyDescent="0.2">
      <c r="A19" t="s">
        <v>86</v>
      </c>
      <c r="B19" s="4">
        <f>Original!B18</f>
        <v>48</v>
      </c>
      <c r="C19" s="4">
        <f>Original!C18</f>
        <v>54</v>
      </c>
      <c r="D19" s="4">
        <f>Original!D18</f>
        <v>75</v>
      </c>
      <c r="E19" s="4">
        <f>Original!E18</f>
        <v>103</v>
      </c>
      <c r="F19" s="4">
        <f>Original!F18</f>
        <v>137</v>
      </c>
      <c r="G19" s="38">
        <f>Asssumptions!G25*G$14</f>
        <v>163.97245694914994</v>
      </c>
      <c r="H19" s="38">
        <f>Asssumptions!H25*H$14</f>
        <v>193.99162949734671</v>
      </c>
      <c r="I19" s="38">
        <f>Asssumptions!I25*I$14</f>
        <v>229.50654649705135</v>
      </c>
      <c r="J19" s="38">
        <f>Asssumptions!J25*J$14</f>
        <v>271.52333851458076</v>
      </c>
      <c r="K19" s="38">
        <f>Asssumptions!K25*K$14</f>
        <v>321.23233294807483</v>
      </c>
      <c r="L19" s="38">
        <f>Asssumptions!L25*L$14</f>
        <v>337.29394959547858</v>
      </c>
      <c r="M19" s="38">
        <f>Asssumptions!M25*M$14</f>
        <v>354.15864707525253</v>
      </c>
      <c r="N19" s="38">
        <f>Asssumptions!N25*N$14</f>
        <v>371.86657942901513</v>
      </c>
      <c r="O19" s="38">
        <f>Asssumptions!O25*O$14</f>
        <v>390.45990840046591</v>
      </c>
      <c r="P19" s="38">
        <f>Asssumptions!P25*P$14</f>
        <v>409.98290382048924</v>
      </c>
      <c r="Q19" s="21"/>
    </row>
    <row r="20" spans="1:17" x14ac:dyDescent="0.2">
      <c r="A20" t="s">
        <v>102</v>
      </c>
      <c r="B20" s="3">
        <f t="shared" ref="B20:E20" si="7">SUM(B17:B19)</f>
        <v>122</v>
      </c>
      <c r="C20" s="3">
        <f t="shared" si="7"/>
        <v>150</v>
      </c>
      <c r="D20" s="3">
        <f t="shared" si="7"/>
        <v>184</v>
      </c>
      <c r="E20" s="3">
        <f t="shared" si="7"/>
        <v>251</v>
      </c>
      <c r="F20" s="3">
        <f t="shared" ref="F20:P20" si="8">SUM(F17:F19)</f>
        <v>327</v>
      </c>
      <c r="G20" s="3">
        <f t="shared" si="8"/>
        <v>412.06970453681407</v>
      </c>
      <c r="H20" s="3">
        <f t="shared" si="8"/>
        <v>487.50915206678047</v>
      </c>
      <c r="I20" s="3">
        <f t="shared" si="8"/>
        <v>576.75963734343986</v>
      </c>
      <c r="J20" s="3">
        <f t="shared" si="8"/>
        <v>682.34960894225151</v>
      </c>
      <c r="K20" s="3">
        <f t="shared" si="8"/>
        <v>807.27040985081055</v>
      </c>
      <c r="L20" s="3">
        <f t="shared" si="8"/>
        <v>847.63393034335115</v>
      </c>
      <c r="M20" s="3">
        <f t="shared" si="8"/>
        <v>890.01562686051875</v>
      </c>
      <c r="N20" s="3">
        <f t="shared" si="8"/>
        <v>934.51640820354464</v>
      </c>
      <c r="O20" s="3">
        <f t="shared" si="8"/>
        <v>981.24222861372198</v>
      </c>
      <c r="P20" s="3">
        <f t="shared" si="8"/>
        <v>1030.304340044408</v>
      </c>
      <c r="Q20" s="21"/>
    </row>
    <row r="21" spans="1:17" x14ac:dyDescent="0.2">
      <c r="A21" t="s">
        <v>90</v>
      </c>
      <c r="B21" s="3">
        <f>Original!B20</f>
        <v>19</v>
      </c>
      <c r="C21" s="3">
        <f>Original!C20</f>
        <v>22</v>
      </c>
      <c r="D21" s="3">
        <f>Original!D20</f>
        <v>21</v>
      </c>
      <c r="E21" s="3">
        <f>Original!E20</f>
        <v>18</v>
      </c>
      <c r="F21" s="3">
        <f>Original!F20</f>
        <v>81</v>
      </c>
      <c r="G21" s="37">
        <f>Asssumptions!G26*G$14</f>
        <v>95.829033007403154</v>
      </c>
      <c r="H21" s="37">
        <f>Asssumptions!H26*H$14</f>
        <v>113.37288354486374</v>
      </c>
      <c r="I21" s="37">
        <f>Asssumptions!I26*I$14</f>
        <v>134.12856542426198</v>
      </c>
      <c r="J21" s="37">
        <f>Asssumptions!J26*J$14</f>
        <v>158.68408300342264</v>
      </c>
      <c r="K21" s="37">
        <f>Asssumptions!K26*K$14</f>
        <v>187.73508923314188</v>
      </c>
      <c r="L21" s="37">
        <f>Asssumptions!L26*L$14</f>
        <v>197.121843694799</v>
      </c>
      <c r="M21" s="37">
        <f>Asssumptions!M26*M$14</f>
        <v>206.97793587953893</v>
      </c>
      <c r="N21" s="37">
        <f>Asssumptions!N26*N$14</f>
        <v>217.32683267351587</v>
      </c>
      <c r="O21" s="37">
        <f>Asssumptions!O26*O$14</f>
        <v>228.1931743071917</v>
      </c>
      <c r="P21" s="37">
        <f>Asssumptions!P26*P$14</f>
        <v>239.60283302255127</v>
      </c>
      <c r="Q21" s="21"/>
    </row>
    <row r="22" spans="1:17" x14ac:dyDescent="0.2">
      <c r="A22" t="s">
        <v>91</v>
      </c>
      <c r="B22" s="4">
        <f>Original!B21</f>
        <v>20</v>
      </c>
      <c r="C22" s="4">
        <f>Original!C21</f>
        <v>33</v>
      </c>
      <c r="D22" s="4">
        <f>Original!D21</f>
        <v>37</v>
      </c>
      <c r="E22" s="4">
        <f>Original!E21</f>
        <v>42</v>
      </c>
      <c r="F22" s="4">
        <f>Original!F21</f>
        <v>62</v>
      </c>
      <c r="G22" s="38">
        <f>Asssumptions!G27*G$14</f>
        <v>77.780081891029639</v>
      </c>
      <c r="H22" s="38">
        <f>Asssumptions!H27*H$14</f>
        <v>92.01963005992593</v>
      </c>
      <c r="I22" s="38">
        <f>Asssumptions!I27*I$14</f>
        <v>108.86607612767492</v>
      </c>
      <c r="J22" s="38">
        <f>Asssumptions!J27*J$14</f>
        <v>128.79667657562251</v>
      </c>
      <c r="K22" s="38">
        <f>Asssumptions!K27*K$14</f>
        <v>152.37606136801432</v>
      </c>
      <c r="L22" s="38">
        <f>Asssumptions!L27*L$14</f>
        <v>159.99486443641504</v>
      </c>
      <c r="M22" s="38">
        <f>Asssumptions!M27*M$14</f>
        <v>167.99460765823579</v>
      </c>
      <c r="N22" s="38">
        <f>Asssumptions!N27*N$14</f>
        <v>176.39433804114759</v>
      </c>
      <c r="O22" s="38">
        <f>Asssumptions!O27*O$14</f>
        <v>185.21405494320499</v>
      </c>
      <c r="P22" s="38">
        <f>Asssumptions!P27*P$14</f>
        <v>194.47475769036524</v>
      </c>
      <c r="Q22" s="21"/>
    </row>
    <row r="23" spans="1:17" x14ac:dyDescent="0.2">
      <c r="A23" t="s">
        <v>103</v>
      </c>
      <c r="B23" s="3">
        <f t="shared" ref="B23:E23" si="9">B20+B21+B22</f>
        <v>161</v>
      </c>
      <c r="C23" s="3">
        <f t="shared" si="9"/>
        <v>205</v>
      </c>
      <c r="D23" s="3">
        <f t="shared" si="9"/>
        <v>242</v>
      </c>
      <c r="E23" s="3">
        <f t="shared" si="9"/>
        <v>311</v>
      </c>
      <c r="F23" s="3">
        <f t="shared" ref="F23:P23" si="10">F20+F21+F22</f>
        <v>470</v>
      </c>
      <c r="G23" s="3">
        <f t="shared" si="10"/>
        <v>585.67881943524685</v>
      </c>
      <c r="H23" s="3">
        <f t="shared" si="10"/>
        <v>692.90166567157019</v>
      </c>
      <c r="I23" s="3">
        <f t="shared" si="10"/>
        <v>819.75427889537673</v>
      </c>
      <c r="J23" s="3">
        <f t="shared" si="10"/>
        <v>969.83036852129669</v>
      </c>
      <c r="K23" s="3">
        <f t="shared" si="10"/>
        <v>1147.3815604519666</v>
      </c>
      <c r="L23" s="3">
        <f t="shared" si="10"/>
        <v>1204.7506384745652</v>
      </c>
      <c r="M23" s="3">
        <f t="shared" si="10"/>
        <v>1264.9881703982935</v>
      </c>
      <c r="N23" s="3">
        <f t="shared" si="10"/>
        <v>1328.2375789182081</v>
      </c>
      <c r="O23" s="3">
        <f t="shared" si="10"/>
        <v>1394.6494578641186</v>
      </c>
      <c r="P23" s="3">
        <f t="shared" si="10"/>
        <v>1464.3819307573247</v>
      </c>
      <c r="Q23" s="21"/>
    </row>
    <row r="24" spans="1:17" x14ac:dyDescent="0.2">
      <c r="A24" t="s">
        <v>92</v>
      </c>
      <c r="B24" s="4">
        <f>Original!B23</f>
        <v>273</v>
      </c>
      <c r="C24" s="4">
        <f>Original!C23</f>
        <v>276</v>
      </c>
      <c r="D24" s="4">
        <f>Original!D23</f>
        <v>338</v>
      </c>
      <c r="E24" s="4">
        <f>Original!E23</f>
        <v>466</v>
      </c>
      <c r="F24" s="4">
        <f>Original!F23</f>
        <v>677</v>
      </c>
      <c r="G24" s="4">
        <f t="shared" ref="G24:P24" si="11">G14-G23</f>
        <v>771.30761092884472</v>
      </c>
      <c r="H24" s="4">
        <f t="shared" si="11"/>
        <v>912.5143519328584</v>
      </c>
      <c r="I24" s="4">
        <f t="shared" si="11"/>
        <v>1079.5724438407776</v>
      </c>
      <c r="J24" s="4">
        <f t="shared" si="11"/>
        <v>1277.2146093172933</v>
      </c>
      <c r="K24" s="4">
        <f t="shared" si="11"/>
        <v>1511.0400117753636</v>
      </c>
      <c r="L24" s="4">
        <f t="shared" si="11"/>
        <v>1586.5920123641317</v>
      </c>
      <c r="M24" s="4">
        <f t="shared" si="11"/>
        <v>1665.9216129823383</v>
      </c>
      <c r="N24" s="4">
        <f t="shared" si="11"/>
        <v>1749.2176936314552</v>
      </c>
      <c r="O24" s="4">
        <f t="shared" si="11"/>
        <v>1836.6785783130281</v>
      </c>
      <c r="P24" s="4">
        <f t="shared" si="11"/>
        <v>1928.5125072286794</v>
      </c>
      <c r="Q24" s="21"/>
    </row>
    <row r="25" spans="1:17" ht="15" thickBot="1" x14ac:dyDescent="0.25">
      <c r="A25" t="s">
        <v>104</v>
      </c>
      <c r="B25" s="6">
        <f t="shared" ref="B25:E25" si="12">B23+B24</f>
        <v>434</v>
      </c>
      <c r="C25" s="6">
        <f t="shared" si="12"/>
        <v>481</v>
      </c>
      <c r="D25" s="6">
        <f t="shared" si="12"/>
        <v>580</v>
      </c>
      <c r="E25" s="6">
        <f t="shared" si="12"/>
        <v>777</v>
      </c>
      <c r="F25" s="6">
        <f t="shared" ref="F25:P25" si="13">F23+F24</f>
        <v>1147</v>
      </c>
      <c r="G25" s="6">
        <f t="shared" si="13"/>
        <v>1356.9864303640916</v>
      </c>
      <c r="H25" s="6">
        <f t="shared" si="13"/>
        <v>1605.4160176044286</v>
      </c>
      <c r="I25" s="6">
        <f t="shared" si="13"/>
        <v>1899.3267227361544</v>
      </c>
      <c r="J25" s="6">
        <f t="shared" si="13"/>
        <v>2247.0449778385901</v>
      </c>
      <c r="K25" s="6">
        <f t="shared" si="13"/>
        <v>2658.4215722273302</v>
      </c>
      <c r="L25" s="6">
        <f t="shared" si="13"/>
        <v>2791.342650838697</v>
      </c>
      <c r="M25" s="6">
        <f t="shared" si="13"/>
        <v>2930.9097833806318</v>
      </c>
      <c r="N25" s="6">
        <f t="shared" si="13"/>
        <v>3077.4552725496633</v>
      </c>
      <c r="O25" s="6">
        <f t="shared" si="13"/>
        <v>3231.3280361771467</v>
      </c>
      <c r="P25" s="6">
        <f t="shared" si="13"/>
        <v>3392.894437986004</v>
      </c>
      <c r="Q25" s="21"/>
    </row>
    <row r="26" spans="1:17" ht="15" thickTop="1" x14ac:dyDescent="0.2">
      <c r="G26" s="5"/>
    </row>
    <row r="27" spans="1:17" x14ac:dyDescent="0.2">
      <c r="A27" t="s">
        <v>59</v>
      </c>
      <c r="B27" s="39">
        <v>2011</v>
      </c>
      <c r="C27" s="39">
        <v>2012</v>
      </c>
      <c r="D27" s="39">
        <v>2013</v>
      </c>
      <c r="E27" s="39">
        <v>2014</v>
      </c>
      <c r="F27" s="39">
        <v>2015</v>
      </c>
      <c r="G27" s="24">
        <f t="shared" ref="G27" si="14">F27+1</f>
        <v>2016</v>
      </c>
      <c r="H27" s="24">
        <f t="shared" ref="H27" si="15">G27+1</f>
        <v>2017</v>
      </c>
      <c r="I27" s="24">
        <f t="shared" ref="I27" si="16">H27+1</f>
        <v>2018</v>
      </c>
      <c r="J27" s="24">
        <f t="shared" ref="J27" si="17">I27+1</f>
        <v>2019</v>
      </c>
      <c r="K27" s="24">
        <f t="shared" ref="K27" si="18">J27+1</f>
        <v>2020</v>
      </c>
      <c r="L27" s="24">
        <f t="shared" ref="L27" si="19">K27+1</f>
        <v>2021</v>
      </c>
      <c r="M27" s="24">
        <f t="shared" ref="M27" si="20">L27+1</f>
        <v>2022</v>
      </c>
      <c r="N27" s="24">
        <f t="shared" ref="N27" si="21">M27+1</f>
        <v>2023</v>
      </c>
      <c r="O27" s="24">
        <f t="shared" ref="O27" si="22">N27+1</f>
        <v>2024</v>
      </c>
      <c r="P27" s="24">
        <f t="shared" ref="P27" si="23">O27+1</f>
        <v>2025</v>
      </c>
    </row>
    <row r="28" spans="1:17" x14ac:dyDescent="0.2">
      <c r="A28" s="1" t="s">
        <v>4</v>
      </c>
      <c r="B28" s="5">
        <f>Original!B28</f>
        <v>1062</v>
      </c>
      <c r="C28" s="5">
        <f>Original!C28</f>
        <v>1252</v>
      </c>
      <c r="D28" s="5">
        <f>Original!D28</f>
        <v>1587</v>
      </c>
      <c r="E28" s="5">
        <f>Original!E28</f>
        <v>1934</v>
      </c>
      <c r="F28" s="5">
        <f>Original!F28</f>
        <v>2519</v>
      </c>
      <c r="G28" s="5">
        <f>F28*(1+Asssumptions!G5)</f>
        <v>3128.3543200323438</v>
      </c>
      <c r="H28" s="5">
        <f>G28*(1+Asssumptions!H5)</f>
        <v>3885.1134385331593</v>
      </c>
      <c r="I28" s="5">
        <f>H28*(1+Asssumptions!I5)</f>
        <v>4824.9350572651538</v>
      </c>
      <c r="J28" s="5">
        <f>I28*(1+Asssumptions!J5)</f>
        <v>5992.1025924060932</v>
      </c>
      <c r="K28" s="5">
        <f>J28*(1+Asssumptions!K5)</f>
        <v>7441.6117630133422</v>
      </c>
      <c r="L28" s="5">
        <f>K28*(1+Asssumptions!L5)</f>
        <v>7813.6923511640098</v>
      </c>
      <c r="M28" s="5">
        <f>L28*(1+Asssumptions!M5)</f>
        <v>8204.3769687222102</v>
      </c>
      <c r="N28" s="5">
        <f>M28*(1+Asssumptions!N5)</f>
        <v>8614.5958171583206</v>
      </c>
      <c r="O28" s="5">
        <f>N28*(1+Asssumptions!O5)</f>
        <v>9045.3256080162373</v>
      </c>
      <c r="P28" s="5">
        <f>O28*(1+Asssumptions!P5)</f>
        <v>9497.5918884170496</v>
      </c>
      <c r="Q28" s="21"/>
    </row>
    <row r="29" spans="1:17" x14ac:dyDescent="0.2">
      <c r="A29" t="s">
        <v>93</v>
      </c>
      <c r="B29" s="4">
        <f>Original!B29</f>
        <v>654</v>
      </c>
      <c r="C29" s="4">
        <f>Original!C29</f>
        <v>814</v>
      </c>
      <c r="D29" s="4">
        <f>Original!D29</f>
        <v>1009</v>
      </c>
      <c r="E29" s="4">
        <f>Original!E29</f>
        <v>1190</v>
      </c>
      <c r="F29" s="4">
        <f>Original!F29</f>
        <v>1499</v>
      </c>
      <c r="G29" s="4">
        <f>Asssumptions!G6*G$28</f>
        <v>1947.1829762842713</v>
      </c>
      <c r="H29" s="4">
        <f>Asssumptions!H6*H$28</f>
        <v>2418.2128923193081</v>
      </c>
      <c r="I29" s="4">
        <f>Asssumptions!I6*I$28</f>
        <v>3003.1864821139402</v>
      </c>
      <c r="J29" s="4">
        <f>Asssumptions!J6*J$28</f>
        <v>3729.6670921730383</v>
      </c>
      <c r="K29" s="4">
        <f>Asssumptions!K6*K$28</f>
        <v>4631.8857324660557</v>
      </c>
      <c r="L29" s="4">
        <f>Asssumptions!L6*L$28</f>
        <v>4863.4800190893584</v>
      </c>
      <c r="M29" s="4">
        <f>Asssumptions!M6*M$28</f>
        <v>5106.6540200438267</v>
      </c>
      <c r="N29" s="4">
        <f>Asssumptions!N6*N$28</f>
        <v>5361.9867210460179</v>
      </c>
      <c r="O29" s="4">
        <f>Asssumptions!O6*O$28</f>
        <v>5630.0860570983195</v>
      </c>
      <c r="P29" s="4">
        <f>Asssumptions!P6*P$28</f>
        <v>5911.5903599532357</v>
      </c>
      <c r="Q29" s="21"/>
    </row>
    <row r="30" spans="1:17" x14ac:dyDescent="0.2">
      <c r="A30" t="s">
        <v>105</v>
      </c>
      <c r="B30" s="7">
        <f t="shared" ref="B30:E30" si="24">B28-B29</f>
        <v>408</v>
      </c>
      <c r="C30" s="7">
        <f t="shared" si="24"/>
        <v>438</v>
      </c>
      <c r="D30" s="7">
        <f t="shared" si="24"/>
        <v>578</v>
      </c>
      <c r="E30" s="7">
        <f t="shared" si="24"/>
        <v>744</v>
      </c>
      <c r="F30" s="7">
        <f t="shared" ref="F30:P30" si="25">F28-F29</f>
        <v>1020</v>
      </c>
      <c r="G30" s="7">
        <f t="shared" si="25"/>
        <v>1181.1713437480726</v>
      </c>
      <c r="H30" s="7">
        <f t="shared" si="25"/>
        <v>1466.9005462138512</v>
      </c>
      <c r="I30" s="7">
        <f t="shared" si="25"/>
        <v>1821.7485751512136</v>
      </c>
      <c r="J30" s="7">
        <f t="shared" si="25"/>
        <v>2262.4355002330549</v>
      </c>
      <c r="K30" s="7">
        <f t="shared" si="25"/>
        <v>2809.7260305472864</v>
      </c>
      <c r="L30" s="7">
        <f t="shared" si="25"/>
        <v>2950.2123320746514</v>
      </c>
      <c r="M30" s="7">
        <f t="shared" si="25"/>
        <v>3097.7229486783835</v>
      </c>
      <c r="N30" s="7">
        <f t="shared" si="25"/>
        <v>3252.6090961123027</v>
      </c>
      <c r="O30" s="7">
        <f t="shared" si="25"/>
        <v>3415.2395509179178</v>
      </c>
      <c r="P30" s="7">
        <f t="shared" si="25"/>
        <v>3586.0015284638139</v>
      </c>
      <c r="Q30" s="21"/>
    </row>
    <row r="31" spans="1:17" x14ac:dyDescent="0.2">
      <c r="A31" t="s">
        <v>94</v>
      </c>
      <c r="B31" s="4">
        <f>Original!B31</f>
        <v>254</v>
      </c>
      <c r="C31" s="4">
        <f>Original!C31</f>
        <v>271</v>
      </c>
      <c r="D31" s="4">
        <f>Original!D31</f>
        <v>364</v>
      </c>
      <c r="E31" s="4">
        <f>Original!E31</f>
        <v>454</v>
      </c>
      <c r="F31" s="4">
        <f>Original!F31</f>
        <v>576</v>
      </c>
      <c r="G31" s="4">
        <f>Asssumptions!G7*G$28</f>
        <v>718.51881511822717</v>
      </c>
      <c r="H31" s="4">
        <f>Asssumptions!H7*H$28</f>
        <v>892.33086117492132</v>
      </c>
      <c r="I31" s="4">
        <f>Asssumptions!I7*I$28</f>
        <v>1108.1886083583749</v>
      </c>
      <c r="J31" s="4">
        <f>Asssumptions!J7*J$28</f>
        <v>1376.26304897521</v>
      </c>
      <c r="K31" s="4">
        <f>Asssumptions!K7*K$28</f>
        <v>1709.1855715611289</v>
      </c>
      <c r="L31" s="4">
        <f>Asssumptions!L7*L$28</f>
        <v>1794.6448501391853</v>
      </c>
      <c r="M31" s="4">
        <f>Asssumptions!M7*M$28</f>
        <v>1884.3770926461445</v>
      </c>
      <c r="N31" s="4">
        <f>Asssumptions!N7*N$28</f>
        <v>1978.5959472784518</v>
      </c>
      <c r="O31" s="4">
        <f>Asssumptions!O7*O$28</f>
        <v>2077.5257446423743</v>
      </c>
      <c r="P31" s="4">
        <f>Asssumptions!P7*P$28</f>
        <v>2181.4020318744933</v>
      </c>
      <c r="Q31" s="21"/>
    </row>
    <row r="32" spans="1:17" x14ac:dyDescent="0.2">
      <c r="A32" t="s">
        <v>106</v>
      </c>
      <c r="B32" s="7">
        <f t="shared" ref="B32:E32" si="26">B30-B31</f>
        <v>154</v>
      </c>
      <c r="C32" s="7">
        <f t="shared" si="26"/>
        <v>167</v>
      </c>
      <c r="D32" s="7">
        <f t="shared" si="26"/>
        <v>214</v>
      </c>
      <c r="E32" s="7">
        <f t="shared" si="26"/>
        <v>290</v>
      </c>
      <c r="F32" s="7">
        <f t="shared" ref="F32:P32" si="27">F30-F31</f>
        <v>444</v>
      </c>
      <c r="G32" s="7">
        <f t="shared" si="27"/>
        <v>462.65252862984539</v>
      </c>
      <c r="H32" s="7">
        <f t="shared" si="27"/>
        <v>574.56968503892983</v>
      </c>
      <c r="I32" s="7">
        <f t="shared" si="27"/>
        <v>713.55996679283862</v>
      </c>
      <c r="J32" s="7">
        <f t="shared" si="27"/>
        <v>886.17245125784484</v>
      </c>
      <c r="K32" s="7">
        <f t="shared" si="27"/>
        <v>1100.5404589861575</v>
      </c>
      <c r="L32" s="7">
        <f t="shared" si="27"/>
        <v>1155.567481935466</v>
      </c>
      <c r="M32" s="7">
        <f t="shared" si="27"/>
        <v>1213.345856032239</v>
      </c>
      <c r="N32" s="7">
        <f t="shared" si="27"/>
        <v>1274.0131488338509</v>
      </c>
      <c r="O32" s="7">
        <f t="shared" si="27"/>
        <v>1337.7138062755434</v>
      </c>
      <c r="P32" s="7">
        <f t="shared" si="27"/>
        <v>1404.5994965893206</v>
      </c>
      <c r="Q32" s="21"/>
    </row>
    <row r="33" spans="1:17" x14ac:dyDescent="0.2">
      <c r="A33" t="s">
        <v>95</v>
      </c>
      <c r="B33" s="4">
        <f>Original!B33</f>
        <v>25</v>
      </c>
      <c r="C33" s="4">
        <f>Original!C33</f>
        <v>31</v>
      </c>
      <c r="D33" s="4">
        <f>Original!D33</f>
        <v>38</v>
      </c>
      <c r="E33" s="4">
        <f>Original!E33</f>
        <v>52</v>
      </c>
      <c r="F33" s="4">
        <f>Original!F33</f>
        <v>70</v>
      </c>
      <c r="G33" s="4">
        <f>Asssumptions!G8*(F10+G10)/2</f>
        <v>85.357660466267788</v>
      </c>
      <c r="H33" s="4">
        <f>Asssumptions!H8*(G10+H10)/2</f>
        <v>98.719157844932397</v>
      </c>
      <c r="I33" s="4">
        <f>Asssumptions!I8*(H10+I10)/2</f>
        <v>116.79211648870456</v>
      </c>
      <c r="J33" s="4">
        <f>Asssumptions!J8*(I10+J10)/2</f>
        <v>138.17377266667339</v>
      </c>
      <c r="K33" s="4">
        <f>Asssumptions!K8*(J10+K10)/2</f>
        <v>163.46986446459337</v>
      </c>
      <c r="L33" s="4">
        <f>Asssumptions!L8*(K10+L10)/2</f>
        <v>181.60805089917935</v>
      </c>
      <c r="M33" s="4">
        <f>Asssumptions!M8*(L10+M10)/2</f>
        <v>190.6884534441383</v>
      </c>
      <c r="N33" s="4">
        <f>Asssumptions!N8*(M10+N10)/2</f>
        <v>200.22287611634522</v>
      </c>
      <c r="O33" s="4">
        <f>Asssumptions!O8*(N10+O10)/2</f>
        <v>210.23401992216247</v>
      </c>
      <c r="P33" s="4">
        <f>Asssumptions!P8*(O10+P10)/2</f>
        <v>220.74572091827062</v>
      </c>
      <c r="Q33" s="21"/>
    </row>
    <row r="34" spans="1:17" x14ac:dyDescent="0.2">
      <c r="A34" t="s">
        <v>107</v>
      </c>
      <c r="B34" s="7">
        <f t="shared" ref="B34:E34" si="28">B32-B33</f>
        <v>129</v>
      </c>
      <c r="C34" s="7">
        <f t="shared" si="28"/>
        <v>136</v>
      </c>
      <c r="D34" s="7">
        <f t="shared" si="28"/>
        <v>176</v>
      </c>
      <c r="E34" s="7">
        <f t="shared" si="28"/>
        <v>238</v>
      </c>
      <c r="F34" s="7">
        <f t="shared" ref="F34:P34" si="29">F32-F33</f>
        <v>374</v>
      </c>
      <c r="G34" s="7">
        <f t="shared" si="29"/>
        <v>377.29486816357758</v>
      </c>
      <c r="H34" s="7">
        <f t="shared" si="29"/>
        <v>475.85052719399744</v>
      </c>
      <c r="I34" s="7">
        <f t="shared" si="29"/>
        <v>596.76785030413407</v>
      </c>
      <c r="J34" s="7">
        <f t="shared" si="29"/>
        <v>747.99867859117148</v>
      </c>
      <c r="K34" s="7">
        <f t="shared" si="29"/>
        <v>937.0705945215642</v>
      </c>
      <c r="L34" s="7">
        <f t="shared" si="29"/>
        <v>973.95943103628667</v>
      </c>
      <c r="M34" s="7">
        <f t="shared" si="29"/>
        <v>1022.6574025881007</v>
      </c>
      <c r="N34" s="7">
        <f t="shared" si="29"/>
        <v>1073.7902727175056</v>
      </c>
      <c r="O34" s="7">
        <f t="shared" si="29"/>
        <v>1127.4797863533809</v>
      </c>
      <c r="P34" s="7">
        <f t="shared" si="29"/>
        <v>1183.85377567105</v>
      </c>
      <c r="Q34" s="21"/>
    </row>
    <row r="35" spans="1:17" x14ac:dyDescent="0.2">
      <c r="A35" t="s">
        <v>96</v>
      </c>
      <c r="B35" s="3">
        <f>Original!B35</f>
        <v>4</v>
      </c>
      <c r="C35" s="3">
        <f>Original!C35</f>
        <v>3</v>
      </c>
      <c r="D35" s="3">
        <f>Original!D35</f>
        <v>3</v>
      </c>
      <c r="E35" s="3">
        <f>Original!E35</f>
        <v>1</v>
      </c>
      <c r="F35" s="3">
        <f>Original!F35</f>
        <v>4</v>
      </c>
      <c r="G35" s="3">
        <f>Asssumptions!G9*(F$21+G$21)/2</f>
        <v>7.1446073942385118</v>
      </c>
      <c r="H35" s="3">
        <f>Asssumptions!H9*(G$21+H$21)/2</f>
        <v>8.4526026889804804</v>
      </c>
      <c r="I35" s="3">
        <f>Asssumptions!I9*(H$21+I$21)/2</f>
        <v>10.0000585442071</v>
      </c>
      <c r="J35" s="3">
        <f>Asssumptions!J9*(I$21+J$21)/2</f>
        <v>11.830814077886249</v>
      </c>
      <c r="K35" s="3">
        <f>Asssumptions!K9*(J$21+K$21)/2</f>
        <v>13.996734231780385</v>
      </c>
      <c r="L35" s="3">
        <f>Asssumptions!L9*(K$21+L$21)/2</f>
        <v>15.549775067795592</v>
      </c>
      <c r="M35" s="3">
        <f>Asssumptions!M9*(L$21+M$21)/2</f>
        <v>16.327263821185372</v>
      </c>
      <c r="N35" s="3">
        <f>Asssumptions!N9*(M$21+N$21)/2</f>
        <v>17.143627012244639</v>
      </c>
      <c r="O35" s="3">
        <f>Asssumptions!O9*(N$21+O$21)/2</f>
        <v>18.000808362856873</v>
      </c>
      <c r="P35" s="3">
        <f>Asssumptions!P9*(O$21+P$21)/2</f>
        <v>18.900848780999716</v>
      </c>
      <c r="Q35" s="21"/>
    </row>
    <row r="36" spans="1:17" x14ac:dyDescent="0.2">
      <c r="A36" t="s">
        <v>97</v>
      </c>
      <c r="B36" s="4">
        <f>Original!B36</f>
        <v>0</v>
      </c>
      <c r="C36" s="4">
        <f>Original!C36</f>
        <v>7</v>
      </c>
      <c r="D36" s="4">
        <f>Original!D36</f>
        <v>10</v>
      </c>
      <c r="E36" s="4">
        <f>Original!E36</f>
        <v>0</v>
      </c>
      <c r="F36" s="4">
        <f>Original!F36</f>
        <v>-1</v>
      </c>
      <c r="G36" s="4">
        <f>Asssumptions!G10*G$28</f>
        <v>7.1922546437296013</v>
      </c>
      <c r="H36" s="4">
        <f>Asssumptions!H10*H$28</f>
        <v>8.9320845119032093</v>
      </c>
      <c r="I36" s="4">
        <f>Asssumptions!I10*I$28</f>
        <v>11.092784902622626</v>
      </c>
      <c r="J36" s="4">
        <f>Asssumptions!J10*J$28</f>
        <v>13.77616576868164</v>
      </c>
      <c r="K36" s="4">
        <f>Asssumptions!K10*K$28</f>
        <v>17.108665222682376</v>
      </c>
      <c r="L36" s="4">
        <f>Asssumptions!L10*L$28</f>
        <v>17.964098483816496</v>
      </c>
      <c r="M36" s="4">
        <f>Asssumptions!M10*M$28</f>
        <v>18.862303408007321</v>
      </c>
      <c r="N36" s="4">
        <f>Asssumptions!N10*N$28</f>
        <v>19.805418578407686</v>
      </c>
      <c r="O36" s="4">
        <f>Asssumptions!O10*O$28</f>
        <v>20.795689507328074</v>
      </c>
      <c r="P36" s="4">
        <f>Asssumptions!P10*P$28</f>
        <v>21.835473982694477</v>
      </c>
      <c r="Q36" s="21"/>
    </row>
    <row r="37" spans="1:17" x14ac:dyDescent="0.2">
      <c r="A37" t="s">
        <v>108</v>
      </c>
      <c r="B37" s="7">
        <f t="shared" ref="B37:E37" si="30">B34-B35-B36</f>
        <v>125</v>
      </c>
      <c r="C37" s="7">
        <f t="shared" si="30"/>
        <v>126</v>
      </c>
      <c r="D37" s="7">
        <f t="shared" si="30"/>
        <v>163</v>
      </c>
      <c r="E37" s="7">
        <f t="shared" si="30"/>
        <v>237</v>
      </c>
      <c r="F37" s="7">
        <f t="shared" ref="F37:P37" si="31">F34-F35-F36</f>
        <v>371</v>
      </c>
      <c r="G37" s="7">
        <f t="shared" si="31"/>
        <v>362.95800612560947</v>
      </c>
      <c r="H37" s="7">
        <f t="shared" si="31"/>
        <v>458.46583999311372</v>
      </c>
      <c r="I37" s="7">
        <f t="shared" si="31"/>
        <v>575.67500685730431</v>
      </c>
      <c r="J37" s="7">
        <f t="shared" si="31"/>
        <v>722.39169874460367</v>
      </c>
      <c r="K37" s="7">
        <f t="shared" si="31"/>
        <v>905.96519506710149</v>
      </c>
      <c r="L37" s="7">
        <f t="shared" si="31"/>
        <v>940.44555748467451</v>
      </c>
      <c r="M37" s="7">
        <f t="shared" si="31"/>
        <v>987.46783535890802</v>
      </c>
      <c r="N37" s="7">
        <f t="shared" si="31"/>
        <v>1036.8412271268533</v>
      </c>
      <c r="O37" s="7">
        <f t="shared" si="31"/>
        <v>1088.6832884831961</v>
      </c>
      <c r="P37" s="7">
        <f t="shared" si="31"/>
        <v>1143.1174529073558</v>
      </c>
      <c r="Q37" s="21"/>
    </row>
    <row r="38" spans="1:17" x14ac:dyDescent="0.2">
      <c r="A38" t="s">
        <v>98</v>
      </c>
      <c r="B38" s="4">
        <f>Original!B38</f>
        <v>55</v>
      </c>
      <c r="C38" s="4">
        <f>Original!C38</f>
        <v>52</v>
      </c>
      <c r="D38" s="4">
        <f>Original!D38</f>
        <v>65</v>
      </c>
      <c r="E38" s="4">
        <f>Original!E38</f>
        <v>92</v>
      </c>
      <c r="F38" s="4">
        <f>Original!F38</f>
        <v>141</v>
      </c>
      <c r="G38" s="4">
        <f>Asssumptions!G11*G37</f>
        <v>137.9240423277316</v>
      </c>
      <c r="H38" s="4">
        <f>Asssumptions!H11*H37</f>
        <v>174.21701919738322</v>
      </c>
      <c r="I38" s="4">
        <f>Asssumptions!I11*I37</f>
        <v>218.75650260577564</v>
      </c>
      <c r="J38" s="4">
        <f>Asssumptions!J11*J37</f>
        <v>274.5088455229494</v>
      </c>
      <c r="K38" s="4">
        <f>Asssumptions!K11*K37</f>
        <v>344.26677412549856</v>
      </c>
      <c r="L38" s="4">
        <f>Asssumptions!L11*L37</f>
        <v>357.36931184417631</v>
      </c>
      <c r="M38" s="4">
        <f>Asssumptions!M11*M37</f>
        <v>375.23777743638504</v>
      </c>
      <c r="N38" s="4">
        <f>Asssumptions!N11*N37</f>
        <v>393.99966630820427</v>
      </c>
      <c r="O38" s="4">
        <f>Asssumptions!O11*O37</f>
        <v>413.6996496236145</v>
      </c>
      <c r="P38" s="4">
        <f>Asssumptions!P11*P37</f>
        <v>434.38463210479517</v>
      </c>
      <c r="Q38" s="21"/>
    </row>
    <row r="39" spans="1:17" ht="15" thickBot="1" x14ac:dyDescent="0.25">
      <c r="A39" t="s">
        <v>109</v>
      </c>
      <c r="B39" s="9">
        <f t="shared" ref="B39:E39" si="32">B37-B38</f>
        <v>70</v>
      </c>
      <c r="C39" s="9">
        <f t="shared" si="32"/>
        <v>74</v>
      </c>
      <c r="D39" s="9">
        <f t="shared" si="32"/>
        <v>98</v>
      </c>
      <c r="E39" s="9">
        <f t="shared" si="32"/>
        <v>145</v>
      </c>
      <c r="F39" s="9">
        <f t="shared" ref="F39:P39" si="33">F37-F38</f>
        <v>230</v>
      </c>
      <c r="G39" s="9">
        <f t="shared" si="33"/>
        <v>225.03396379787787</v>
      </c>
      <c r="H39" s="9">
        <f t="shared" si="33"/>
        <v>284.24882079573047</v>
      </c>
      <c r="I39" s="9">
        <f t="shared" si="33"/>
        <v>356.9185042515287</v>
      </c>
      <c r="J39" s="9">
        <f t="shared" si="33"/>
        <v>447.88285322165427</v>
      </c>
      <c r="K39" s="9">
        <f t="shared" si="33"/>
        <v>561.69842094160299</v>
      </c>
      <c r="L39" s="9">
        <f t="shared" si="33"/>
        <v>583.0762456404982</v>
      </c>
      <c r="M39" s="9">
        <f t="shared" si="33"/>
        <v>612.23005792252297</v>
      </c>
      <c r="N39" s="9">
        <f t="shared" si="33"/>
        <v>642.84156081864899</v>
      </c>
      <c r="O39" s="9">
        <f t="shared" si="33"/>
        <v>674.98363885958156</v>
      </c>
      <c r="P39" s="9">
        <f t="shared" si="33"/>
        <v>708.73282080256058</v>
      </c>
      <c r="Q39" s="21"/>
    </row>
    <row r="40" spans="1:17" ht="15" thickTop="1" x14ac:dyDescent="0.2"/>
    <row r="42" spans="1:17" x14ac:dyDescent="0.2">
      <c r="A42" t="s">
        <v>61</v>
      </c>
      <c r="B42" s="39">
        <v>2011</v>
      </c>
      <c r="C42" s="39">
        <v>2012</v>
      </c>
      <c r="D42" s="39">
        <v>2013</v>
      </c>
      <c r="E42" s="39">
        <v>2014</v>
      </c>
      <c r="F42" s="39">
        <v>2015</v>
      </c>
      <c r="G42" s="24">
        <f t="shared" ref="G42" si="34">F42+1</f>
        <v>2016</v>
      </c>
      <c r="H42" s="24">
        <f t="shared" ref="H42" si="35">G42+1</f>
        <v>2017</v>
      </c>
      <c r="I42" s="24">
        <f t="shared" ref="I42" si="36">H42+1</f>
        <v>2018</v>
      </c>
      <c r="J42" s="24">
        <f t="shared" ref="J42" si="37">I42+1</f>
        <v>2019</v>
      </c>
      <c r="K42" s="24">
        <f t="shared" ref="K42" si="38">J42+1</f>
        <v>2020</v>
      </c>
      <c r="L42" s="24">
        <f t="shared" ref="L42" si="39">K42+1</f>
        <v>2021</v>
      </c>
      <c r="M42" s="24">
        <f t="shared" ref="M42" si="40">L42+1</f>
        <v>2022</v>
      </c>
      <c r="N42" s="24">
        <f t="shared" ref="N42" si="41">M42+1</f>
        <v>2023</v>
      </c>
      <c r="O42" s="24">
        <f t="shared" ref="O42" si="42">N42+1</f>
        <v>2024</v>
      </c>
      <c r="P42" s="24">
        <f t="shared" ref="P42" si="43">O42+1</f>
        <v>2025</v>
      </c>
    </row>
    <row r="43" spans="1:17" x14ac:dyDescent="0.2">
      <c r="A43" s="15" t="s">
        <v>18</v>
      </c>
    </row>
    <row r="44" spans="1:17" x14ac:dyDescent="0.2">
      <c r="A44" t="s">
        <v>113</v>
      </c>
      <c r="B44" s="5"/>
      <c r="C44" s="5">
        <f>ProFormas!C$39</f>
        <v>74</v>
      </c>
      <c r="D44" s="5">
        <f>ProFormas!D$39</f>
        <v>98</v>
      </c>
      <c r="E44" s="5">
        <f>ProFormas!E$39</f>
        <v>145</v>
      </c>
      <c r="F44" s="5">
        <f>ProFormas!F$39</f>
        <v>230</v>
      </c>
      <c r="G44" s="5">
        <f>ProFormas!G$39</f>
        <v>225.03396379787787</v>
      </c>
      <c r="H44" s="5">
        <f>ProFormas!H$39</f>
        <v>284.24882079573047</v>
      </c>
      <c r="I44" s="5">
        <f>ProFormas!I$39</f>
        <v>356.9185042515287</v>
      </c>
      <c r="J44" s="5">
        <f>ProFormas!J$39</f>
        <v>447.88285322165427</v>
      </c>
      <c r="K44" s="5">
        <f>ProFormas!K$39</f>
        <v>561.69842094160299</v>
      </c>
      <c r="L44" s="5">
        <f>ProFormas!L$39</f>
        <v>583.0762456404982</v>
      </c>
      <c r="M44" s="5">
        <f>ProFormas!M$39</f>
        <v>612.23005792252297</v>
      </c>
      <c r="N44" s="5">
        <f>ProFormas!N$39</f>
        <v>642.84156081864899</v>
      </c>
      <c r="O44" s="5">
        <f>ProFormas!O$39</f>
        <v>674.98363885958156</v>
      </c>
      <c r="P44" s="5">
        <f>ProFormas!P$39</f>
        <v>708.73282080256058</v>
      </c>
      <c r="Q44" s="21"/>
    </row>
    <row r="45" spans="1:17" x14ac:dyDescent="0.2">
      <c r="A45" t="s">
        <v>95</v>
      </c>
      <c r="B45" s="3"/>
      <c r="C45" s="3">
        <f>ProFormas!C$33</f>
        <v>31</v>
      </c>
      <c r="D45" s="3">
        <f>ProFormas!D$33</f>
        <v>38</v>
      </c>
      <c r="E45" s="3">
        <f>ProFormas!E$33</f>
        <v>52</v>
      </c>
      <c r="F45" s="3">
        <f>ProFormas!F$33</f>
        <v>70</v>
      </c>
      <c r="G45" s="3">
        <f>ProFormas!G$33</f>
        <v>85.357660466267788</v>
      </c>
      <c r="H45" s="3">
        <f>ProFormas!H$33</f>
        <v>98.719157844932397</v>
      </c>
      <c r="I45" s="3">
        <f>ProFormas!I$33</f>
        <v>116.79211648870456</v>
      </c>
      <c r="J45" s="3">
        <f>ProFormas!J$33</f>
        <v>138.17377266667339</v>
      </c>
      <c r="K45" s="3">
        <f>ProFormas!K$33</f>
        <v>163.46986446459337</v>
      </c>
      <c r="L45" s="3">
        <f>ProFormas!L$33</f>
        <v>181.60805089917935</v>
      </c>
      <c r="M45" s="3">
        <f>ProFormas!M$33</f>
        <v>190.6884534441383</v>
      </c>
      <c r="N45" s="3">
        <f>ProFormas!N$33</f>
        <v>200.22287611634522</v>
      </c>
      <c r="O45" s="3">
        <f>ProFormas!O$33</f>
        <v>210.23401992216247</v>
      </c>
      <c r="P45" s="3">
        <f>ProFormas!P$33</f>
        <v>220.74572091827062</v>
      </c>
      <c r="Q45" s="21"/>
    </row>
    <row r="46" spans="1:17" x14ac:dyDescent="0.2">
      <c r="A46" t="s">
        <v>97</v>
      </c>
      <c r="B46" s="3"/>
      <c r="C46" s="3">
        <f>ProFormas!C$36</f>
        <v>7</v>
      </c>
      <c r="D46" s="3">
        <f>ProFormas!D$36</f>
        <v>10</v>
      </c>
      <c r="E46" s="3">
        <f>ProFormas!E$36</f>
        <v>0</v>
      </c>
      <c r="F46" s="3">
        <f>ProFormas!F$36</f>
        <v>-1</v>
      </c>
      <c r="G46" s="3">
        <f>ProFormas!G$36</f>
        <v>7.1922546437296013</v>
      </c>
      <c r="H46" s="3">
        <f>ProFormas!H$36</f>
        <v>8.9320845119032093</v>
      </c>
      <c r="I46" s="3">
        <f>ProFormas!I$36</f>
        <v>11.092784902622626</v>
      </c>
      <c r="J46" s="3">
        <f>ProFormas!J$36</f>
        <v>13.77616576868164</v>
      </c>
      <c r="K46" s="3">
        <f>ProFormas!K$36</f>
        <v>17.108665222682376</v>
      </c>
      <c r="L46" s="3">
        <f>ProFormas!L$36</f>
        <v>17.964098483816496</v>
      </c>
      <c r="M46" s="3">
        <f>ProFormas!M$36</f>
        <v>18.862303408007321</v>
      </c>
      <c r="N46" s="3">
        <f>ProFormas!N$36</f>
        <v>19.805418578407686</v>
      </c>
      <c r="O46" s="3">
        <f>ProFormas!O$36</f>
        <v>20.795689507328074</v>
      </c>
      <c r="P46" s="3">
        <f>ProFormas!P$36</f>
        <v>21.835473982694477</v>
      </c>
      <c r="Q46" s="21"/>
    </row>
    <row r="47" spans="1:17" x14ac:dyDescent="0.2">
      <c r="A47" t="s">
        <v>114</v>
      </c>
      <c r="C47" s="3">
        <f>-(ProFormas!C$6-ProFormas!B$6)</f>
        <v>3</v>
      </c>
      <c r="D47" s="3">
        <f>-(ProFormas!D$6-ProFormas!C$6)</f>
        <v>0</v>
      </c>
      <c r="E47" s="3">
        <f>-(ProFormas!E$6-ProFormas!D$6)</f>
        <v>-4</v>
      </c>
      <c r="F47" s="3">
        <f>-(ProFormas!F$6-ProFormas!E$6)</f>
        <v>2</v>
      </c>
      <c r="G47" s="3">
        <f>-(ProFormas!G$6-ProFormas!F$6)</f>
        <v>-9.2068313183159916</v>
      </c>
      <c r="H47" s="3">
        <f>-(ProFormas!H$6-ProFormas!G$6)</f>
        <v>-3.1501317231126684</v>
      </c>
      <c r="I47" s="3">
        <f>-(ProFormas!I$6-ProFormas!H$6)</f>
        <v>-3.7268404552077961</v>
      </c>
      <c r="J47" s="3">
        <f>-(ProFormas!J$6-ProFormas!I$6)</f>
        <v>-4.4091298394497969</v>
      </c>
      <c r="K47" s="3">
        <f>-(ProFormas!K$6-ProFormas!J$6)</f>
        <v>-5.2163289989945767</v>
      </c>
      <c r="L47" s="3">
        <f>-(ProFormas!L$6-ProFormas!K$6)</f>
        <v>-1.6854631167540504</v>
      </c>
      <c r="M47" s="3">
        <f>-(ProFormas!M$6-ProFormas!L$6)</f>
        <v>-1.7697362725917429</v>
      </c>
      <c r="N47" s="3">
        <f>-(ProFormas!N$6-ProFormas!M$6)</f>
        <v>-1.8582230862213294</v>
      </c>
      <c r="O47" s="3">
        <f>-(ProFormas!O$6-ProFormas!N$6)</f>
        <v>-1.9511342405323973</v>
      </c>
      <c r="P47" s="3">
        <f>-(ProFormas!P$6-ProFormas!O$6)</f>
        <v>-2.0486909525590207</v>
      </c>
      <c r="Q47" s="21"/>
    </row>
    <row r="48" spans="1:17" x14ac:dyDescent="0.2">
      <c r="A48" t="s">
        <v>115</v>
      </c>
      <c r="C48" s="3">
        <f>-(ProFormas!C$7-ProFormas!B$7)</f>
        <v>2</v>
      </c>
      <c r="D48" s="3">
        <f>-(ProFormas!D$7-ProFormas!C$7)</f>
        <v>-51</v>
      </c>
      <c r="E48" s="3">
        <f>-(ProFormas!E$7-ProFormas!D$7)</f>
        <v>-4</v>
      </c>
      <c r="F48" s="3">
        <f>-(ProFormas!F$7-ProFormas!E$7)</f>
        <v>-66</v>
      </c>
      <c r="G48" s="3">
        <f>-(ProFormas!G$7-ProFormas!F$7)</f>
        <v>-191.93332760307902</v>
      </c>
      <c r="H48" s="3">
        <f>-(ProFormas!H$7-ProFormas!G$7)</f>
        <v>-92.623481661375024</v>
      </c>
      <c r="I48" s="3">
        <f>-(ProFormas!I$7-ProFormas!H$7)</f>
        <v>-109.58047754800612</v>
      </c>
      <c r="J48" s="3">
        <f>-(ProFormas!J$7-ProFormas!I$7)</f>
        <v>-129.64186666561591</v>
      </c>
      <c r="K48" s="3">
        <f>-(ProFormas!K$7-ProFormas!J$7)</f>
        <v>-153.37598419556377</v>
      </c>
      <c r="L48" s="3">
        <f>-(ProFormas!L$7-ProFormas!K$7)</f>
        <v>-49.557756883682146</v>
      </c>
      <c r="M48" s="3">
        <f>-(ProFormas!M$7-ProFormas!L$7)</f>
        <v>-52.035644727865929</v>
      </c>
      <c r="N48" s="3">
        <f>-(ProFormas!N$7-ProFormas!M$7)</f>
        <v>-54.637426964259475</v>
      </c>
      <c r="O48" s="3">
        <f>-(ProFormas!O$7-ProFormas!N$7)</f>
        <v>-57.369298312472438</v>
      </c>
      <c r="P48" s="3">
        <f>-(ProFormas!P$7-ProFormas!O$7)</f>
        <v>-60.237763228095901</v>
      </c>
      <c r="Q48" s="21"/>
    </row>
    <row r="49" spans="1:17" x14ac:dyDescent="0.2">
      <c r="A49" t="s">
        <v>116</v>
      </c>
      <c r="C49" s="3">
        <f>-(ProFormas!C$8-ProFormas!B$8)</f>
        <v>10</v>
      </c>
      <c r="D49" s="3">
        <f>-(ProFormas!D$8-ProFormas!C$8)</f>
        <v>-16</v>
      </c>
      <c r="E49" s="3">
        <f>-(ProFormas!E$8-ProFormas!D$8)</f>
        <v>-11</v>
      </c>
      <c r="F49" s="3">
        <f>-(ProFormas!F$8-ProFormas!E$8)</f>
        <v>-11</v>
      </c>
      <c r="G49" s="3">
        <f>-(ProFormas!G$8-ProFormas!F$8)</f>
        <v>-10.326637543132769</v>
      </c>
      <c r="H49" s="3">
        <f>-(ProFormas!H$8-ProFormas!G$8)</f>
        <v>-11.22734237481685</v>
      </c>
      <c r="I49" s="3">
        <f>-(ProFormas!I$8-ProFormas!H$8)</f>
        <v>-13.282782259527664</v>
      </c>
      <c r="J49" s="3">
        <f>-(ProFormas!J$8-ProFormas!I$8)</f>
        <v>-15.714520735536112</v>
      </c>
      <c r="K49" s="3">
        <f>-(ProFormas!K$8-ProFormas!J$8)</f>
        <v>-18.591448472360639</v>
      </c>
      <c r="L49" s="3">
        <f>-(ProFormas!L$8-ProFormas!K$8)</f>
        <v>-6.0071365692687095</v>
      </c>
      <c r="M49" s="3">
        <f>-(ProFormas!M$8-ProFormas!L$8)</f>
        <v>-6.3074933977321308</v>
      </c>
      <c r="N49" s="3">
        <f>-(ProFormas!N$8-ProFormas!M$8)</f>
        <v>-6.6228680676187537</v>
      </c>
      <c r="O49" s="3">
        <f>-(ProFormas!O$8-ProFormas!N$8)</f>
        <v>-6.9540114709996885</v>
      </c>
      <c r="P49" s="3">
        <f>-(ProFormas!P$8-ProFormas!O$8)</f>
        <v>-7.3017120445496744</v>
      </c>
      <c r="Q49" s="21"/>
    </row>
    <row r="50" spans="1:17" x14ac:dyDescent="0.2">
      <c r="A50" t="s">
        <v>117</v>
      </c>
      <c r="C50" s="3">
        <f>(ProFormas!C$17-ProFormas!B$17)</f>
        <v>13</v>
      </c>
      <c r="D50" s="3">
        <f>(ProFormas!D$17-ProFormas!C$17)</f>
        <v>13</v>
      </c>
      <c r="E50" s="3">
        <f>(ProFormas!E$17-ProFormas!D$17)</f>
        <v>21</v>
      </c>
      <c r="F50" s="3">
        <f>(ProFormas!F$17-ProFormas!E$17)</f>
        <v>43</v>
      </c>
      <c r="G50" s="3">
        <f>(ProFormas!G$17-ProFormas!F$17)</f>
        <v>51.76458087010198</v>
      </c>
      <c r="H50" s="3">
        <f>(ProFormas!H$17-ProFormas!G$17)</f>
        <v>38.402541895146044</v>
      </c>
      <c r="I50" s="3">
        <f>(ProFormas!I$17-ProFormas!H$17)</f>
        <v>45.433067343680676</v>
      </c>
      <c r="J50" s="3">
        <f>(ProFormas!J$17-ProFormas!I$17)</f>
        <v>53.750702593890651</v>
      </c>
      <c r="K50" s="3">
        <f>(ProFormas!K$17-ProFormas!J$17)</f>
        <v>63.591084605445189</v>
      </c>
      <c r="L50" s="3">
        <f>(ProFormas!L$17-ProFormas!K$17)</f>
        <v>20.547098865413261</v>
      </c>
      <c r="M50" s="3">
        <f>(ProFormas!M$17-ProFormas!L$17)</f>
        <v>21.574453808683927</v>
      </c>
      <c r="N50" s="3">
        <f>(ProFormas!N$17-ProFormas!M$17)</f>
        <v>22.653176499118047</v>
      </c>
      <c r="O50" s="3">
        <f>(ProFormas!O$17-ProFormas!N$17)</f>
        <v>23.785835324074071</v>
      </c>
      <c r="P50" s="3">
        <f>(ProFormas!P$17-ProFormas!O$17)</f>
        <v>24.975127090277624</v>
      </c>
      <c r="Q50" s="21"/>
    </row>
    <row r="51" spans="1:17" x14ac:dyDescent="0.2">
      <c r="A51" t="s">
        <v>118</v>
      </c>
      <c r="C51" s="3">
        <f>(ProFormas!C$18-ProFormas!B$18)</f>
        <v>9</v>
      </c>
      <c r="D51" s="3">
        <f>(ProFormas!D$18-ProFormas!C$18)</f>
        <v>0</v>
      </c>
      <c r="E51" s="3">
        <f>(ProFormas!E$18-ProFormas!D$18)</f>
        <v>18</v>
      </c>
      <c r="F51" s="3">
        <f>(ProFormas!F$18-ProFormas!E$18)</f>
        <v>-1</v>
      </c>
      <c r="G51" s="3">
        <f>(ProFormas!G$18-ProFormas!F$18)</f>
        <v>6.3326667175621338</v>
      </c>
      <c r="H51" s="3">
        <f>(ProFormas!H$18-ProFormas!G$18)</f>
        <v>7.0177330866236218</v>
      </c>
      <c r="I51" s="3">
        <f>(ProFormas!I$18-ProFormas!H$18)</f>
        <v>8.302500933274068</v>
      </c>
      <c r="J51" s="3">
        <f>(ProFormas!J$18-ProFormas!I$18)</f>
        <v>9.8224769873915676</v>
      </c>
      <c r="K51" s="3">
        <f>(ProFormas!K$18-ProFormas!J$18)</f>
        <v>11.620721869619807</v>
      </c>
      <c r="L51" s="3">
        <f>(ProFormas!L$18-ProFormas!K$18)</f>
        <v>3.7548049797235734</v>
      </c>
      <c r="M51" s="3">
        <f>(ProFormas!M$18-ProFormas!L$18)</f>
        <v>3.9425452287097329</v>
      </c>
      <c r="N51" s="3">
        <f>(ProFormas!N$18-ProFormas!M$18)</f>
        <v>4.1396724901452302</v>
      </c>
      <c r="O51" s="3">
        <f>(ProFormas!O$18-ProFormas!N$18)</f>
        <v>4.3466561146524896</v>
      </c>
      <c r="P51" s="3">
        <f>(ProFormas!P$18-ProFormas!O$18)</f>
        <v>4.5639889203851141</v>
      </c>
      <c r="Q51" s="21"/>
    </row>
    <row r="52" spans="1:17" x14ac:dyDescent="0.2">
      <c r="A52" t="s">
        <v>119</v>
      </c>
      <c r="C52" s="3">
        <f>(ProFormas!C$19-ProFormas!B$19)</f>
        <v>6</v>
      </c>
      <c r="D52" s="3">
        <f>(ProFormas!D$19-ProFormas!C$19)</f>
        <v>21</v>
      </c>
      <c r="E52" s="3">
        <f>(ProFormas!E$19-ProFormas!D$19)</f>
        <v>28</v>
      </c>
      <c r="F52" s="3">
        <f>(ProFormas!F$19-ProFormas!E$19)</f>
        <v>34</v>
      </c>
      <c r="G52" s="3">
        <f>(ProFormas!G$19-ProFormas!F$19)</f>
        <v>26.972456949149944</v>
      </c>
      <c r="H52" s="3">
        <f>(ProFormas!H$19-ProFormas!G$19)</f>
        <v>30.019172548196764</v>
      </c>
      <c r="I52" s="3">
        <f>(ProFormas!I$19-ProFormas!H$19)</f>
        <v>35.514916999704639</v>
      </c>
      <c r="J52" s="3">
        <f>(ProFormas!J$19-ProFormas!I$19)</f>
        <v>42.016792017529411</v>
      </c>
      <c r="K52" s="3">
        <f>(ProFormas!K$19-ProFormas!J$19)</f>
        <v>49.70899443349407</v>
      </c>
      <c r="L52" s="3">
        <f>(ProFormas!L$19-ProFormas!K$19)</f>
        <v>16.061616647403753</v>
      </c>
      <c r="M52" s="3">
        <f>(ProFormas!M$19-ProFormas!L$19)</f>
        <v>16.864697479773952</v>
      </c>
      <c r="N52" s="3">
        <f>(ProFormas!N$19-ProFormas!M$19)</f>
        <v>17.707932353762601</v>
      </c>
      <c r="O52" s="3">
        <f>(ProFormas!O$19-ProFormas!N$19)</f>
        <v>18.593328971450774</v>
      </c>
      <c r="P52" s="3">
        <f>(ProFormas!P$19-ProFormas!O$19)</f>
        <v>19.522995420023335</v>
      </c>
      <c r="Q52" s="21"/>
    </row>
    <row r="53" spans="1:17" x14ac:dyDescent="0.2">
      <c r="A53" t="s">
        <v>120</v>
      </c>
      <c r="C53" s="4">
        <f>ProFormas!C$22-ProFormas!B$22-ProFormas!C$36</f>
        <v>6</v>
      </c>
      <c r="D53" s="4">
        <f>ProFormas!D$22-ProFormas!C$22-ProFormas!D$36</f>
        <v>-6</v>
      </c>
      <c r="E53" s="4">
        <f>ProFormas!E$22-ProFormas!D$22-ProFormas!E$36</f>
        <v>5</v>
      </c>
      <c r="F53" s="4">
        <f>ProFormas!F$22-ProFormas!E$22-ProFormas!F$36</f>
        <v>21</v>
      </c>
      <c r="G53" s="4">
        <f>ProFormas!G$22-ProFormas!F$22-ProFormas!G$36</f>
        <v>8.5878272473000372</v>
      </c>
      <c r="H53" s="4">
        <f>ProFormas!H$22-ProFormas!G$22-ProFormas!H$36</f>
        <v>5.3074636569930824</v>
      </c>
      <c r="I53" s="4">
        <f>ProFormas!I$22-ProFormas!H$22-ProFormas!I$36</f>
        <v>5.7536611651263598</v>
      </c>
      <c r="J53" s="4">
        <f>ProFormas!J$22-ProFormas!I$22-ProFormas!J$36</f>
        <v>6.1544346792659574</v>
      </c>
      <c r="K53" s="4">
        <f>ProFormas!K$22-ProFormas!J$22-ProFormas!K$36</f>
        <v>6.4707195697094306</v>
      </c>
      <c r="L53" s="4">
        <f>ProFormas!L$22-ProFormas!K$22-ProFormas!L$36</f>
        <v>-10.345295415415773</v>
      </c>
      <c r="M53" s="4">
        <f>ProFormas!M$22-ProFormas!L$22-ProFormas!M$36</f>
        <v>-10.86256018618657</v>
      </c>
      <c r="N53" s="4">
        <f>ProFormas!N$22-ProFormas!M$22-ProFormas!N$36</f>
        <v>-11.405688195495888</v>
      </c>
      <c r="O53" s="4">
        <f>ProFormas!O$22-ProFormas!N$22-ProFormas!O$36</f>
        <v>-11.97597260527068</v>
      </c>
      <c r="P53" s="4">
        <f>ProFormas!P$22-ProFormas!O$22-ProFormas!P$36</f>
        <v>-12.574771235534225</v>
      </c>
      <c r="Q53" s="21"/>
    </row>
    <row r="54" spans="1:17" x14ac:dyDescent="0.2">
      <c r="A54" t="s">
        <v>121</v>
      </c>
      <c r="C54" s="3">
        <f t="shared" ref="C54:P54" si="44">SUM(C44:C53)</f>
        <v>161</v>
      </c>
      <c r="D54" s="3">
        <f t="shared" si="44"/>
        <v>107</v>
      </c>
      <c r="E54" s="3">
        <f t="shared" si="44"/>
        <v>250</v>
      </c>
      <c r="F54" s="3">
        <f t="shared" si="44"/>
        <v>321</v>
      </c>
      <c r="G54" s="3">
        <f t="shared" si="44"/>
        <v>199.77461422746154</v>
      </c>
      <c r="H54" s="3">
        <f t="shared" si="44"/>
        <v>365.64601858022104</v>
      </c>
      <c r="I54" s="3">
        <f t="shared" si="44"/>
        <v>453.2174518219</v>
      </c>
      <c r="J54" s="3">
        <f t="shared" si="44"/>
        <v>561.81168069448506</v>
      </c>
      <c r="K54" s="3">
        <f t="shared" si="44"/>
        <v>696.48470944022824</v>
      </c>
      <c r="L54" s="3">
        <f t="shared" si="44"/>
        <v>755.41626353091408</v>
      </c>
      <c r="M54" s="3">
        <f t="shared" si="44"/>
        <v>793.18707670745971</v>
      </c>
      <c r="N54" s="3">
        <f t="shared" si="44"/>
        <v>832.84643054283242</v>
      </c>
      <c r="O54" s="3">
        <f t="shared" si="44"/>
        <v>874.48875206997423</v>
      </c>
      <c r="P54" s="3">
        <f t="shared" si="44"/>
        <v>918.21318967347304</v>
      </c>
      <c r="Q54" s="21"/>
    </row>
    <row r="55" spans="1:17" x14ac:dyDescent="0.2">
      <c r="Q55" s="21"/>
    </row>
    <row r="56" spans="1:17" x14ac:dyDescent="0.2">
      <c r="A56" s="15" t="s">
        <v>19</v>
      </c>
      <c r="Q56" s="21"/>
    </row>
    <row r="57" spans="1:17" x14ac:dyDescent="0.2">
      <c r="A57" t="s">
        <v>125</v>
      </c>
      <c r="C57" s="3">
        <f>-(ProFormas!C$10-ProFormas!B$10+Asssumptions!C$45)</f>
        <v>-65</v>
      </c>
      <c r="D57" s="3">
        <f>-(ProFormas!D$10-ProFormas!C$10+Asssumptions!D$45)</f>
        <v>-85</v>
      </c>
      <c r="E57" s="3">
        <f>-(ProFormas!E$10-ProFormas!D$10+Asssumptions!E$45)</f>
        <v>-198</v>
      </c>
      <c r="F57" s="3">
        <f>-Asssumptions!F51</f>
        <v>-234</v>
      </c>
      <c r="G57" s="3">
        <f>-Asssumptions!G51</f>
        <v>-118.46320589477023</v>
      </c>
      <c r="H57" s="3">
        <f>-Asssumptions!H51</f>
        <v>-205.10475431338034</v>
      </c>
      <c r="I57" s="3">
        <f>-Asssumptions!I51</f>
        <v>-242.65420087743485</v>
      </c>
      <c r="J57" s="3">
        <f>-Asssumptions!J51</f>
        <v>-287.07799290455227</v>
      </c>
      <c r="K57" s="3">
        <f>-Asssumptions!K51</f>
        <v>-339.63464762653621</v>
      </c>
      <c r="L57" s="3">
        <f>-Asssumptions!L51</f>
        <v>-238.52916238345438</v>
      </c>
      <c r="M57" s="3">
        <f>-Asssumptions!M51</f>
        <v>-250.4556205026272</v>
      </c>
      <c r="N57" s="3">
        <f>-Asssumptions!N51</f>
        <v>-262.97840152775848</v>
      </c>
      <c r="O57" s="3">
        <f>-Asssumptions!O51</f>
        <v>-276.12732160414635</v>
      </c>
      <c r="P57" s="3">
        <f>-Asssumptions!P51</f>
        <v>-289.9336876843538</v>
      </c>
      <c r="Q57" s="21"/>
    </row>
    <row r="58" spans="1:17" x14ac:dyDescent="0.2">
      <c r="A58" t="s">
        <v>126</v>
      </c>
      <c r="C58" s="4">
        <f>-(ProFormas!C$13-ProFormas!B$13)</f>
        <v>-14</v>
      </c>
      <c r="D58" s="4">
        <f>-(ProFormas!D$13-ProFormas!C$13)</f>
        <v>7</v>
      </c>
      <c r="E58" s="4">
        <f>-(ProFormas!E$13-ProFormas!D$13)</f>
        <v>-3</v>
      </c>
      <c r="F58" s="4">
        <f>-(ProFormas!F$13-ProFormas!E$13)</f>
        <v>-5</v>
      </c>
      <c r="G58" s="4">
        <f>-(ProFormas!G$13-ProFormas!F$13)</f>
        <v>-25.598178184186501</v>
      </c>
      <c r="H58" s="4">
        <f>-(ProFormas!H$13-ProFormas!G$13)</f>
        <v>-10.727831092185106</v>
      </c>
      <c r="I58" s="4">
        <f>-(ProFormas!I$13-ProFormas!H$13)</f>
        <v>-12.691823207788289</v>
      </c>
      <c r="J58" s="4">
        <f>-(ProFormas!J$13-ProFormas!I$13)</f>
        <v>-15.015372161768767</v>
      </c>
      <c r="K58" s="4">
        <f>-(ProFormas!K$13-ProFormas!J$13)</f>
        <v>-17.764303635908405</v>
      </c>
      <c r="L58" s="4">
        <f>-(ProFormas!L$13-ProFormas!K$13)</f>
        <v>-5.7398754140918697</v>
      </c>
      <c r="M58" s="4">
        <f>-(ProFormas!M$13-ProFormas!L$13)</f>
        <v>-6.0268691847964391</v>
      </c>
      <c r="N58" s="4">
        <f>-(ProFormas!N$13-ProFormas!M$13)</f>
        <v>-6.3282126440362561</v>
      </c>
      <c r="O58" s="4">
        <f>-(ProFormas!O$13-ProFormas!N$13)</f>
        <v>-6.6446232762381214</v>
      </c>
      <c r="P58" s="4">
        <f>-(ProFormas!P$13-ProFormas!O$13)</f>
        <v>-6.9768544400499763</v>
      </c>
      <c r="Q58" s="21"/>
    </row>
    <row r="59" spans="1:17" x14ac:dyDescent="0.2">
      <c r="A59" t="s">
        <v>122</v>
      </c>
      <c r="C59" s="3">
        <f t="shared" ref="C59:P59" si="45">C57+C58</f>
        <v>-79</v>
      </c>
      <c r="D59" s="3">
        <f t="shared" si="45"/>
        <v>-78</v>
      </c>
      <c r="E59" s="3">
        <f t="shared" si="45"/>
        <v>-201</v>
      </c>
      <c r="F59" s="3">
        <f t="shared" si="45"/>
        <v>-239</v>
      </c>
      <c r="G59" s="3">
        <f t="shared" si="45"/>
        <v>-144.06138407895673</v>
      </c>
      <c r="H59" s="3">
        <f t="shared" si="45"/>
        <v>-215.83258540556545</v>
      </c>
      <c r="I59" s="3">
        <f t="shared" si="45"/>
        <v>-255.34602408522312</v>
      </c>
      <c r="J59" s="3">
        <f t="shared" si="45"/>
        <v>-302.09336506632104</v>
      </c>
      <c r="K59" s="3">
        <f t="shared" si="45"/>
        <v>-357.3989512624446</v>
      </c>
      <c r="L59" s="3">
        <f t="shared" si="45"/>
        <v>-244.26903779754625</v>
      </c>
      <c r="M59" s="3">
        <f t="shared" si="45"/>
        <v>-256.48248968742365</v>
      </c>
      <c r="N59" s="3">
        <f t="shared" si="45"/>
        <v>-269.30661417179476</v>
      </c>
      <c r="O59" s="3">
        <f t="shared" si="45"/>
        <v>-282.77194488038447</v>
      </c>
      <c r="P59" s="3">
        <f t="shared" si="45"/>
        <v>-296.91054212440378</v>
      </c>
      <c r="Q59" s="21"/>
    </row>
    <row r="60" spans="1:17" x14ac:dyDescent="0.2">
      <c r="Q60" s="21"/>
    </row>
    <row r="61" spans="1:17" x14ac:dyDescent="0.2">
      <c r="A61" s="15" t="s">
        <v>20</v>
      </c>
      <c r="Q61" s="21"/>
    </row>
    <row r="62" spans="1:17" x14ac:dyDescent="0.2">
      <c r="A62" t="s">
        <v>127</v>
      </c>
      <c r="C62" s="3">
        <f>ProFormas!C$21-ProFormas!B$21</f>
        <v>3</v>
      </c>
      <c r="D62" s="3">
        <f>ProFormas!D$21-ProFormas!C$21</f>
        <v>-1</v>
      </c>
      <c r="E62" s="3">
        <f>ProFormas!E$21-ProFormas!D$21</f>
        <v>-3</v>
      </c>
      <c r="F62" s="3">
        <f>ProFormas!F$21-ProFormas!E$21</f>
        <v>63</v>
      </c>
      <c r="G62" s="3">
        <f>ProFormas!G$21-ProFormas!F$21</f>
        <v>14.829033007403154</v>
      </c>
      <c r="H62" s="3">
        <f>ProFormas!H$21-ProFormas!G$21</f>
        <v>17.543850537460585</v>
      </c>
      <c r="I62" s="3">
        <f>ProFormas!I$21-ProFormas!H$21</f>
        <v>20.755681879398239</v>
      </c>
      <c r="J62" s="3">
        <f>ProFormas!J$21-ProFormas!I$21</f>
        <v>24.555517579160664</v>
      </c>
      <c r="K62" s="3">
        <f>ProFormas!K$21-ProFormas!J$21</f>
        <v>29.051006229719235</v>
      </c>
      <c r="L62" s="3">
        <f>ProFormas!L$21-ProFormas!K$21</f>
        <v>9.3867544616571195</v>
      </c>
      <c r="M62" s="3">
        <f>ProFormas!M$21-ProFormas!L$21</f>
        <v>9.8560921847399356</v>
      </c>
      <c r="N62" s="3">
        <f>ProFormas!N$21-ProFormas!M$21</f>
        <v>10.348896793976934</v>
      </c>
      <c r="O62" s="3">
        <f>ProFormas!O$21-ProFormas!N$21</f>
        <v>10.86634163367583</v>
      </c>
      <c r="P62" s="3">
        <f>ProFormas!P$21-ProFormas!O$21</f>
        <v>11.409658715359569</v>
      </c>
      <c r="Q62" s="21"/>
    </row>
    <row r="63" spans="1:17" x14ac:dyDescent="0.2">
      <c r="A63" t="s">
        <v>21</v>
      </c>
      <c r="C63" s="4">
        <f>-(ProFormas!B$24+ProFormas!C$39-ProFormas!C$24)</f>
        <v>-71</v>
      </c>
      <c r="D63" s="4">
        <f>-(ProFormas!C$24+ProFormas!D$39-ProFormas!D$24)</f>
        <v>-36</v>
      </c>
      <c r="E63" s="4">
        <f>-(ProFormas!D$24+ProFormas!E$39-ProFormas!E$24)</f>
        <v>-17</v>
      </c>
      <c r="F63" s="4">
        <f>-Asssumptions!F57</f>
        <v>-19</v>
      </c>
      <c r="G63" s="4">
        <f>-Asssumptions!G57</f>
        <v>-130.72635286903312</v>
      </c>
      <c r="H63" s="4">
        <f>-Asssumptions!H57</f>
        <v>-143.0420797917169</v>
      </c>
      <c r="I63" s="4">
        <f>-Asssumptions!I57</f>
        <v>-189.8604123436096</v>
      </c>
      <c r="J63" s="4">
        <f>-Asssumptions!J57</f>
        <v>-250.24068774513853</v>
      </c>
      <c r="K63" s="4">
        <f>-Asssumptions!K57</f>
        <v>-327.87301848353263</v>
      </c>
      <c r="L63" s="4">
        <f>-Asssumptions!L57</f>
        <v>-507.52424505172985</v>
      </c>
      <c r="M63" s="4">
        <f>-Asssumptions!M57</f>
        <v>-532.90045730431643</v>
      </c>
      <c r="N63" s="4">
        <f>-Asssumptions!N57</f>
        <v>-559.54548016953208</v>
      </c>
      <c r="O63" s="4">
        <f>-Asssumptions!O57</f>
        <v>-587.52275417800865</v>
      </c>
      <c r="P63" s="4">
        <f>-Asssumptions!P57</f>
        <v>-616.89889188690927</v>
      </c>
      <c r="Q63" s="21"/>
    </row>
    <row r="64" spans="1:17" x14ac:dyDescent="0.2">
      <c r="A64" t="s">
        <v>123</v>
      </c>
      <c r="C64" s="3">
        <f t="shared" ref="C64:P64" si="46">C62+C63</f>
        <v>-68</v>
      </c>
      <c r="D64" s="3">
        <f t="shared" si="46"/>
        <v>-37</v>
      </c>
      <c r="E64" s="3">
        <f t="shared" si="46"/>
        <v>-20</v>
      </c>
      <c r="F64" s="3">
        <f t="shared" si="46"/>
        <v>44</v>
      </c>
      <c r="G64" s="3">
        <f t="shared" si="46"/>
        <v>-115.89731986162997</v>
      </c>
      <c r="H64" s="3">
        <f t="shared" si="46"/>
        <v>-125.49822925425632</v>
      </c>
      <c r="I64" s="3">
        <f t="shared" si="46"/>
        <v>-169.10473046421134</v>
      </c>
      <c r="J64" s="3">
        <f t="shared" si="46"/>
        <v>-225.68517016597787</v>
      </c>
      <c r="K64" s="3">
        <f t="shared" si="46"/>
        <v>-298.8220122538134</v>
      </c>
      <c r="L64" s="3">
        <f t="shared" si="46"/>
        <v>-498.13749059007273</v>
      </c>
      <c r="M64" s="3">
        <f t="shared" si="46"/>
        <v>-523.04436511957647</v>
      </c>
      <c r="N64" s="3">
        <f t="shared" si="46"/>
        <v>-549.19658337555518</v>
      </c>
      <c r="O64" s="3">
        <f t="shared" si="46"/>
        <v>-576.65641254433285</v>
      </c>
      <c r="P64" s="3">
        <f t="shared" si="46"/>
        <v>-605.4892331715497</v>
      </c>
      <c r="Q64" s="21"/>
    </row>
    <row r="65" spans="1:17" x14ac:dyDescent="0.2">
      <c r="Q65" s="21"/>
    </row>
    <row r="66" spans="1:17" x14ac:dyDescent="0.2">
      <c r="A66" t="s">
        <v>124</v>
      </c>
      <c r="C66" s="3">
        <f t="shared" ref="C66:P66" si="47">C54+C59+C64</f>
        <v>14</v>
      </c>
      <c r="D66" s="3">
        <f t="shared" si="47"/>
        <v>-8</v>
      </c>
      <c r="E66" s="3">
        <f t="shared" si="47"/>
        <v>29</v>
      </c>
      <c r="F66" s="3">
        <f t="shared" si="47"/>
        <v>126</v>
      </c>
      <c r="G66" s="3">
        <f t="shared" si="47"/>
        <v>-60.184089713125161</v>
      </c>
      <c r="H66" s="3">
        <f t="shared" si="47"/>
        <v>24.31520392039927</v>
      </c>
      <c r="I66" s="3">
        <f t="shared" si="47"/>
        <v>28.766697272465535</v>
      </c>
      <c r="J66" s="3">
        <f t="shared" si="47"/>
        <v>34.033145462186155</v>
      </c>
      <c r="K66" s="3">
        <f t="shared" si="47"/>
        <v>40.263745923970248</v>
      </c>
      <c r="L66" s="3">
        <f t="shared" si="47"/>
        <v>13.009735143295075</v>
      </c>
      <c r="M66" s="3">
        <f t="shared" si="47"/>
        <v>13.660221900459646</v>
      </c>
      <c r="N66" s="3">
        <f t="shared" si="47"/>
        <v>14.343232995482481</v>
      </c>
      <c r="O66" s="3">
        <f t="shared" si="47"/>
        <v>15.060394645256906</v>
      </c>
      <c r="P66" s="3">
        <f t="shared" si="47"/>
        <v>15.813414377519507</v>
      </c>
      <c r="Q66" s="21"/>
    </row>
    <row r="67" spans="1:17" x14ac:dyDescent="0.2">
      <c r="Q67" s="21"/>
    </row>
    <row r="68" spans="1:17" x14ac:dyDescent="0.2">
      <c r="A68" t="s">
        <v>22</v>
      </c>
      <c r="C68" s="3">
        <f>ProFormas!C$5-ProFormas!B$5</f>
        <v>14</v>
      </c>
      <c r="D68" s="3">
        <f>ProFormas!D$5-ProFormas!C$5</f>
        <v>-8</v>
      </c>
      <c r="E68" s="3">
        <f>ProFormas!E$5-ProFormas!D$5</f>
        <v>29</v>
      </c>
      <c r="F68" s="3">
        <f>ProFormas!F$5-ProFormas!E$5</f>
        <v>126</v>
      </c>
      <c r="G68" s="3">
        <f>ProFormas!G$5-ProFormas!F$5</f>
        <v>-60.184089713125246</v>
      </c>
      <c r="H68" s="3">
        <f>ProFormas!H$5-ProFormas!G$5</f>
        <v>24.315203920399512</v>
      </c>
      <c r="I68" s="3">
        <f>ProFormas!I$5-ProFormas!H$5</f>
        <v>28.766697272465478</v>
      </c>
      <c r="J68" s="3">
        <f>ProFormas!J$5-ProFormas!I$5</f>
        <v>34.03314546218607</v>
      </c>
      <c r="K68" s="3">
        <f>ProFormas!K$5-ProFormas!J$5</f>
        <v>40.263745923970106</v>
      </c>
      <c r="L68" s="3">
        <f>ProFormas!L$5-ProFormas!K$5</f>
        <v>13.009735143294847</v>
      </c>
      <c r="M68" s="3">
        <f>ProFormas!M$5-ProFormas!L$5</f>
        <v>13.660221900459533</v>
      </c>
      <c r="N68" s="3">
        <f>ProFormas!N$5-ProFormas!M$5</f>
        <v>14.343232995482481</v>
      </c>
      <c r="O68" s="3">
        <f>ProFormas!O$5-ProFormas!N$5</f>
        <v>15.060394645256679</v>
      </c>
      <c r="P68" s="3">
        <f>ProFormas!P$5-ProFormas!O$5</f>
        <v>15.81341437751945</v>
      </c>
      <c r="Q68" s="21"/>
    </row>
    <row r="70" spans="1:17" x14ac:dyDescent="0.2">
      <c r="A70" t="s">
        <v>62</v>
      </c>
    </row>
    <row r="71" spans="1:17" x14ac:dyDescent="0.2">
      <c r="A71" s="17" t="s">
        <v>128</v>
      </c>
      <c r="F71" s="60">
        <f t="shared" ref="F71:P71" si="48">F39/AVERAGE(E24:F24)</f>
        <v>0.40244969378827644</v>
      </c>
      <c r="G71" s="60">
        <f t="shared" si="48"/>
        <v>0.31075437579666737</v>
      </c>
      <c r="H71" s="60">
        <f t="shared" si="48"/>
        <v>0.3376233676304371</v>
      </c>
      <c r="I71" s="60">
        <f t="shared" si="48"/>
        <v>0.35833629840703579</v>
      </c>
      <c r="J71" s="60">
        <f t="shared" si="48"/>
        <v>0.38007918672286978</v>
      </c>
      <c r="K71" s="60">
        <f t="shared" si="48"/>
        <v>0.40290324756745893</v>
      </c>
      <c r="L71" s="60">
        <f t="shared" si="48"/>
        <v>0.37646579135071639</v>
      </c>
      <c r="M71" s="60">
        <f t="shared" si="48"/>
        <v>0.37646579135071628</v>
      </c>
      <c r="N71" s="60">
        <f t="shared" si="48"/>
        <v>0.37646579135071623</v>
      </c>
      <c r="O71" s="60">
        <f t="shared" si="48"/>
        <v>0.37646579135071623</v>
      </c>
      <c r="P71" s="60">
        <f t="shared" si="48"/>
        <v>0.37646579135071623</v>
      </c>
    </row>
    <row r="72" spans="1:17" x14ac:dyDescent="0.2">
      <c r="A72" s="1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</row>
    <row r="73" spans="1:17" x14ac:dyDescent="0.2">
      <c r="A73" t="s">
        <v>43</v>
      </c>
      <c r="F73" s="62">
        <f t="shared" ref="F73:P73" si="49">F114/AVERAGE(E14:F14)</f>
        <v>0.24166320166320165</v>
      </c>
      <c r="G73" s="62">
        <f t="shared" si="49"/>
        <v>0.18327864528318602</v>
      </c>
      <c r="H73" s="62">
        <f t="shared" si="49"/>
        <v>0.19544234083482948</v>
      </c>
      <c r="I73" s="62">
        <f t="shared" si="49"/>
        <v>0.20721551762949089</v>
      </c>
      <c r="J73" s="62">
        <f t="shared" si="49"/>
        <v>0.21957411965108883</v>
      </c>
      <c r="K73" s="62">
        <f t="shared" si="49"/>
        <v>0.23254725736847273</v>
      </c>
      <c r="L73" s="62">
        <f t="shared" si="49"/>
        <v>0.21752027497772</v>
      </c>
      <c r="M73" s="62">
        <f t="shared" si="49"/>
        <v>0.21752027497771997</v>
      </c>
      <c r="N73" s="62">
        <f t="shared" si="49"/>
        <v>0.21752027497771992</v>
      </c>
      <c r="O73" s="62">
        <f t="shared" si="49"/>
        <v>0.21752027497771997</v>
      </c>
      <c r="P73" s="62">
        <f t="shared" si="49"/>
        <v>0.21752027497771992</v>
      </c>
    </row>
    <row r="74" spans="1:17" x14ac:dyDescent="0.2">
      <c r="A74" t="s">
        <v>147</v>
      </c>
      <c r="F74" s="35">
        <f t="shared" ref="F74:P74" si="50">AVERAGE(E14:F14)/AVERAGE(E24:F24)</f>
        <v>1.6832895888013999</v>
      </c>
      <c r="G74" s="35">
        <f t="shared" si="50"/>
        <v>1.7289051106748015</v>
      </c>
      <c r="H74" s="35">
        <f t="shared" si="50"/>
        <v>1.7593323482571956</v>
      </c>
      <c r="I74" s="35">
        <f t="shared" si="50"/>
        <v>1.7593323482571952</v>
      </c>
      <c r="J74" s="35">
        <f t="shared" si="50"/>
        <v>1.759332348257195</v>
      </c>
      <c r="K74" s="35">
        <f t="shared" si="50"/>
        <v>1.7593323482571954</v>
      </c>
      <c r="L74" s="35">
        <f t="shared" si="50"/>
        <v>1.7593323482571954</v>
      </c>
      <c r="M74" s="35">
        <f t="shared" si="50"/>
        <v>1.7593323482571954</v>
      </c>
      <c r="N74" s="35">
        <f t="shared" si="50"/>
        <v>1.7593323482571954</v>
      </c>
      <c r="O74" s="35">
        <f t="shared" si="50"/>
        <v>1.7593323482571952</v>
      </c>
      <c r="P74" s="35">
        <f t="shared" si="50"/>
        <v>1.7593323482571954</v>
      </c>
    </row>
    <row r="75" spans="1:17" x14ac:dyDescent="0.2">
      <c r="A75" t="s">
        <v>148</v>
      </c>
      <c r="F75" s="35">
        <f t="shared" ref="F75:P75" si="51">F39/F114</f>
        <v>0.98933241569167241</v>
      </c>
      <c r="G75" s="35">
        <f t="shared" si="51"/>
        <v>0.98069560404805045</v>
      </c>
      <c r="H75" s="35">
        <f t="shared" si="51"/>
        <v>0.98189704685806223</v>
      </c>
      <c r="I75" s="35">
        <f t="shared" si="51"/>
        <v>0.98292558598623014</v>
      </c>
      <c r="J75" s="35">
        <f t="shared" si="51"/>
        <v>0.98388660947972517</v>
      </c>
      <c r="K75" s="35">
        <f t="shared" si="51"/>
        <v>0.98478552885069115</v>
      </c>
      <c r="L75" s="35">
        <f t="shared" si="51"/>
        <v>0.98373446549547661</v>
      </c>
      <c r="M75" s="35">
        <f t="shared" si="51"/>
        <v>0.98373446549547661</v>
      </c>
      <c r="N75" s="35">
        <f t="shared" si="51"/>
        <v>0.9837344654954765</v>
      </c>
      <c r="O75" s="35">
        <f t="shared" si="51"/>
        <v>0.9837344654954765</v>
      </c>
      <c r="P75" s="35">
        <f t="shared" si="51"/>
        <v>0.98373446549547661</v>
      </c>
    </row>
    <row r="76" spans="1:17" x14ac:dyDescent="0.2">
      <c r="A76" s="1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</row>
    <row r="77" spans="1:17" x14ac:dyDescent="0.2">
      <c r="A77" s="17" t="s">
        <v>43</v>
      </c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</row>
    <row r="78" spans="1:17" x14ac:dyDescent="0.2">
      <c r="A78" t="s">
        <v>149</v>
      </c>
      <c r="F78" s="60">
        <f t="shared" ref="F78:P78" si="52">F114/F28</f>
        <v>9.2290591504565297E-2</v>
      </c>
      <c r="G78" s="60">
        <f t="shared" si="52"/>
        <v>7.3349626323636299E-2</v>
      </c>
      <c r="H78" s="60">
        <f t="shared" si="52"/>
        <v>7.4512479247503344E-2</v>
      </c>
      <c r="I78" s="60">
        <f t="shared" si="52"/>
        <v>7.525874156630788E-2</v>
      </c>
      <c r="J78" s="60">
        <f t="shared" si="52"/>
        <v>7.5969653544792473E-2</v>
      </c>
      <c r="K78" s="60">
        <f t="shared" si="52"/>
        <v>7.6646889723570241E-2</v>
      </c>
      <c r="L78" s="60">
        <f t="shared" si="52"/>
        <v>7.585621234424901E-2</v>
      </c>
      <c r="M78" s="60">
        <f t="shared" si="52"/>
        <v>7.5856212344248997E-2</v>
      </c>
      <c r="N78" s="60">
        <f t="shared" si="52"/>
        <v>7.5856212344248983E-2</v>
      </c>
      <c r="O78" s="60">
        <f t="shared" si="52"/>
        <v>7.5856212344248997E-2</v>
      </c>
      <c r="P78" s="60">
        <f t="shared" si="52"/>
        <v>7.5856212344248983E-2</v>
      </c>
    </row>
    <row r="79" spans="1:17" x14ac:dyDescent="0.2">
      <c r="A79" t="s">
        <v>150</v>
      </c>
      <c r="F79" s="35">
        <f t="shared" ref="F79:P79" si="53">F28/AVERAGE(E14:F14)</f>
        <v>2.6185031185031185</v>
      </c>
      <c r="G79" s="35">
        <f t="shared" si="53"/>
        <v>2.4986991000406231</v>
      </c>
      <c r="H79" s="35">
        <f t="shared" si="53"/>
        <v>2.6229477640334733</v>
      </c>
      <c r="I79" s="35">
        <f t="shared" si="53"/>
        <v>2.7533747351717337</v>
      </c>
      <c r="J79" s="35">
        <f t="shared" si="53"/>
        <v>2.8902872318830006</v>
      </c>
      <c r="K79" s="35">
        <f t="shared" si="53"/>
        <v>3.0340077491358457</v>
      </c>
      <c r="L79" s="35">
        <f t="shared" si="53"/>
        <v>2.8675340918760117</v>
      </c>
      <c r="M79" s="35">
        <f t="shared" si="53"/>
        <v>2.8675340918760122</v>
      </c>
      <c r="N79" s="35">
        <f t="shared" si="53"/>
        <v>2.8675340918760117</v>
      </c>
      <c r="O79" s="35">
        <f t="shared" si="53"/>
        <v>2.8675340918760117</v>
      </c>
      <c r="P79" s="35">
        <f t="shared" si="53"/>
        <v>2.8675340918760117</v>
      </c>
    </row>
    <row r="80" spans="1:17" x14ac:dyDescent="0.2">
      <c r="A80" s="1"/>
      <c r="F80" s="31"/>
    </row>
    <row r="81" spans="1:16" x14ac:dyDescent="0.2">
      <c r="A81" s="17" t="s">
        <v>44</v>
      </c>
      <c r="F81" s="31"/>
    </row>
    <row r="82" spans="1:16" x14ac:dyDescent="0.2">
      <c r="A82" t="s">
        <v>132</v>
      </c>
      <c r="F82" s="60">
        <f>F30/F28</f>
        <v>0.40492258832870187</v>
      </c>
      <c r="G82" s="60">
        <f t="shared" ref="G82:P82" si="54">G30/G28</f>
        <v>0.37756955348199195</v>
      </c>
      <c r="H82" s="60">
        <f t="shared" si="54"/>
        <v>0.37756955348199189</v>
      </c>
      <c r="I82" s="60">
        <f t="shared" si="54"/>
        <v>0.377569553481992</v>
      </c>
      <c r="J82" s="60">
        <f t="shared" si="54"/>
        <v>0.37756955348199195</v>
      </c>
      <c r="K82" s="60">
        <f t="shared" si="54"/>
        <v>0.37756955348199195</v>
      </c>
      <c r="L82" s="60">
        <f t="shared" si="54"/>
        <v>0.377569553481992</v>
      </c>
      <c r="M82" s="60">
        <f t="shared" si="54"/>
        <v>0.37756955348199195</v>
      </c>
      <c r="N82" s="60">
        <f t="shared" si="54"/>
        <v>0.37756955348199195</v>
      </c>
      <c r="O82" s="60">
        <f t="shared" si="54"/>
        <v>0.37756955348199189</v>
      </c>
      <c r="P82" s="60">
        <f t="shared" si="54"/>
        <v>0.37756955348199195</v>
      </c>
    </row>
    <row r="83" spans="1:16" x14ac:dyDescent="0.2">
      <c r="A83" s="34" t="s">
        <v>37</v>
      </c>
      <c r="F83" s="60">
        <f>F31/F28</f>
        <v>0.22866216752679636</v>
      </c>
      <c r="G83" s="60">
        <f t="shared" ref="G83:P83" si="55">G31/G28</f>
        <v>0.22967948691655823</v>
      </c>
      <c r="H83" s="60">
        <f t="shared" si="55"/>
        <v>0.22967948691655823</v>
      </c>
      <c r="I83" s="60">
        <f t="shared" si="55"/>
        <v>0.22967948691655821</v>
      </c>
      <c r="J83" s="60">
        <f t="shared" si="55"/>
        <v>0.22967948691655823</v>
      </c>
      <c r="K83" s="60">
        <f t="shared" si="55"/>
        <v>0.22967948691655826</v>
      </c>
      <c r="L83" s="60">
        <f t="shared" si="55"/>
        <v>0.22967948691655823</v>
      </c>
      <c r="M83" s="60">
        <f t="shared" si="55"/>
        <v>0.22967948691655823</v>
      </c>
      <c r="N83" s="60">
        <f t="shared" si="55"/>
        <v>0.22967948691655823</v>
      </c>
      <c r="O83" s="60">
        <f t="shared" si="55"/>
        <v>0.22967948691655821</v>
      </c>
      <c r="P83" s="60">
        <f t="shared" si="55"/>
        <v>0.22967948691655823</v>
      </c>
    </row>
    <row r="84" spans="1:16" x14ac:dyDescent="0.2">
      <c r="A84" s="1" t="s">
        <v>45</v>
      </c>
      <c r="F84" s="62">
        <f>F34/F28</f>
        <v>0.14847161572052403</v>
      </c>
      <c r="G84" s="62">
        <f t="shared" ref="G84:P84" si="56">G34/G28</f>
        <v>0.12060490263125845</v>
      </c>
      <c r="H84" s="62">
        <f t="shared" si="56"/>
        <v>0.12248047186330209</v>
      </c>
      <c r="I84" s="62">
        <f t="shared" si="56"/>
        <v>0.12368412076459971</v>
      </c>
      <c r="J84" s="62">
        <f t="shared" si="56"/>
        <v>0.12483075298796195</v>
      </c>
      <c r="K84" s="62">
        <f t="shared" si="56"/>
        <v>0.12592306940534545</v>
      </c>
      <c r="L84" s="62">
        <f t="shared" si="56"/>
        <v>0.12464778330966607</v>
      </c>
      <c r="M84" s="62">
        <f t="shared" si="56"/>
        <v>0.12464778330966603</v>
      </c>
      <c r="N84" s="62">
        <f t="shared" si="56"/>
        <v>0.12464778330966601</v>
      </c>
      <c r="O84" s="62">
        <f t="shared" si="56"/>
        <v>0.124647783309666</v>
      </c>
      <c r="P84" s="62">
        <f t="shared" si="56"/>
        <v>0.12464778330966601</v>
      </c>
    </row>
    <row r="85" spans="1:16" x14ac:dyDescent="0.2">
      <c r="A85" s="59" t="s">
        <v>160</v>
      </c>
      <c r="F85" s="62">
        <f>F35/F28</f>
        <v>1.5879317189360857E-3</v>
      </c>
      <c r="G85" s="62">
        <f t="shared" ref="G85:P85" si="57">G35/G28</f>
        <v>2.2838229507726108E-3</v>
      </c>
      <c r="H85" s="62">
        <f t="shared" si="57"/>
        <v>2.1756385811405794E-3</v>
      </c>
      <c r="I85" s="62">
        <f t="shared" si="57"/>
        <v>2.0725788897716863E-3</v>
      </c>
      <c r="J85" s="62">
        <f t="shared" si="57"/>
        <v>1.9744011213826125E-3</v>
      </c>
      <c r="K85" s="62">
        <f t="shared" si="57"/>
        <v>1.8808740199734188E-3</v>
      </c>
      <c r="L85" s="62">
        <f t="shared" si="57"/>
        <v>1.990067482690067E-3</v>
      </c>
      <c r="M85" s="62">
        <f t="shared" si="57"/>
        <v>1.990067482690067E-3</v>
      </c>
      <c r="N85" s="62">
        <f t="shared" si="57"/>
        <v>1.990067482690067E-3</v>
      </c>
      <c r="O85" s="62">
        <f t="shared" si="57"/>
        <v>1.990067482690067E-3</v>
      </c>
      <c r="P85" s="62">
        <f t="shared" si="57"/>
        <v>1.990067482690067E-3</v>
      </c>
    </row>
    <row r="86" spans="1:16" x14ac:dyDescent="0.2">
      <c r="A86" s="59" t="s">
        <v>130</v>
      </c>
      <c r="F86" s="60">
        <f>F38/F37</f>
        <v>0.38005390835579517</v>
      </c>
      <c r="G86" s="60">
        <f t="shared" ref="G86:P86" si="58">G38/G37</f>
        <v>0.38</v>
      </c>
      <c r="H86" s="60">
        <f t="shared" si="58"/>
        <v>0.38</v>
      </c>
      <c r="I86" s="60">
        <f t="shared" si="58"/>
        <v>0.38</v>
      </c>
      <c r="J86" s="60">
        <f t="shared" si="58"/>
        <v>0.38</v>
      </c>
      <c r="K86" s="60">
        <f t="shared" si="58"/>
        <v>0.38</v>
      </c>
      <c r="L86" s="60">
        <f t="shared" si="58"/>
        <v>0.38</v>
      </c>
      <c r="M86" s="60">
        <f t="shared" si="58"/>
        <v>0.38</v>
      </c>
      <c r="N86" s="60">
        <f t="shared" si="58"/>
        <v>0.38</v>
      </c>
      <c r="O86" s="60">
        <f t="shared" si="58"/>
        <v>0.38</v>
      </c>
      <c r="P86" s="60">
        <f t="shared" si="58"/>
        <v>0.38</v>
      </c>
    </row>
    <row r="87" spans="1:16" x14ac:dyDescent="0.2">
      <c r="A87" s="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</row>
    <row r="88" spans="1:16" x14ac:dyDescent="0.2">
      <c r="A88" s="17" t="s">
        <v>166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">
      <c r="A89" t="s">
        <v>135</v>
      </c>
      <c r="F89" s="56">
        <f>F28/AVERAGE(E6:F6)</f>
        <v>279.88888888888891</v>
      </c>
      <c r="G89" s="56">
        <f t="shared" ref="G89:P89" si="59">G28/AVERAGE(F6:G6)</f>
        <v>248.21480181518839</v>
      </c>
      <c r="H89" s="56">
        <f t="shared" si="59"/>
        <v>206.85415330122521</v>
      </c>
      <c r="I89" s="56">
        <f t="shared" si="59"/>
        <v>217.14004654408572</v>
      </c>
      <c r="J89" s="56">
        <f t="shared" si="59"/>
        <v>227.93740933259016</v>
      </c>
      <c r="K89" s="56">
        <f t="shared" si="59"/>
        <v>239.27167466414028</v>
      </c>
      <c r="L89" s="56">
        <f t="shared" si="59"/>
        <v>226.14302304109489</v>
      </c>
      <c r="M89" s="56">
        <f t="shared" si="59"/>
        <v>226.14302304109486</v>
      </c>
      <c r="N89" s="56">
        <f t="shared" si="59"/>
        <v>226.14302304109486</v>
      </c>
      <c r="O89" s="56">
        <f t="shared" si="59"/>
        <v>226.14302304109489</v>
      </c>
      <c r="P89" s="56">
        <f t="shared" si="59"/>
        <v>226.14302304109489</v>
      </c>
    </row>
    <row r="90" spans="1:16" x14ac:dyDescent="0.2">
      <c r="A90" s="1" t="s">
        <v>47</v>
      </c>
      <c r="F90" s="56">
        <f>F29/AVERAGE(E7:F7)</f>
        <v>5.3345195729537362</v>
      </c>
      <c r="G90" s="56">
        <f t="shared" ref="G90:P90" si="60">G29/AVERAGE(F7:G7)</f>
        <v>4.7496129520103656</v>
      </c>
      <c r="H90" s="56">
        <f t="shared" si="60"/>
        <v>4.3788763911964868</v>
      </c>
      <c r="I90" s="56">
        <f t="shared" si="60"/>
        <v>4.5966175115207184</v>
      </c>
      <c r="J90" s="56">
        <f t="shared" si="60"/>
        <v>4.8251858832319456</v>
      </c>
      <c r="K90" s="56">
        <f t="shared" si="60"/>
        <v>5.065119895093952</v>
      </c>
      <c r="L90" s="56">
        <f t="shared" si="60"/>
        <v>4.7872006862072896</v>
      </c>
      <c r="M90" s="56">
        <f t="shared" si="60"/>
        <v>4.7872006862072904</v>
      </c>
      <c r="N90" s="56">
        <f t="shared" si="60"/>
        <v>4.7872006862072904</v>
      </c>
      <c r="O90" s="56">
        <f t="shared" si="60"/>
        <v>4.7872006862072913</v>
      </c>
      <c r="P90" s="56">
        <f t="shared" si="60"/>
        <v>4.7872006862072913</v>
      </c>
    </row>
    <row r="91" spans="1:16" x14ac:dyDescent="0.2">
      <c r="A91" t="s">
        <v>134</v>
      </c>
      <c r="F91" s="56">
        <f t="shared" ref="F91:P91" si="61">F115/AVERAGE(E17:F17)</f>
        <v>11.465201465201465</v>
      </c>
      <c r="G91" s="56">
        <f t="shared" si="61"/>
        <v>11.633074065079185</v>
      </c>
      <c r="H91" s="56">
        <f t="shared" si="61"/>
        <v>10.965986211690888</v>
      </c>
      <c r="I91" s="56">
        <f t="shared" si="61"/>
        <v>11.49115823598931</v>
      </c>
      <c r="J91" s="56">
        <f t="shared" si="61"/>
        <v>12.042444618108748</v>
      </c>
      <c r="K91" s="56">
        <f t="shared" si="61"/>
        <v>12.62114390338834</v>
      </c>
      <c r="L91" s="56">
        <f t="shared" si="61"/>
        <v>11.663952214644596</v>
      </c>
      <c r="M91" s="56">
        <f t="shared" si="61"/>
        <v>11.663952214644594</v>
      </c>
      <c r="N91" s="56">
        <f t="shared" si="61"/>
        <v>11.663952214644596</v>
      </c>
      <c r="O91" s="56">
        <f t="shared" si="61"/>
        <v>11.663952214644594</v>
      </c>
      <c r="P91" s="56">
        <f t="shared" si="61"/>
        <v>11.663952214644596</v>
      </c>
    </row>
    <row r="92" spans="1:16" x14ac:dyDescent="0.2">
      <c r="A92" t="s">
        <v>168</v>
      </c>
      <c r="F92" s="56">
        <f>F28/AVERAGE(E12:F12)</f>
        <v>5.4055793991416312</v>
      </c>
      <c r="G92" s="56">
        <f t="shared" ref="G92:P92" si="62">G28/AVERAGE(F12:G12)</f>
        <v>5.5412965292719631</v>
      </c>
      <c r="H92" s="56">
        <f t="shared" si="62"/>
        <v>6.1250568874242228</v>
      </c>
      <c r="I92" s="56">
        <f t="shared" si="62"/>
        <v>6.4296274278027328</v>
      </c>
      <c r="J92" s="56">
        <f t="shared" si="62"/>
        <v>6.7493428420610133</v>
      </c>
      <c r="K92" s="56">
        <f t="shared" si="62"/>
        <v>7.0849562142122071</v>
      </c>
      <c r="L92" s="56">
        <f t="shared" si="62"/>
        <v>6.6962101495913675</v>
      </c>
      <c r="M92" s="56">
        <f t="shared" si="62"/>
        <v>6.6962101495913684</v>
      </c>
      <c r="N92" s="56">
        <f t="shared" si="62"/>
        <v>6.6962101495913684</v>
      </c>
      <c r="O92" s="56">
        <f t="shared" si="62"/>
        <v>6.6962101495913684</v>
      </c>
      <c r="P92" s="56">
        <f t="shared" si="62"/>
        <v>6.6962101495913684</v>
      </c>
    </row>
    <row r="93" spans="1:16" x14ac:dyDescent="0.2">
      <c r="A93" s="1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</row>
    <row r="94" spans="1:16" x14ac:dyDescent="0.2">
      <c r="A94" s="17" t="s">
        <v>167</v>
      </c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</row>
    <row r="95" spans="1:16" x14ac:dyDescent="0.2">
      <c r="A95" s="1" t="s">
        <v>46</v>
      </c>
      <c r="F95" s="56">
        <f t="shared" ref="F95:P97" si="63">365/F89</f>
        <v>1.3040889241762603</v>
      </c>
      <c r="G95" s="56">
        <f t="shared" si="63"/>
        <v>1.4705005395760626</v>
      </c>
      <c r="H95" s="56">
        <f t="shared" si="63"/>
        <v>1.7645282638752706</v>
      </c>
      <c r="I95" s="56">
        <f t="shared" si="63"/>
        <v>1.6809428099938002</v>
      </c>
      <c r="J95" s="56">
        <f t="shared" si="63"/>
        <v>1.6013167872212577</v>
      </c>
      <c r="K95" s="56">
        <f t="shared" si="63"/>
        <v>1.5254626378669411</v>
      </c>
      <c r="L95" s="56">
        <f t="shared" si="63"/>
        <v>1.6140228210077121</v>
      </c>
      <c r="M95" s="56">
        <f t="shared" si="63"/>
        <v>1.6140228210077123</v>
      </c>
      <c r="N95" s="56">
        <f t="shared" si="63"/>
        <v>1.6140228210077123</v>
      </c>
      <c r="O95" s="56">
        <f t="shared" si="63"/>
        <v>1.6140228210077121</v>
      </c>
      <c r="P95" s="56">
        <f t="shared" si="63"/>
        <v>1.6140228210077121</v>
      </c>
    </row>
    <row r="96" spans="1:16" x14ac:dyDescent="0.2">
      <c r="A96" s="1" t="s">
        <v>48</v>
      </c>
      <c r="F96" s="56">
        <f t="shared" si="63"/>
        <v>68.422281521014014</v>
      </c>
      <c r="G96" s="56">
        <f t="shared" si="63"/>
        <v>76.848367159161185</v>
      </c>
      <c r="H96" s="56">
        <f t="shared" si="63"/>
        <v>83.354716459641182</v>
      </c>
      <c r="I96" s="56">
        <f t="shared" si="63"/>
        <v>79.406215349696453</v>
      </c>
      <c r="J96" s="56">
        <f t="shared" si="63"/>
        <v>75.644754177951015</v>
      </c>
      <c r="K96" s="56">
        <f t="shared" si="63"/>
        <v>72.061472889030142</v>
      </c>
      <c r="L96" s="56">
        <f t="shared" si="63"/>
        <v>76.244975701901296</v>
      </c>
      <c r="M96" s="56">
        <f t="shared" si="63"/>
        <v>76.244975701901282</v>
      </c>
      <c r="N96" s="56">
        <f t="shared" si="63"/>
        <v>76.244975701901282</v>
      </c>
      <c r="O96" s="56">
        <f t="shared" si="63"/>
        <v>76.244975701901268</v>
      </c>
      <c r="P96" s="56">
        <f t="shared" si="63"/>
        <v>76.244975701901268</v>
      </c>
    </row>
    <row r="97" spans="1:16" x14ac:dyDescent="0.2">
      <c r="A97" t="s">
        <v>136</v>
      </c>
      <c r="F97" s="56">
        <f t="shared" si="63"/>
        <v>31.835463258785943</v>
      </c>
      <c r="G97" s="56">
        <f t="shared" si="63"/>
        <v>31.376057434008565</v>
      </c>
      <c r="H97" s="56">
        <f t="shared" si="63"/>
        <v>33.28474000914499</v>
      </c>
      <c r="I97" s="56">
        <f t="shared" si="63"/>
        <v>31.76355181123968</v>
      </c>
      <c r="J97" s="56">
        <f t="shared" si="63"/>
        <v>30.309460543512373</v>
      </c>
      <c r="K97" s="56">
        <f t="shared" si="63"/>
        <v>28.919724138634546</v>
      </c>
      <c r="L97" s="56">
        <f t="shared" si="63"/>
        <v>31.292995142909344</v>
      </c>
      <c r="M97" s="56">
        <f t="shared" si="63"/>
        <v>31.292995142909348</v>
      </c>
      <c r="N97" s="56">
        <f t="shared" si="63"/>
        <v>31.292995142909344</v>
      </c>
      <c r="O97" s="56">
        <f t="shared" si="63"/>
        <v>31.292995142909348</v>
      </c>
      <c r="P97" s="56">
        <f t="shared" si="63"/>
        <v>31.292995142909344</v>
      </c>
    </row>
    <row r="98" spans="1:16" x14ac:dyDescent="0.2">
      <c r="A98" t="s">
        <v>137</v>
      </c>
      <c r="F98" s="56">
        <f>F95+F96-F97</f>
        <v>37.890907186404327</v>
      </c>
      <c r="G98" s="56">
        <f t="shared" ref="G98:P98" si="64">G95+G96-G97</f>
        <v>46.942810264728685</v>
      </c>
      <c r="H98" s="56">
        <f t="shared" si="64"/>
        <v>51.834504714371469</v>
      </c>
      <c r="I98" s="56">
        <f t="shared" si="64"/>
        <v>49.323606348450568</v>
      </c>
      <c r="J98" s="56">
        <f t="shared" si="64"/>
        <v>46.936610421659893</v>
      </c>
      <c r="K98" s="56">
        <f t="shared" si="64"/>
        <v>44.66721138826253</v>
      </c>
      <c r="L98" s="56">
        <f t="shared" si="64"/>
        <v>46.566003379999657</v>
      </c>
      <c r="M98" s="56">
        <f t="shared" si="64"/>
        <v>46.566003379999643</v>
      </c>
      <c r="N98" s="56">
        <f t="shared" si="64"/>
        <v>46.566003379999643</v>
      </c>
      <c r="O98" s="56">
        <f t="shared" si="64"/>
        <v>46.566003379999628</v>
      </c>
      <c r="P98" s="56">
        <f t="shared" si="64"/>
        <v>46.566003379999628</v>
      </c>
    </row>
    <row r="99" spans="1:16" x14ac:dyDescent="0.2">
      <c r="F99" s="31"/>
    </row>
    <row r="100" spans="1:16" x14ac:dyDescent="0.2">
      <c r="A100" s="58" t="s">
        <v>138</v>
      </c>
      <c r="F100" s="1"/>
    </row>
    <row r="101" spans="1:16" x14ac:dyDescent="0.2">
      <c r="A101" s="59" t="s">
        <v>139</v>
      </c>
      <c r="F101" s="35">
        <f>F9/F20</f>
        <v>1.7308868501529051</v>
      </c>
      <c r="G101" s="35">
        <f t="shared" ref="G101:P101" si="65">G9/G20</f>
        <v>1.740682944788825</v>
      </c>
      <c r="H101" s="35">
        <f t="shared" si="65"/>
        <v>1.740682944788825</v>
      </c>
      <c r="I101" s="35">
        <f t="shared" si="65"/>
        <v>1.7406829447888252</v>
      </c>
      <c r="J101" s="35">
        <f t="shared" si="65"/>
        <v>1.7406829447888252</v>
      </c>
      <c r="K101" s="35">
        <f t="shared" si="65"/>
        <v>1.740682944788825</v>
      </c>
      <c r="L101" s="35">
        <f t="shared" si="65"/>
        <v>1.7406829447888252</v>
      </c>
      <c r="M101" s="35">
        <f t="shared" si="65"/>
        <v>1.740682944788825</v>
      </c>
      <c r="N101" s="35">
        <f t="shared" si="65"/>
        <v>1.740682944788825</v>
      </c>
      <c r="O101" s="35">
        <f t="shared" si="65"/>
        <v>1.7406829447888248</v>
      </c>
      <c r="P101" s="35">
        <f t="shared" si="65"/>
        <v>1.7406829447888248</v>
      </c>
    </row>
    <row r="102" spans="1:16" x14ac:dyDescent="0.2">
      <c r="A102" s="59" t="s">
        <v>140</v>
      </c>
      <c r="F102" s="35">
        <f>(F5+F6)/F20</f>
        <v>0.61467889908256879</v>
      </c>
      <c r="G102" s="35">
        <f t="shared" ref="G102:P102" si="66">(G5+G6)/G20</f>
        <v>0.3640712722956021</v>
      </c>
      <c r="H102" s="35">
        <f t="shared" si="66"/>
        <v>0.3640712722956021</v>
      </c>
      <c r="I102" s="35">
        <f t="shared" si="66"/>
        <v>0.36407127229560204</v>
      </c>
      <c r="J102" s="35">
        <f t="shared" si="66"/>
        <v>0.3640712722956021</v>
      </c>
      <c r="K102" s="35">
        <f t="shared" si="66"/>
        <v>0.3640712722956021</v>
      </c>
      <c r="L102" s="35">
        <f t="shared" si="66"/>
        <v>0.3640712722956021</v>
      </c>
      <c r="M102" s="35">
        <f t="shared" si="66"/>
        <v>0.36407127229560216</v>
      </c>
      <c r="N102" s="35">
        <f t="shared" si="66"/>
        <v>0.3640712722956021</v>
      </c>
      <c r="O102" s="35">
        <f t="shared" si="66"/>
        <v>0.36407127229560204</v>
      </c>
      <c r="P102" s="35">
        <f t="shared" si="66"/>
        <v>0.36407127229560204</v>
      </c>
    </row>
    <row r="103" spans="1:16" x14ac:dyDescent="0.2">
      <c r="A103" s="59" t="s">
        <v>141</v>
      </c>
      <c r="F103" s="35">
        <f>F54/AVERAGE(E20:F20)</f>
        <v>1.1107266435986158</v>
      </c>
      <c r="G103" s="35">
        <f t="shared" ref="G103:P103" si="67">G54/AVERAGE(F20:G20)</f>
        <v>0.54061102221112756</v>
      </c>
      <c r="H103" s="35">
        <f t="shared" si="67"/>
        <v>0.81292710671465995</v>
      </c>
      <c r="I103" s="35">
        <f t="shared" si="67"/>
        <v>0.85169734625602789</v>
      </c>
      <c r="J103" s="35">
        <f t="shared" si="67"/>
        <v>0.89239544916662494</v>
      </c>
      <c r="K103" s="35">
        <f t="shared" si="67"/>
        <v>0.93511727910926234</v>
      </c>
      <c r="L103" s="35">
        <f t="shared" si="67"/>
        <v>0.91294251297000628</v>
      </c>
      <c r="M103" s="35">
        <f t="shared" si="67"/>
        <v>0.91294251297000617</v>
      </c>
      <c r="N103" s="35">
        <f t="shared" si="67"/>
        <v>0.91294251297000584</v>
      </c>
      <c r="O103" s="35">
        <f t="shared" si="67"/>
        <v>0.91294251297000606</v>
      </c>
      <c r="P103" s="35">
        <f t="shared" si="67"/>
        <v>0.91294251297000606</v>
      </c>
    </row>
    <row r="104" spans="1:16" x14ac:dyDescent="0.2">
      <c r="A104" s="59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1:16" x14ac:dyDescent="0.2">
      <c r="A105" s="59" t="s">
        <v>142</v>
      </c>
      <c r="F105" s="35">
        <f>F23/F24</f>
        <v>0.69423929098966031</v>
      </c>
      <c r="G105" s="35">
        <f t="shared" ref="G105:P105" si="68">G23/G24</f>
        <v>0.75933234825719531</v>
      </c>
      <c r="H105" s="35">
        <f t="shared" si="68"/>
        <v>0.75933234825719542</v>
      </c>
      <c r="I105" s="35">
        <f t="shared" si="68"/>
        <v>0.75933234825719531</v>
      </c>
      <c r="J105" s="35">
        <f t="shared" si="68"/>
        <v>0.75933234825719542</v>
      </c>
      <c r="K105" s="35">
        <f t="shared" si="68"/>
        <v>0.75933234825719509</v>
      </c>
      <c r="L105" s="35">
        <f t="shared" si="68"/>
        <v>0.75933234825719531</v>
      </c>
      <c r="M105" s="35">
        <f t="shared" si="68"/>
        <v>0.75933234825719531</v>
      </c>
      <c r="N105" s="35">
        <f t="shared" si="68"/>
        <v>0.75933234825719531</v>
      </c>
      <c r="O105" s="35">
        <f t="shared" si="68"/>
        <v>0.75933234825719531</v>
      </c>
      <c r="P105" s="35">
        <f t="shared" si="68"/>
        <v>0.75933234825719542</v>
      </c>
    </row>
    <row r="106" spans="1:16" x14ac:dyDescent="0.2">
      <c r="A106" s="59" t="s">
        <v>143</v>
      </c>
      <c r="F106" s="35">
        <f>F21/F24</f>
        <v>0.11964549483013294</v>
      </c>
      <c r="G106" s="35">
        <f t="shared" ref="G106:P106" si="69">G21/G24</f>
        <v>0.12424230183856393</v>
      </c>
      <c r="H106" s="35">
        <f t="shared" si="69"/>
        <v>0.12424230183856393</v>
      </c>
      <c r="I106" s="35">
        <f t="shared" si="69"/>
        <v>0.12424230183856391</v>
      </c>
      <c r="J106" s="35">
        <f t="shared" si="69"/>
        <v>0.12424230183856393</v>
      </c>
      <c r="K106" s="35">
        <f t="shared" si="69"/>
        <v>0.1242423018385639</v>
      </c>
      <c r="L106" s="35">
        <f t="shared" si="69"/>
        <v>0.12424230183856393</v>
      </c>
      <c r="M106" s="35">
        <f t="shared" si="69"/>
        <v>0.12424230183856391</v>
      </c>
      <c r="N106" s="35">
        <f t="shared" si="69"/>
        <v>0.12424230183856391</v>
      </c>
      <c r="O106" s="35">
        <f t="shared" si="69"/>
        <v>0.12424230183856393</v>
      </c>
      <c r="P106" s="35">
        <f t="shared" si="69"/>
        <v>0.12424230183856391</v>
      </c>
    </row>
    <row r="107" spans="1:16" x14ac:dyDescent="0.2">
      <c r="A107" s="59" t="s">
        <v>144</v>
      </c>
      <c r="F107" s="35">
        <f>F21/(F14-F13)</f>
        <v>7.2710951526032311E-2</v>
      </c>
      <c r="G107" s="35">
        <f t="shared" ref="G107:P107" si="70">G21/(G14-G13)</f>
        <v>7.3806146078811766E-2</v>
      </c>
      <c r="H107" s="35">
        <f t="shared" si="70"/>
        <v>7.3806146078811766E-2</v>
      </c>
      <c r="I107" s="35">
        <f t="shared" si="70"/>
        <v>7.3806146078811752E-2</v>
      </c>
      <c r="J107" s="35">
        <f t="shared" si="70"/>
        <v>7.3806146078811752E-2</v>
      </c>
      <c r="K107" s="35">
        <f t="shared" si="70"/>
        <v>7.3806146078811752E-2</v>
      </c>
      <c r="L107" s="35">
        <f t="shared" si="70"/>
        <v>7.3806146078811752E-2</v>
      </c>
      <c r="M107" s="35">
        <f t="shared" si="70"/>
        <v>7.3806146078811752E-2</v>
      </c>
      <c r="N107" s="35">
        <f t="shared" si="70"/>
        <v>7.3806146078811752E-2</v>
      </c>
      <c r="O107" s="35">
        <f t="shared" si="70"/>
        <v>7.3806146078811752E-2</v>
      </c>
      <c r="P107" s="35">
        <f t="shared" si="70"/>
        <v>7.3806146078811752E-2</v>
      </c>
    </row>
    <row r="108" spans="1:16" x14ac:dyDescent="0.2">
      <c r="A108" s="59"/>
      <c r="F108" s="35"/>
    </row>
    <row r="109" spans="1:16" x14ac:dyDescent="0.2">
      <c r="A109" s="59" t="s">
        <v>145</v>
      </c>
      <c r="F109" s="35">
        <f>F32/F35</f>
        <v>111</v>
      </c>
      <c r="G109" s="35">
        <f t="shared" ref="G109:P109" si="71">G32/G35</f>
        <v>64.755486634987577</v>
      </c>
      <c r="H109" s="35">
        <f t="shared" si="71"/>
        <v>67.975475268462205</v>
      </c>
      <c r="I109" s="35">
        <f t="shared" si="71"/>
        <v>71.355578933704777</v>
      </c>
      <c r="J109" s="35">
        <f t="shared" si="71"/>
        <v>74.903759405216917</v>
      </c>
      <c r="K109" s="35">
        <f t="shared" si="71"/>
        <v>78.628374359450049</v>
      </c>
      <c r="L109" s="35">
        <f t="shared" si="71"/>
        <v>74.314096306685983</v>
      </c>
      <c r="M109" s="35">
        <f t="shared" si="71"/>
        <v>74.314096306685954</v>
      </c>
      <c r="N109" s="35">
        <f t="shared" si="71"/>
        <v>74.314096306685954</v>
      </c>
      <c r="O109" s="35">
        <f t="shared" si="71"/>
        <v>74.314096306685954</v>
      </c>
      <c r="P109" s="35">
        <f t="shared" si="71"/>
        <v>74.31409630668594</v>
      </c>
    </row>
    <row r="110" spans="1:16" x14ac:dyDescent="0.2">
      <c r="A110" s="1"/>
      <c r="F110" s="65"/>
    </row>
    <row r="111" spans="1:16" x14ac:dyDescent="0.2">
      <c r="A111" s="17" t="s">
        <v>188</v>
      </c>
      <c r="F111" s="1"/>
    </row>
    <row r="112" spans="1:16" x14ac:dyDescent="0.2">
      <c r="A112" s="1" t="s">
        <v>49</v>
      </c>
      <c r="F112" s="60">
        <f>(F28-E28)/E28</f>
        <v>0.30248190279214066</v>
      </c>
      <c r="G112" s="60">
        <f t="shared" ref="G112:P112" si="72">(G28-F28)/F28</f>
        <v>0.24190326321252237</v>
      </c>
      <c r="H112" s="60">
        <f t="shared" si="72"/>
        <v>0.24190326321252237</v>
      </c>
      <c r="I112" s="60">
        <f t="shared" si="72"/>
        <v>0.24190326321252231</v>
      </c>
      <c r="J112" s="60">
        <f t="shared" si="72"/>
        <v>0.24190326321252242</v>
      </c>
      <c r="K112" s="60">
        <f t="shared" si="72"/>
        <v>0.2419032632125224</v>
      </c>
      <c r="L112" s="60">
        <f t="shared" si="72"/>
        <v>5.0000000000000065E-2</v>
      </c>
      <c r="M112" s="60">
        <f t="shared" si="72"/>
        <v>4.9999999999999996E-2</v>
      </c>
      <c r="N112" s="60">
        <f t="shared" si="72"/>
        <v>4.9999999999999989E-2</v>
      </c>
      <c r="O112" s="60">
        <f t="shared" si="72"/>
        <v>5.0000000000000072E-2</v>
      </c>
      <c r="P112" s="60">
        <f t="shared" si="72"/>
        <v>5.0000000000000051E-2</v>
      </c>
    </row>
    <row r="113" spans="1:16" x14ac:dyDescent="0.2">
      <c r="A113" t="s">
        <v>129</v>
      </c>
      <c r="F113" s="60">
        <v>0.38</v>
      </c>
      <c r="G113" s="60">
        <v>0.38</v>
      </c>
      <c r="H113" s="60">
        <v>0.38</v>
      </c>
      <c r="I113" s="60">
        <v>0.38</v>
      </c>
      <c r="J113" s="60">
        <v>0.38</v>
      </c>
      <c r="K113" s="60">
        <v>0.38</v>
      </c>
      <c r="L113" s="60">
        <v>0.38</v>
      </c>
      <c r="M113" s="60">
        <v>0.38</v>
      </c>
      <c r="N113" s="60">
        <v>0.38</v>
      </c>
      <c r="O113" s="60">
        <v>0.38</v>
      </c>
      <c r="P113" s="60">
        <v>0.38</v>
      </c>
    </row>
    <row r="114" spans="1:16" x14ac:dyDescent="0.2">
      <c r="A114" t="s">
        <v>131</v>
      </c>
      <c r="F114" s="64">
        <f t="shared" ref="F114:P114" si="73">F39+(F35*(1-F113))</f>
        <v>232.48</v>
      </c>
      <c r="G114" s="64">
        <f t="shared" si="73"/>
        <v>229.46362038230575</v>
      </c>
      <c r="H114" s="64">
        <f t="shared" si="73"/>
        <v>289.48943446289837</v>
      </c>
      <c r="I114" s="64">
        <f t="shared" si="73"/>
        <v>363.11854054893712</v>
      </c>
      <c r="J114" s="64">
        <f t="shared" si="73"/>
        <v>455.21795794994375</v>
      </c>
      <c r="K114" s="64">
        <f t="shared" si="73"/>
        <v>570.3763961653068</v>
      </c>
      <c r="L114" s="64">
        <f t="shared" si="73"/>
        <v>592.71710618253144</v>
      </c>
      <c r="M114" s="64">
        <f t="shared" si="73"/>
        <v>622.35296149165788</v>
      </c>
      <c r="N114" s="64">
        <f t="shared" si="73"/>
        <v>653.47060956624068</v>
      </c>
      <c r="O114" s="64">
        <f t="shared" si="73"/>
        <v>686.14414004455284</v>
      </c>
      <c r="P114" s="64">
        <f t="shared" si="73"/>
        <v>720.45134704678037</v>
      </c>
    </row>
    <row r="115" spans="1:16" x14ac:dyDescent="0.2">
      <c r="A115" t="s">
        <v>133</v>
      </c>
      <c r="F115" s="64">
        <f>F7+F29-E7</f>
        <v>1565</v>
      </c>
      <c r="G115" s="64">
        <f t="shared" ref="G115:P115" si="74">G7+G29-F7</f>
        <v>2139.1163038873501</v>
      </c>
      <c r="H115" s="64">
        <f t="shared" si="74"/>
        <v>2510.8363739806832</v>
      </c>
      <c r="I115" s="64">
        <f t="shared" si="74"/>
        <v>3112.7669596619467</v>
      </c>
      <c r="J115" s="64">
        <f t="shared" si="74"/>
        <v>3859.3089588386547</v>
      </c>
      <c r="K115" s="64">
        <f t="shared" si="74"/>
        <v>4785.2617166616192</v>
      </c>
      <c r="L115" s="64">
        <f t="shared" si="74"/>
        <v>4913.0377759730409</v>
      </c>
      <c r="M115" s="64">
        <f t="shared" si="74"/>
        <v>5158.6896647716922</v>
      </c>
      <c r="N115" s="64">
        <f t="shared" si="74"/>
        <v>5416.6241480102772</v>
      </c>
      <c r="O115" s="64">
        <f t="shared" si="74"/>
        <v>5687.4553554107915</v>
      </c>
      <c r="P115" s="64">
        <f t="shared" si="74"/>
        <v>5971.8281231813316</v>
      </c>
    </row>
    <row r="116" spans="1:16" x14ac:dyDescent="0.2">
      <c r="A116" t="s">
        <v>193</v>
      </c>
      <c r="F116" s="47">
        <f>F33/(AVERAGE(E10:F10)+AVERAGE(E13:F13))</f>
        <v>0.10550113036925396</v>
      </c>
      <c r="G116" s="47">
        <f t="shared" ref="G116:P116" si="75">G33/(AVERAGE(F10:G10)+AVERAGE(F13:G13))</f>
        <v>0.10277522249298689</v>
      </c>
      <c r="H116" s="47">
        <f t="shared" si="75"/>
        <v>0.10161221710326832</v>
      </c>
      <c r="I116" s="47">
        <f t="shared" si="75"/>
        <v>0.10161221710326832</v>
      </c>
      <c r="J116" s="47">
        <f t="shared" si="75"/>
        <v>0.10161221710326833</v>
      </c>
      <c r="K116" s="47">
        <f t="shared" si="75"/>
        <v>0.10161221710326833</v>
      </c>
      <c r="L116" s="47">
        <f t="shared" si="75"/>
        <v>0.10161221710326832</v>
      </c>
      <c r="M116" s="47">
        <f t="shared" si="75"/>
        <v>0.10161221710326832</v>
      </c>
      <c r="N116" s="47">
        <f t="shared" si="75"/>
        <v>0.10161221710326833</v>
      </c>
      <c r="O116" s="47">
        <f t="shared" si="75"/>
        <v>0.10161221710326832</v>
      </c>
      <c r="P116" s="47">
        <f t="shared" si="75"/>
        <v>0.10161221710326832</v>
      </c>
    </row>
    <row r="117" spans="1:16" x14ac:dyDescent="0.2">
      <c r="A117" s="1" t="s">
        <v>52</v>
      </c>
      <c r="F117" s="47">
        <f>F35/AVERAGE(E21:F21)</f>
        <v>8.0808080808080815E-2</v>
      </c>
      <c r="G117" s="47">
        <f t="shared" ref="G117:P117" si="76">G35/AVERAGE(F21:G21)</f>
        <v>8.0808080808080815E-2</v>
      </c>
      <c r="H117" s="47">
        <f t="shared" si="76"/>
        <v>8.0808080808080815E-2</v>
      </c>
      <c r="I117" s="47">
        <f t="shared" si="76"/>
        <v>8.0808080808080815E-2</v>
      </c>
      <c r="J117" s="47">
        <f t="shared" si="76"/>
        <v>8.0808080808080815E-2</v>
      </c>
      <c r="K117" s="47">
        <f t="shared" si="76"/>
        <v>8.0808080808080815E-2</v>
      </c>
      <c r="L117" s="47">
        <f t="shared" si="76"/>
        <v>8.0808080808080815E-2</v>
      </c>
      <c r="M117" s="47">
        <f t="shared" si="76"/>
        <v>8.0808080808080815E-2</v>
      </c>
      <c r="N117" s="47">
        <f t="shared" si="76"/>
        <v>8.0808080808080801E-2</v>
      </c>
      <c r="O117" s="47">
        <f t="shared" si="76"/>
        <v>8.0808080808080815E-2</v>
      </c>
      <c r="P117" s="47">
        <f t="shared" si="76"/>
        <v>8.0808080808080815E-2</v>
      </c>
    </row>
  </sheetData>
  <phoneticPr fontId="6" type="noConversion"/>
  <pageMargins left="0.5" right="0.5" top="0.5" bottom="0.5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0"/>
  <sheetViews>
    <sheetView tabSelected="1" workbookViewId="0">
      <selection activeCell="A4" sqref="A4"/>
    </sheetView>
  </sheetViews>
  <sheetFormatPr baseColWidth="10" defaultColWidth="8.7109375" defaultRowHeight="14" x14ac:dyDescent="0.2"/>
  <cols>
    <col min="1" max="1" width="31.140625" bestFit="1" customWidth="1"/>
  </cols>
  <sheetData>
    <row r="1" spans="1:11" ht="16" x14ac:dyDescent="0.2">
      <c r="A1" s="10" t="s">
        <v>201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">
      <c r="A2" s="39" t="s">
        <v>23</v>
      </c>
      <c r="B2" s="24">
        <v>2016</v>
      </c>
      <c r="C2" s="24">
        <v>2017</v>
      </c>
      <c r="D2" s="24">
        <v>2018</v>
      </c>
      <c r="E2" s="24">
        <v>2019</v>
      </c>
      <c r="F2" s="24">
        <v>2020</v>
      </c>
      <c r="G2" s="24">
        <v>2021</v>
      </c>
      <c r="H2" s="24">
        <v>2022</v>
      </c>
      <c r="I2" s="24">
        <v>2023</v>
      </c>
      <c r="J2" s="24">
        <v>2024</v>
      </c>
      <c r="K2" s="24">
        <v>2025</v>
      </c>
    </row>
    <row r="4" spans="1:11" x14ac:dyDescent="0.2">
      <c r="A4" t="s">
        <v>24</v>
      </c>
      <c r="B4" s="14">
        <v>0.15</v>
      </c>
      <c r="E4" s="1" t="s">
        <v>35</v>
      </c>
    </row>
    <row r="6" spans="1:11" x14ac:dyDescent="0.2">
      <c r="A6" s="26" t="s">
        <v>25</v>
      </c>
    </row>
    <row r="8" spans="1:11" x14ac:dyDescent="0.2">
      <c r="A8" s="1" t="s">
        <v>26</v>
      </c>
      <c r="B8" s="5">
        <f>ProFormas!G$39</f>
        <v>225.03396379787787</v>
      </c>
      <c r="C8" s="5">
        <f>ProFormas!H$39</f>
        <v>284.24882079573047</v>
      </c>
      <c r="D8" s="5">
        <f>ProFormas!I$39</f>
        <v>356.9185042515287</v>
      </c>
      <c r="E8" s="5">
        <f>ProFormas!J$39</f>
        <v>447.88285322165427</v>
      </c>
      <c r="F8" s="5">
        <f>ProFormas!K$39</f>
        <v>561.69842094160299</v>
      </c>
      <c r="G8" s="5">
        <f>ProFormas!L$39</f>
        <v>583.0762456404982</v>
      </c>
      <c r="H8" s="5">
        <f>ProFormas!M$39</f>
        <v>612.23005792252297</v>
      </c>
      <c r="I8" s="5">
        <f>ProFormas!N$39</f>
        <v>642.84156081864899</v>
      </c>
      <c r="J8" s="5">
        <f>ProFormas!O$39</f>
        <v>674.98363885958156</v>
      </c>
      <c r="K8" s="5">
        <f>ProFormas!P$39</f>
        <v>708.73282080256058</v>
      </c>
    </row>
    <row r="9" spans="1:11" x14ac:dyDescent="0.2">
      <c r="A9" s="1" t="s">
        <v>74</v>
      </c>
      <c r="B9" s="4">
        <f>ProFormas!F$24*$B$4</f>
        <v>101.55</v>
      </c>
      <c r="C9" s="4">
        <f>ProFormas!G$24*$B$4</f>
        <v>115.6961416393267</v>
      </c>
      <c r="D9" s="4">
        <f>ProFormas!H$24*$B$4</f>
        <v>136.87715278992874</v>
      </c>
      <c r="E9" s="4">
        <f>ProFormas!I$24*$B$4</f>
        <v>161.93586657611664</v>
      </c>
      <c r="F9" s="4">
        <f>ProFormas!J$24*$B$4</f>
        <v>191.58219139759399</v>
      </c>
      <c r="G9" s="4">
        <f>ProFormas!K$24*$B$4</f>
        <v>226.65600176630454</v>
      </c>
      <c r="H9" s="4">
        <f>ProFormas!L$24*$B$4</f>
        <v>237.98880185461974</v>
      </c>
      <c r="I9" s="4">
        <f>ProFormas!M$24*$B$4</f>
        <v>249.88824194735074</v>
      </c>
      <c r="J9" s="4">
        <f>ProFormas!N$24*$B$4</f>
        <v>262.38265404471827</v>
      </c>
      <c r="K9" s="4">
        <f>ProFormas!O$24*$B$4</f>
        <v>275.50178674695422</v>
      </c>
    </row>
    <row r="10" spans="1:11" x14ac:dyDescent="0.2">
      <c r="A10" s="1" t="s">
        <v>27</v>
      </c>
      <c r="B10" s="5">
        <f t="shared" ref="B10:K10" si="0">B8-B9</f>
        <v>123.48396379787788</v>
      </c>
      <c r="C10" s="5">
        <f t="shared" si="0"/>
        <v>168.55267915640377</v>
      </c>
      <c r="D10" s="5">
        <f t="shared" si="0"/>
        <v>220.04135146159996</v>
      </c>
      <c r="E10" s="5">
        <f t="shared" si="0"/>
        <v>285.94698664553766</v>
      </c>
      <c r="F10" s="5">
        <f t="shared" si="0"/>
        <v>370.116229544009</v>
      </c>
      <c r="G10" s="5">
        <f t="shared" si="0"/>
        <v>356.42024387419366</v>
      </c>
      <c r="H10" s="5">
        <f t="shared" si="0"/>
        <v>374.24125606790324</v>
      </c>
      <c r="I10" s="5">
        <f t="shared" si="0"/>
        <v>392.95331887129828</v>
      </c>
      <c r="J10" s="5">
        <f t="shared" si="0"/>
        <v>412.6009848148633</v>
      </c>
      <c r="K10" s="5">
        <f t="shared" si="0"/>
        <v>433.23103405560636</v>
      </c>
    </row>
    <row r="11" spans="1:11" x14ac:dyDescent="0.2">
      <c r="A11" s="1" t="s">
        <v>213</v>
      </c>
      <c r="B11" s="3">
        <f>B10/(1+$B$4)^B1</f>
        <v>107.37735982424164</v>
      </c>
      <c r="C11" s="3">
        <f>C10/(1+$B$4)^C1</f>
        <v>127.45004095002177</v>
      </c>
      <c r="D11" s="3">
        <f>D10/(1+$B$4)^D1</f>
        <v>144.68076039227421</v>
      </c>
      <c r="E11" s="3">
        <f t="shared" ref="E11:K11" si="1">E10/(1+$B$4)^E1</f>
        <v>163.49111768213393</v>
      </c>
      <c r="F11" s="3">
        <f t="shared" si="1"/>
        <v>184.01317868560287</v>
      </c>
      <c r="G11" s="3">
        <f t="shared" si="1"/>
        <v>154.09030716834081</v>
      </c>
      <c r="H11" s="3">
        <f t="shared" si="1"/>
        <v>140.69115002326768</v>
      </c>
      <c r="I11" s="3">
        <f t="shared" si="1"/>
        <v>128.45713697776611</v>
      </c>
      <c r="J11" s="3">
        <f t="shared" si="1"/>
        <v>117.28695115361258</v>
      </c>
      <c r="K11" s="3">
        <f t="shared" si="1"/>
        <v>107.08808583590712</v>
      </c>
    </row>
    <row r="13" spans="1:11" x14ac:dyDescent="0.2">
      <c r="A13" t="s">
        <v>211</v>
      </c>
      <c r="B13" s="5"/>
      <c r="C13" s="5">
        <f>ProFormas!$F$24</f>
        <v>677</v>
      </c>
    </row>
    <row r="14" spans="1:11" x14ac:dyDescent="0.2">
      <c r="A14" t="s">
        <v>28</v>
      </c>
      <c r="B14" s="3"/>
      <c r="C14" s="3">
        <f>SUM($B$11:$K$11)</f>
        <v>1374.6260886931686</v>
      </c>
    </row>
    <row r="15" spans="1:11" x14ac:dyDescent="0.2">
      <c r="A15" t="s">
        <v>29</v>
      </c>
    </row>
    <row r="16" spans="1:11" x14ac:dyDescent="0.2">
      <c r="A16" t="s">
        <v>38</v>
      </c>
      <c r="B16" s="3">
        <f>$K$10</f>
        <v>433.23103405560636</v>
      </c>
    </row>
    <row r="17" spans="1:11" x14ac:dyDescent="0.2">
      <c r="A17" t="s">
        <v>39</v>
      </c>
      <c r="B17" s="28">
        <f>$K$10/$J$10-1</f>
        <v>4.9999999999999822E-2</v>
      </c>
    </row>
    <row r="18" spans="1:11" x14ac:dyDescent="0.2">
      <c r="A18" s="1" t="s">
        <v>209</v>
      </c>
      <c r="B18" s="3">
        <f>(B16*(1+$B$17))/($B$4-$B$17)</f>
        <v>4548.9258575838585</v>
      </c>
    </row>
    <row r="19" spans="1:11" x14ac:dyDescent="0.2">
      <c r="A19" t="s">
        <v>210</v>
      </c>
      <c r="B19" s="3"/>
      <c r="C19" s="4">
        <f>B18/(1+$B$4)^K1</f>
        <v>1124.4249012770226</v>
      </c>
    </row>
    <row r="20" spans="1:11" x14ac:dyDescent="0.2">
      <c r="A20" t="s">
        <v>208</v>
      </c>
      <c r="B20" s="5"/>
      <c r="C20" s="5">
        <f>C13+C14+C19</f>
        <v>3176.050989970191</v>
      </c>
    </row>
    <row r="21" spans="1:11" x14ac:dyDescent="0.2">
      <c r="A21" t="s">
        <v>212</v>
      </c>
      <c r="C21" s="4">
        <v>143</v>
      </c>
    </row>
    <row r="22" spans="1:11" x14ac:dyDescent="0.2">
      <c r="A22" t="s">
        <v>36</v>
      </c>
      <c r="B22" s="5"/>
      <c r="C22" s="27">
        <f>C20/C21</f>
        <v>22.21014678300833</v>
      </c>
    </row>
    <row r="24" spans="1:11" x14ac:dyDescent="0.2">
      <c r="A24" s="26" t="s">
        <v>30</v>
      </c>
    </row>
    <row r="26" spans="1:11" x14ac:dyDescent="0.2">
      <c r="A26" t="s">
        <v>21</v>
      </c>
      <c r="B26" s="5">
        <f>-ProFormas!G63</f>
        <v>130.72635286903312</v>
      </c>
      <c r="C26" s="5">
        <f>-ProFormas!H63</f>
        <v>143.0420797917169</v>
      </c>
      <c r="D26" s="5">
        <f>-ProFormas!I63</f>
        <v>189.8604123436096</v>
      </c>
      <c r="E26" s="5">
        <f>-ProFormas!J63</f>
        <v>250.24068774513853</v>
      </c>
      <c r="F26" s="5">
        <f>-ProFormas!K63</f>
        <v>327.87301848353263</v>
      </c>
      <c r="G26" s="5">
        <f>-ProFormas!L63</f>
        <v>507.52424505172985</v>
      </c>
      <c r="H26" s="5">
        <f>-ProFormas!M63</f>
        <v>532.90045730431643</v>
      </c>
      <c r="I26" s="5">
        <f>-ProFormas!N63</f>
        <v>559.54548016953208</v>
      </c>
      <c r="J26" s="5">
        <f>-ProFormas!O63</f>
        <v>587.52275417800865</v>
      </c>
      <c r="K26" s="5">
        <f>-ProFormas!P63</f>
        <v>616.89889188690927</v>
      </c>
    </row>
    <row r="27" spans="1:11" x14ac:dyDescent="0.2">
      <c r="A27" s="1" t="s">
        <v>214</v>
      </c>
      <c r="B27" s="3">
        <f>B26/(1+$B$4)^B1</f>
        <v>113.67508945133316</v>
      </c>
      <c r="C27" s="3">
        <f>C26/(1+$B$4)^C1</f>
        <v>108.16036279146837</v>
      </c>
      <c r="D27" s="3">
        <f t="shared" ref="D27:K27" si="2">D26/(1+$B$4)^D1</f>
        <v>124.83630301215396</v>
      </c>
      <c r="E27" s="3">
        <f t="shared" si="2"/>
        <v>143.07592539771576</v>
      </c>
      <c r="F27" s="3">
        <f t="shared" si="2"/>
        <v>163.01083692203861</v>
      </c>
      <c r="G27" s="3">
        <f t="shared" si="2"/>
        <v>219.41673673004203</v>
      </c>
      <c r="H27" s="3">
        <f t="shared" si="2"/>
        <v>200.33702049264716</v>
      </c>
      <c r="I27" s="3">
        <f t="shared" si="2"/>
        <v>182.9164100150256</v>
      </c>
      <c r="J27" s="3">
        <f t="shared" si="2"/>
        <v>167.01063523111034</v>
      </c>
      <c r="K27" s="3">
        <f t="shared" si="2"/>
        <v>152.48797129797038</v>
      </c>
    </row>
    <row r="29" spans="1:11" x14ac:dyDescent="0.2">
      <c r="A29" t="s">
        <v>31</v>
      </c>
      <c r="B29" s="3"/>
      <c r="C29" s="3">
        <f>SUM($B$27:$K$27)</f>
        <v>1574.9272913415052</v>
      </c>
    </row>
    <row r="30" spans="1:11" x14ac:dyDescent="0.2">
      <c r="A30" s="1" t="s">
        <v>29</v>
      </c>
    </row>
    <row r="31" spans="1:11" x14ac:dyDescent="0.2">
      <c r="A31" t="s">
        <v>40</v>
      </c>
      <c r="B31" s="3">
        <f>$K$26</f>
        <v>616.89889188690927</v>
      </c>
    </row>
    <row r="32" spans="1:11" x14ac:dyDescent="0.2">
      <c r="A32" t="s">
        <v>41</v>
      </c>
      <c r="B32" s="28">
        <f>$K$26/$J$26-1</f>
        <v>5.0000000000000266E-2</v>
      </c>
    </row>
    <row r="33" spans="1:11" x14ac:dyDescent="0.2">
      <c r="A33" t="s">
        <v>218</v>
      </c>
      <c r="B33" s="3">
        <f>(B31*(1+$B$32)/($B$4-$B$32))</f>
        <v>6477.4383648125668</v>
      </c>
    </row>
    <row r="34" spans="1:11" x14ac:dyDescent="0.2">
      <c r="A34" t="s">
        <v>215</v>
      </c>
      <c r="B34" s="3"/>
      <c r="C34" s="4">
        <f>B33/(1+$B$4)^K1</f>
        <v>1601.1236986286938</v>
      </c>
    </row>
    <row r="35" spans="1:11" x14ac:dyDescent="0.2">
      <c r="A35" t="s">
        <v>32</v>
      </c>
      <c r="B35" s="5"/>
      <c r="C35" s="5">
        <f>C29+C34</f>
        <v>3176.0509899701992</v>
      </c>
    </row>
    <row r="36" spans="1:11" x14ac:dyDescent="0.2">
      <c r="A36" t="s">
        <v>212</v>
      </c>
      <c r="C36" s="4">
        <v>143</v>
      </c>
    </row>
    <row r="37" spans="1:11" x14ac:dyDescent="0.2">
      <c r="A37" t="s">
        <v>36</v>
      </c>
      <c r="B37" s="5"/>
      <c r="C37" s="27">
        <f>C35/C36</f>
        <v>22.210146783008387</v>
      </c>
    </row>
    <row r="40" spans="1:11" x14ac:dyDescent="0.2">
      <c r="A40" t="s">
        <v>78</v>
      </c>
    </row>
    <row r="41" spans="1:11" x14ac:dyDescent="0.2">
      <c r="B41">
        <v>1992</v>
      </c>
      <c r="C41">
        <f>B41+1</f>
        <v>1993</v>
      </c>
      <c r="D41">
        <f t="shared" ref="D41:K41" si="3">C41+1</f>
        <v>1994</v>
      </c>
      <c r="E41">
        <f t="shared" si="3"/>
        <v>1995</v>
      </c>
      <c r="F41">
        <f t="shared" si="3"/>
        <v>1996</v>
      </c>
      <c r="G41">
        <f t="shared" si="3"/>
        <v>1997</v>
      </c>
      <c r="H41">
        <f t="shared" si="3"/>
        <v>1998</v>
      </c>
      <c r="I41">
        <f t="shared" si="3"/>
        <v>1999</v>
      </c>
      <c r="J41">
        <f t="shared" si="3"/>
        <v>2000</v>
      </c>
      <c r="K41">
        <f t="shared" si="3"/>
        <v>2001</v>
      </c>
    </row>
    <row r="42" spans="1:11" x14ac:dyDescent="0.2">
      <c r="A42" t="s">
        <v>75</v>
      </c>
      <c r="B42" s="3">
        <f>ProFormas!G54</f>
        <v>199.77461422746154</v>
      </c>
      <c r="C42" s="3">
        <f>ProFormas!H54</f>
        <v>365.64601858022104</v>
      </c>
      <c r="D42" s="3">
        <f>ProFormas!I54</f>
        <v>453.2174518219</v>
      </c>
      <c r="E42" s="3">
        <f>ProFormas!J54</f>
        <v>561.81168069448506</v>
      </c>
      <c r="F42" s="3">
        <f>ProFormas!K54</f>
        <v>696.48470944022824</v>
      </c>
      <c r="G42" s="3">
        <f>ProFormas!L54</f>
        <v>755.41626353091408</v>
      </c>
      <c r="H42" s="3">
        <f>ProFormas!M54</f>
        <v>793.18707670745971</v>
      </c>
      <c r="I42" s="3">
        <f>ProFormas!N54</f>
        <v>832.84643054283242</v>
      </c>
      <c r="J42" s="3">
        <f>ProFormas!O54</f>
        <v>874.48875206997423</v>
      </c>
      <c r="K42" s="3">
        <f>ProFormas!P54</f>
        <v>918.21318967347304</v>
      </c>
    </row>
    <row r="43" spans="1:11" x14ac:dyDescent="0.2">
      <c r="A43" t="s">
        <v>76</v>
      </c>
      <c r="B43" s="3">
        <f>ProFormas!F59</f>
        <v>-239</v>
      </c>
      <c r="C43" s="3">
        <f>ProFormas!G59</f>
        <v>-144.06138407895673</v>
      </c>
      <c r="D43" s="3">
        <f>ProFormas!H59</f>
        <v>-215.83258540556545</v>
      </c>
      <c r="E43" s="3">
        <f>ProFormas!I59</f>
        <v>-255.34602408522312</v>
      </c>
      <c r="F43" s="3">
        <f>ProFormas!J59</f>
        <v>-302.09336506632104</v>
      </c>
      <c r="G43" s="3">
        <f>ProFormas!K59</f>
        <v>-357.3989512624446</v>
      </c>
      <c r="H43" s="3">
        <f>ProFormas!L59</f>
        <v>-244.26903779754625</v>
      </c>
      <c r="I43" s="3">
        <f>ProFormas!M59</f>
        <v>-256.48248968742365</v>
      </c>
      <c r="J43" s="3">
        <f>ProFormas!N59</f>
        <v>-269.30661417179476</v>
      </c>
      <c r="K43" s="3">
        <f>ProFormas!O59</f>
        <v>-282.77194488038447</v>
      </c>
    </row>
    <row r="45" spans="1:11" x14ac:dyDescent="0.2">
      <c r="A45" t="s">
        <v>77</v>
      </c>
      <c r="B45" s="3">
        <f>B42+B43</f>
        <v>-39.225385772538459</v>
      </c>
      <c r="C45" s="21">
        <f t="shared" ref="C45:K45" si="4">C42+C43</f>
        <v>221.5846345012643</v>
      </c>
      <c r="D45" s="21">
        <f t="shared" si="4"/>
        <v>237.38486641633455</v>
      </c>
      <c r="E45" s="21">
        <f t="shared" si="4"/>
        <v>306.46565660926194</v>
      </c>
      <c r="F45" s="21">
        <f t="shared" si="4"/>
        <v>394.3913443739072</v>
      </c>
      <c r="G45" s="21">
        <f t="shared" si="4"/>
        <v>398.01731226846948</v>
      </c>
      <c r="H45" s="21">
        <f t="shared" si="4"/>
        <v>548.91803890991343</v>
      </c>
      <c r="I45" s="21">
        <f t="shared" si="4"/>
        <v>576.36394085540883</v>
      </c>
      <c r="J45" s="21">
        <f t="shared" si="4"/>
        <v>605.18213789817946</v>
      </c>
      <c r="K45" s="21">
        <f t="shared" si="4"/>
        <v>635.44124479308857</v>
      </c>
    </row>
    <row r="46" spans="1:11" x14ac:dyDescent="0.2">
      <c r="A46" t="s">
        <v>216</v>
      </c>
      <c r="B46" s="3">
        <f>B45/(1+$B$4)^B1</f>
        <v>-34.109031106555186</v>
      </c>
      <c r="C46" s="3">
        <f t="shared" ref="C46:K46" si="5">C45/(1+$B$4)^C1</f>
        <v>167.54981814840403</v>
      </c>
      <c r="D46" s="3">
        <f t="shared" si="5"/>
        <v>156.08440300243913</v>
      </c>
      <c r="E46" s="3">
        <f t="shared" si="5"/>
        <v>175.22273382914557</v>
      </c>
      <c r="F46" s="3">
        <f t="shared" si="5"/>
        <v>196.08220102572275</v>
      </c>
      <c r="G46" s="3">
        <f t="shared" si="5"/>
        <v>172.07386774420667</v>
      </c>
      <c r="H46" s="3">
        <f t="shared" si="5"/>
        <v>206.35862270818185</v>
      </c>
      <c r="I46" s="3">
        <f t="shared" si="5"/>
        <v>188.41439464660075</v>
      </c>
      <c r="J46" s="3">
        <f t="shared" si="5"/>
        <v>172.03053424254858</v>
      </c>
      <c r="K46" s="3">
        <f t="shared" si="5"/>
        <v>157.07135735189223</v>
      </c>
    </row>
    <row r="48" spans="1:11" x14ac:dyDescent="0.2">
      <c r="A48" t="s">
        <v>81</v>
      </c>
      <c r="C48" s="3">
        <f>SUM($B$46:$K$46)</f>
        <v>1556.7789015925864</v>
      </c>
      <c r="D48" s="11"/>
    </row>
    <row r="49" spans="1:4" x14ac:dyDescent="0.2">
      <c r="A49" t="s">
        <v>29</v>
      </c>
    </row>
    <row r="50" spans="1:4" x14ac:dyDescent="0.2">
      <c r="A50" t="s">
        <v>82</v>
      </c>
      <c r="B50" s="3">
        <f>$K$45</f>
        <v>635.44124479308857</v>
      </c>
    </row>
    <row r="51" spans="1:4" x14ac:dyDescent="0.2">
      <c r="A51" t="s">
        <v>41</v>
      </c>
      <c r="B51" s="28">
        <f>$K$45/$J$45-1</f>
        <v>5.0000000000000266E-2</v>
      </c>
    </row>
    <row r="52" spans="1:4" x14ac:dyDescent="0.2">
      <c r="A52" t="s">
        <v>219</v>
      </c>
      <c r="B52" s="3">
        <f>(B50*(1+$B$51)/($B$4-$B$51))</f>
        <v>6672.1330703274498</v>
      </c>
    </row>
    <row r="53" spans="1:4" x14ac:dyDescent="0.2">
      <c r="A53" t="s">
        <v>217</v>
      </c>
      <c r="C53" s="4">
        <f>B52/(1+$B$4)^K1</f>
        <v>1649.2492521948732</v>
      </c>
    </row>
    <row r="54" spans="1:4" x14ac:dyDescent="0.2">
      <c r="A54" t="s">
        <v>83</v>
      </c>
      <c r="C54" s="3">
        <f>+C48+C53</f>
        <v>3206.0281537874598</v>
      </c>
    </row>
    <row r="55" spans="1:4" x14ac:dyDescent="0.2">
      <c r="A55" t="s">
        <v>79</v>
      </c>
      <c r="C55" s="55">
        <f>ProFormas!F5</f>
        <v>193</v>
      </c>
    </row>
    <row r="56" spans="1:4" x14ac:dyDescent="0.2">
      <c r="A56" t="s">
        <v>80</v>
      </c>
      <c r="C56" s="3">
        <f>SUM(C54:C55)</f>
        <v>3399.0281537874598</v>
      </c>
    </row>
    <row r="57" spans="1:4" x14ac:dyDescent="0.2">
      <c r="A57" t="s">
        <v>212</v>
      </c>
      <c r="C57" s="4">
        <v>143</v>
      </c>
    </row>
    <row r="58" spans="1:4" x14ac:dyDescent="0.2">
      <c r="A58" t="s">
        <v>36</v>
      </c>
      <c r="B58" s="5"/>
      <c r="C58" s="27">
        <f>C56/C57</f>
        <v>23.769427648863356</v>
      </c>
    </row>
    <row r="61" spans="1:4" x14ac:dyDescent="0.2">
      <c r="D61" s="11"/>
    </row>
    <row r="62" spans="1:4" x14ac:dyDescent="0.2">
      <c r="D62" s="11"/>
    </row>
    <row r="63" spans="1:4" x14ac:dyDescent="0.2">
      <c r="D63" s="11"/>
    </row>
    <row r="64" spans="1:4" x14ac:dyDescent="0.2">
      <c r="D64" s="11"/>
    </row>
    <row r="65" spans="2:4" x14ac:dyDescent="0.2">
      <c r="D65" s="11"/>
    </row>
    <row r="66" spans="2:4" x14ac:dyDescent="0.2">
      <c r="D66" s="11"/>
    </row>
    <row r="67" spans="2:4" x14ac:dyDescent="0.2">
      <c r="D67" s="11"/>
    </row>
    <row r="68" spans="2:4" x14ac:dyDescent="0.2">
      <c r="D68" s="11"/>
    </row>
    <row r="70" spans="2:4" x14ac:dyDescent="0.2">
      <c r="B70" s="21"/>
    </row>
  </sheetData>
  <phoneticPr fontId="6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Original</vt:lpstr>
      <vt:lpstr>Ratios</vt:lpstr>
      <vt:lpstr>CommonSize</vt:lpstr>
      <vt:lpstr>Asssumptions</vt:lpstr>
      <vt:lpstr>ProFormas</vt:lpstr>
      <vt:lpstr>Valuation</vt:lpstr>
      <vt:lpstr>Original!Print_Area</vt:lpstr>
      <vt:lpstr>ProFormas!Print_Area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Bushee</dc:creator>
  <cp:lastModifiedBy>a</cp:lastModifiedBy>
  <cp:lastPrinted>2002-10-14T19:12:51Z</cp:lastPrinted>
  <dcterms:created xsi:type="dcterms:W3CDTF">1999-03-09T23:10:56Z</dcterms:created>
  <dcterms:modified xsi:type="dcterms:W3CDTF">2023-06-27T23:26:11Z</dcterms:modified>
</cp:coreProperties>
</file>