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rigg\Box\Science\Fisheries\Projects\SHERLOCK Disease diagnostics\SAT-experiments\analyses\"/>
    </mc:Choice>
  </mc:AlternateContent>
  <xr:revisionPtr revIDLastSave="0" documentId="13_ncr:1_{376F12EB-6F6B-4E15-88CE-E0DEAF04CA9F}" xr6:coauthVersionLast="47" xr6:coauthVersionMax="47" xr10:uidLastSave="{00000000-0000-0000-0000-000000000000}"/>
  <bookViews>
    <workbookView xWindow="910" yWindow="60" windowWidth="17630" windowHeight="7250" xr2:uid="{019CB76C-D441-4939-9465-812781AEFD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2" i="1" l="1"/>
  <c r="T13" i="1"/>
  <c r="T11" i="1"/>
  <c r="U11" i="1"/>
  <c r="V11" i="1" s="1"/>
  <c r="Q11" i="1"/>
  <c r="P11" i="1" s="1"/>
  <c r="G11" i="1"/>
  <c r="W11" i="1" s="1"/>
  <c r="X11" i="1" s="1"/>
  <c r="Q65" i="1"/>
  <c r="O65" i="1"/>
  <c r="N65" i="1"/>
  <c r="M65" i="1"/>
  <c r="Q64" i="1"/>
  <c r="O64" i="1"/>
  <c r="N64" i="1"/>
  <c r="M64" i="1" s="1"/>
  <c r="Q63" i="1"/>
  <c r="O63" i="1"/>
  <c r="N63" i="1"/>
  <c r="M63" i="1" s="1"/>
  <c r="Q62" i="1"/>
  <c r="O62" i="1"/>
  <c r="T62" i="1" s="1"/>
  <c r="Q61" i="1"/>
  <c r="O61" i="1"/>
  <c r="N61" i="1"/>
  <c r="M61" i="1" s="1"/>
  <c r="Q60" i="1"/>
  <c r="O60" i="1"/>
  <c r="N60" i="1"/>
  <c r="M60" i="1"/>
  <c r="Q59" i="1"/>
  <c r="O59" i="1"/>
  <c r="N59" i="1"/>
  <c r="M59" i="1" s="1"/>
  <c r="P61" i="1" l="1"/>
  <c r="T60" i="1"/>
  <c r="P65" i="1"/>
  <c r="U60" i="1"/>
  <c r="V60" i="1" s="1"/>
  <c r="P62" i="1"/>
  <c r="P60" i="1"/>
  <c r="T63" i="1"/>
  <c r="U62" i="1"/>
  <c r="V62" i="1" s="1"/>
  <c r="T59" i="1"/>
  <c r="U63" i="1"/>
  <c r="V63" i="1" s="1"/>
  <c r="P59" i="1"/>
  <c r="U59" i="1"/>
  <c r="V59" i="1" s="1"/>
  <c r="P64" i="1"/>
  <c r="T65" i="1"/>
  <c r="T61" i="1"/>
  <c r="U61" i="1"/>
  <c r="W61" i="1" s="1"/>
  <c r="P63" i="1"/>
  <c r="U65" i="1"/>
  <c r="V65" i="1" s="1"/>
  <c r="T64" i="1"/>
  <c r="U64" i="1"/>
  <c r="V64" i="1" s="1"/>
  <c r="T35" i="1"/>
  <c r="T8" i="1"/>
  <c r="T14" i="1"/>
  <c r="T15" i="1"/>
  <c r="T16" i="1"/>
  <c r="T17" i="1"/>
  <c r="T23" i="1"/>
  <c r="T27" i="1"/>
  <c r="T28" i="1"/>
  <c r="T30" i="1"/>
  <c r="T33" i="1"/>
  <c r="Q58" i="1"/>
  <c r="O58" i="1"/>
  <c r="N58" i="1"/>
  <c r="M58" i="1"/>
  <c r="Q57" i="1"/>
  <c r="O57" i="1"/>
  <c r="N57" i="1"/>
  <c r="M57" i="1" s="1"/>
  <c r="Q56" i="1"/>
  <c r="O56" i="1"/>
  <c r="N56" i="1"/>
  <c r="M56" i="1" s="1"/>
  <c r="Q55" i="1"/>
  <c r="O55" i="1"/>
  <c r="N55" i="1"/>
  <c r="M55" i="1" s="1"/>
  <c r="Q54" i="1"/>
  <c r="O54" i="1"/>
  <c r="N54" i="1"/>
  <c r="M54" i="1" s="1"/>
  <c r="Q46" i="1"/>
  <c r="O46" i="1"/>
  <c r="N46" i="1"/>
  <c r="M46" i="1" s="1"/>
  <c r="Q45" i="1"/>
  <c r="O45" i="1"/>
  <c r="N45" i="1"/>
  <c r="M45" i="1" s="1"/>
  <c r="Q44" i="1"/>
  <c r="O44" i="1"/>
  <c r="N44" i="1"/>
  <c r="M44" i="1" s="1"/>
  <c r="Q43" i="1"/>
  <c r="O43" i="1"/>
  <c r="N43" i="1"/>
  <c r="M43" i="1" s="1"/>
  <c r="Q42" i="1"/>
  <c r="O42" i="1"/>
  <c r="N42" i="1"/>
  <c r="M42" i="1" s="1"/>
  <c r="Q41" i="1"/>
  <c r="O41" i="1"/>
  <c r="N41" i="1"/>
  <c r="M41" i="1"/>
  <c r="Q40" i="1"/>
  <c r="O40" i="1"/>
  <c r="N40" i="1"/>
  <c r="M40" i="1" s="1"/>
  <c r="Q39" i="1"/>
  <c r="O39" i="1"/>
  <c r="N39" i="1"/>
  <c r="M39" i="1"/>
  <c r="P56" i="1" l="1"/>
  <c r="P58" i="1"/>
  <c r="V61" i="1"/>
  <c r="P55" i="1"/>
  <c r="P42" i="1"/>
  <c r="P44" i="1"/>
  <c r="P46" i="1"/>
  <c r="P40" i="1"/>
  <c r="P43" i="1"/>
  <c r="P45" i="1"/>
  <c r="P54" i="1"/>
  <c r="P57" i="1"/>
  <c r="P39" i="1"/>
  <c r="P41" i="1"/>
  <c r="G3" i="1"/>
  <c r="G4" i="1"/>
  <c r="G5" i="1"/>
  <c r="G6" i="1"/>
  <c r="G7" i="1"/>
  <c r="G8" i="1"/>
  <c r="W8" i="1" s="1"/>
  <c r="X8" i="1" s="1"/>
  <c r="G9" i="1"/>
  <c r="G10" i="1"/>
  <c r="G12" i="1"/>
  <c r="G13" i="1"/>
  <c r="O38" i="1"/>
  <c r="N36" i="1"/>
  <c r="U27" i="1"/>
  <c r="U17" i="1"/>
  <c r="V17" i="1" s="1"/>
  <c r="U35" i="1"/>
  <c r="U33" i="1"/>
  <c r="U30" i="1"/>
  <c r="U28" i="1"/>
  <c r="U23" i="1"/>
  <c r="U15" i="1"/>
  <c r="V15" i="1" s="1"/>
  <c r="U16" i="1"/>
  <c r="V16" i="1" s="1"/>
  <c r="U14" i="1"/>
  <c r="V14" i="1" s="1"/>
  <c r="U12" i="1"/>
  <c r="U8" i="1"/>
  <c r="V8" i="1" s="1"/>
  <c r="O3" i="1"/>
  <c r="W12" i="1"/>
  <c r="X12" i="1" s="1"/>
  <c r="O13" i="1"/>
  <c r="N13" i="1"/>
  <c r="M13" i="1" s="1"/>
  <c r="O21" i="1"/>
  <c r="O6" i="1"/>
  <c r="O5" i="1"/>
  <c r="Q9" i="1"/>
  <c r="O9" i="1"/>
  <c r="Q8" i="1"/>
  <c r="P8" i="1" s="1"/>
  <c r="Q7" i="1"/>
  <c r="O7" i="1"/>
  <c r="N7" i="1"/>
  <c r="M7" i="1" s="1"/>
  <c r="Q6" i="1"/>
  <c r="Q5" i="1"/>
  <c r="N5" i="1"/>
  <c r="M5" i="1" s="1"/>
  <c r="Q4" i="1"/>
  <c r="O4" i="1"/>
  <c r="Q3" i="1"/>
  <c r="T7" i="1" l="1"/>
  <c r="U21" i="1"/>
  <c r="T21" i="1"/>
  <c r="U36" i="1"/>
  <c r="T36" i="1"/>
  <c r="U3" i="1"/>
  <c r="V3" i="1" s="1"/>
  <c r="T3" i="1"/>
  <c r="U4" i="1"/>
  <c r="V4" i="1" s="1"/>
  <c r="T4" i="1"/>
  <c r="T5" i="1"/>
  <c r="U9" i="1"/>
  <c r="V9" i="1" s="1"/>
  <c r="T9" i="1"/>
  <c r="U6" i="1"/>
  <c r="V6" i="1" s="1"/>
  <c r="T6" i="1"/>
  <c r="W7" i="1"/>
  <c r="X7" i="1" s="1"/>
  <c r="W6" i="1"/>
  <c r="X6" i="1" s="1"/>
  <c r="U7" i="1"/>
  <c r="V7" i="1" s="1"/>
  <c r="W3" i="1"/>
  <c r="X3" i="1" s="1"/>
  <c r="W9" i="1"/>
  <c r="X9" i="1" s="1"/>
  <c r="W5" i="1"/>
  <c r="X5" i="1" s="1"/>
  <c r="U5" i="1"/>
  <c r="V5" i="1" s="1"/>
  <c r="W13" i="1"/>
  <c r="X13" i="1" s="1"/>
  <c r="W4" i="1"/>
  <c r="X4" i="1" s="1"/>
  <c r="U13" i="1"/>
  <c r="V13" i="1" s="1"/>
  <c r="P3" i="1"/>
  <c r="P4" i="1"/>
  <c r="P6" i="1"/>
  <c r="P5" i="1"/>
  <c r="P7" i="1"/>
  <c r="P9" i="1"/>
  <c r="Q24" i="1" l="1"/>
  <c r="O24" i="1"/>
  <c r="N24" i="1"/>
  <c r="V23" i="1"/>
  <c r="Q23" i="1"/>
  <c r="P23" i="1" s="1"/>
  <c r="Q22" i="1"/>
  <c r="O22" i="1"/>
  <c r="N22" i="1"/>
  <c r="V21" i="1"/>
  <c r="Q21" i="1"/>
  <c r="P21" i="1" s="1"/>
  <c r="Q20" i="1"/>
  <c r="O20" i="1"/>
  <c r="N20" i="1"/>
  <c r="Q19" i="1"/>
  <c r="O19" i="1"/>
  <c r="N19" i="1"/>
  <c r="Q18" i="1"/>
  <c r="O18" i="1"/>
  <c r="N18" i="1"/>
  <c r="T22" i="1" l="1"/>
  <c r="T19" i="1"/>
  <c r="T18" i="1"/>
  <c r="T24" i="1"/>
  <c r="T20" i="1"/>
  <c r="M18" i="1"/>
  <c r="U18" i="1"/>
  <c r="V18" i="1" s="1"/>
  <c r="M19" i="1"/>
  <c r="U19" i="1"/>
  <c r="V19" i="1" s="1"/>
  <c r="M20" i="1"/>
  <c r="U20" i="1"/>
  <c r="M24" i="1"/>
  <c r="U24" i="1"/>
  <c r="V24" i="1" s="1"/>
  <c r="M22" i="1"/>
  <c r="U22" i="1"/>
  <c r="V22" i="1" s="1"/>
  <c r="P24" i="1"/>
  <c r="P18" i="1"/>
  <c r="P22" i="1"/>
  <c r="P19" i="1"/>
  <c r="P20" i="1"/>
  <c r="V12" i="1"/>
  <c r="Q10" i="1"/>
  <c r="O10" i="1"/>
  <c r="N10" i="1"/>
  <c r="Q38" i="1"/>
  <c r="N38" i="1"/>
  <c r="M38" i="1"/>
  <c r="Q37" i="1"/>
  <c r="O37" i="1"/>
  <c r="V36" i="1"/>
  <c r="Q36" i="1"/>
  <c r="P36" i="1" s="1"/>
  <c r="M36" i="1"/>
  <c r="V35" i="1"/>
  <c r="Q35" i="1"/>
  <c r="P35" i="1" s="1"/>
  <c r="Q34" i="1"/>
  <c r="O34" i="1"/>
  <c r="N34" i="1"/>
  <c r="V33" i="1"/>
  <c r="Q33" i="1"/>
  <c r="P33" i="1" s="1"/>
  <c r="T34" i="1" l="1"/>
  <c r="T10" i="1"/>
  <c r="U37" i="1"/>
  <c r="V37" i="1" s="1"/>
  <c r="T37" i="1"/>
  <c r="U38" i="1"/>
  <c r="V38" i="1" s="1"/>
  <c r="T38" i="1"/>
  <c r="W20" i="1"/>
  <c r="V20" i="1"/>
  <c r="M34" i="1"/>
  <c r="U34" i="1"/>
  <c r="V34" i="1" s="1"/>
  <c r="M10" i="1"/>
  <c r="W10" i="1"/>
  <c r="X10" i="1" s="1"/>
  <c r="U10" i="1"/>
  <c r="V10" i="1" s="1"/>
  <c r="P38" i="1"/>
  <c r="P10" i="1"/>
  <c r="P37" i="1"/>
  <c r="P34" i="1"/>
  <c r="Q32" i="1" l="1"/>
  <c r="O32" i="1"/>
  <c r="N32" i="1"/>
  <c r="Q31" i="1"/>
  <c r="O31" i="1"/>
  <c r="N31" i="1"/>
  <c r="V30" i="1"/>
  <c r="Q30" i="1"/>
  <c r="P30" i="1" s="1"/>
  <c r="Q29" i="1"/>
  <c r="O29" i="1"/>
  <c r="N29" i="1"/>
  <c r="V28" i="1"/>
  <c r="Q28" i="1"/>
  <c r="P28" i="1" s="1"/>
  <c r="V27" i="1"/>
  <c r="Q27" i="1"/>
  <c r="Q26" i="1"/>
  <c r="O26" i="1"/>
  <c r="N26" i="1"/>
  <c r="Q25" i="1"/>
  <c r="O25" i="1"/>
  <c r="U25" i="1" l="1"/>
  <c r="V25" i="1" s="1"/>
  <c r="T25" i="1"/>
  <c r="T29" i="1"/>
  <c r="P32" i="1"/>
  <c r="T32" i="1"/>
  <c r="T31" i="1"/>
  <c r="T26" i="1"/>
  <c r="M29" i="1"/>
  <c r="U29" i="1"/>
  <c r="V29" i="1" s="1"/>
  <c r="M31" i="1"/>
  <c r="U31" i="1"/>
  <c r="V31" i="1" s="1"/>
  <c r="M26" i="1"/>
  <c r="U26" i="1"/>
  <c r="V26" i="1" s="1"/>
  <c r="M32" i="1"/>
  <c r="U32" i="1"/>
  <c r="V32" i="1" s="1"/>
  <c r="P27" i="1"/>
  <c r="P25" i="1"/>
  <c r="P26" i="1"/>
  <c r="P29" i="1"/>
  <c r="P31" i="1"/>
</calcChain>
</file>

<file path=xl/sharedStrings.xml><?xml version="1.0" encoding="utf-8"?>
<sst xmlns="http://schemas.openxmlformats.org/spreadsheetml/2006/main" count="345" uniqueCount="116">
  <si>
    <t>Tube name</t>
  </si>
  <si>
    <t>Sample</t>
  </si>
  <si>
    <t>cp/uL</t>
  </si>
  <si>
    <t>ng/uL(nanodrop)</t>
  </si>
  <si>
    <t>cp/ng (qPCR)</t>
  </si>
  <si>
    <t>Preparer</t>
  </si>
  <si>
    <t>Qubit_HS (ng/uL)</t>
  </si>
  <si>
    <t>dil_conc</t>
  </si>
  <si>
    <t>dil_vol</t>
  </si>
  <si>
    <t>dil_H2Ovol</t>
  </si>
  <si>
    <t>dil_sampleVol</t>
  </si>
  <si>
    <t>normalize to 1ng/rxn (Cf = 0.25ng/uL)</t>
  </si>
  <si>
    <t>H2O</t>
  </si>
  <si>
    <t>Pfshrimp (Ci = 33.8ng/uL; Cf = 5)</t>
  </si>
  <si>
    <t>total vol</t>
  </si>
  <si>
    <t>WSSV 12</t>
  </si>
  <si>
    <t>Pvan_022</t>
  </si>
  <si>
    <t>RCF</t>
  </si>
  <si>
    <t>NA</t>
  </si>
  <si>
    <t>WSSV 13</t>
  </si>
  <si>
    <t>Pvan_023</t>
  </si>
  <si>
    <t>WSSV 14</t>
  </si>
  <si>
    <t>Pvan_024</t>
  </si>
  <si>
    <t>WSSV 15</t>
  </si>
  <si>
    <t>Pvan_025</t>
  </si>
  <si>
    <t>too low</t>
  </si>
  <si>
    <t>WSSV 16</t>
  </si>
  <si>
    <t>Pvan_026</t>
  </si>
  <si>
    <t>WSSV 17</t>
  </si>
  <si>
    <t>Pvan_027</t>
  </si>
  <si>
    <t>WSSV 18</t>
  </si>
  <si>
    <t>Pvan_028</t>
  </si>
  <si>
    <t>WSSV 19</t>
  </si>
  <si>
    <t>Pvan_029</t>
  </si>
  <si>
    <t>WSSV 20</t>
  </si>
  <si>
    <t>Pvan_030</t>
  </si>
  <si>
    <t>WSSV 21</t>
  </si>
  <si>
    <t>Pvan_031</t>
  </si>
  <si>
    <t>WSSV 22</t>
  </si>
  <si>
    <t>Pvan_032</t>
  </si>
  <si>
    <t>WSSV 23</t>
  </si>
  <si>
    <t>Pvan_033</t>
  </si>
  <si>
    <t>WSSV 24</t>
  </si>
  <si>
    <t>Pvan_034</t>
  </si>
  <si>
    <t>WSSV 25</t>
  </si>
  <si>
    <t>Pvan_035</t>
  </si>
  <si>
    <t>Pvan_008</t>
  </si>
  <si>
    <t>TJS</t>
  </si>
  <si>
    <t>Pvan_009</t>
  </si>
  <si>
    <t>WSSV 5</t>
  </si>
  <si>
    <t>Pvan_015</t>
  </si>
  <si>
    <t>WSSV 6</t>
  </si>
  <si>
    <t>Pvan_016</t>
  </si>
  <si>
    <t>WSSV 7</t>
  </si>
  <si>
    <t>Pvan_017</t>
  </si>
  <si>
    <t>WSSV 8</t>
  </si>
  <si>
    <t>Pvan_018</t>
  </si>
  <si>
    <t>WSSV 9</t>
  </si>
  <si>
    <t>Pvan_019</t>
  </si>
  <si>
    <t xml:space="preserve">RCF </t>
  </si>
  <si>
    <t>WSSV 10</t>
  </si>
  <si>
    <t>Pvan_020</t>
  </si>
  <si>
    <t>WSSV 11</t>
  </si>
  <si>
    <t>Pvan_021</t>
  </si>
  <si>
    <t>Pvan_001</t>
  </si>
  <si>
    <t>TS</t>
  </si>
  <si>
    <t>Pvan_002</t>
  </si>
  <si>
    <t>Pvan_003</t>
  </si>
  <si>
    <t>Pvan_004</t>
  </si>
  <si>
    <t>Pvan_005</t>
  </si>
  <si>
    <t>Pvan_006</t>
  </si>
  <si>
    <t>Pvan_007</t>
  </si>
  <si>
    <t>Exp date</t>
  </si>
  <si>
    <t>WSSV 1</t>
  </si>
  <si>
    <t>WSSV 2</t>
  </si>
  <si>
    <t>WSSV 3</t>
  </si>
  <si>
    <t>WSSV 4</t>
  </si>
  <si>
    <t>Pvan_011</t>
  </si>
  <si>
    <t>Pvan_012</t>
  </si>
  <si>
    <t>Pvan_013</t>
  </si>
  <si>
    <t>Pvan_014</t>
  </si>
  <si>
    <t>* yellow highlighted cells indicate an initial sample dilution before diluting further (not the original concentration used in the qPCR)</t>
  </si>
  <si>
    <t>Pvan_010</t>
  </si>
  <si>
    <t>Validation type</t>
  </si>
  <si>
    <t>accuracy_quantification</t>
  </si>
  <si>
    <t>specificity</t>
  </si>
  <si>
    <t>EMS_1</t>
  </si>
  <si>
    <t>EMS_2</t>
  </si>
  <si>
    <t>EHP_3</t>
  </si>
  <si>
    <t>EHP_4</t>
  </si>
  <si>
    <t>IHHNV_6</t>
  </si>
  <si>
    <t>IHHNV_5</t>
  </si>
  <si>
    <t>IMNV_7</t>
  </si>
  <si>
    <t>IMNV_8</t>
  </si>
  <si>
    <t>SPF_1</t>
  </si>
  <si>
    <t>SPF_2</t>
  </si>
  <si>
    <t>SPF_3</t>
  </si>
  <si>
    <t>SPF_4</t>
  </si>
  <si>
    <t>SPF_5</t>
  </si>
  <si>
    <t>SPF_6</t>
  </si>
  <si>
    <t>SPF_7</t>
  </si>
  <si>
    <t>SPF_8</t>
  </si>
  <si>
    <t>SPF_9</t>
  </si>
  <si>
    <t>SPF_10</t>
  </si>
  <si>
    <t>SAT</t>
  </si>
  <si>
    <t>SRM</t>
  </si>
  <si>
    <t>TSV_1R</t>
  </si>
  <si>
    <t>TSV_2R</t>
  </si>
  <si>
    <t xml:space="preserve">copies/rxn based on qPCR copies/ng </t>
  </si>
  <si>
    <t xml:space="preserve">copies/rxn based on qubit </t>
  </si>
  <si>
    <t xml:space="preserve"> log10(copies)/rxn based on qubit</t>
  </si>
  <si>
    <t xml:space="preserve"> log10(copies)/rxn based on qPCR</t>
  </si>
  <si>
    <t>orig_sample_dilution</t>
  </si>
  <si>
    <t>uL of original sample/rxn</t>
  </si>
  <si>
    <t>dil_sample_vol_per_rxn</t>
  </si>
  <si>
    <t>quantification repeats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</si>
</sst>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11" fontId="0" fillId="0" borderId="0" xfId="0" applyNumberFormat="1"/>
    <xf numFmtId="0" fontId="3" fillId="0" borderId="4" xfId="0" applyFont="1" applyBorder="1"/>
    <xf numFmtId="0" fontId="0" fillId="0" borderId="4" xfId="0" applyBorder="1"/>
    <xf numFmtId="0" fontId="3" fillId="0" borderId="4" xfId="0" applyFont="1" applyBorder="1" applyAlignment="1">
      <alignment horizontal="right"/>
    </xf>
    <xf numFmtId="2" fontId="0" fillId="0" borderId="4" xfId="0" applyNumberFormat="1" applyBorder="1" applyAlignment="1">
      <alignment horizontal="right"/>
    </xf>
    <xf numFmtId="2" fontId="3" fillId="0" borderId="4" xfId="0" applyNumberFormat="1" applyFont="1" applyBorder="1"/>
    <xf numFmtId="0" fontId="3" fillId="2" borderId="4" xfId="0" applyFont="1" applyFill="1" applyBorder="1" applyAlignment="1">
      <alignment horizontal="right"/>
    </xf>
    <xf numFmtId="0" fontId="4" fillId="0" borderId="4" xfId="0" applyFont="1" applyBorder="1" applyAlignment="1">
      <alignment horizontal="right"/>
    </xf>
    <xf numFmtId="2" fontId="5" fillId="0" borderId="4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7" xfId="0" applyBorder="1"/>
    <xf numFmtId="11" fontId="0" fillId="0" borderId="4" xfId="0" applyNumberFormat="1" applyBorder="1"/>
    <xf numFmtId="0" fontId="3" fillId="0" borderId="10" xfId="0" applyFont="1" applyBorder="1"/>
    <xf numFmtId="0" fontId="0" fillId="0" borderId="4" xfId="0" applyBorder="1" applyAlignment="1">
      <alignment vertical="center" wrapText="1"/>
    </xf>
    <xf numFmtId="0" fontId="3" fillId="0" borderId="10" xfId="0" applyFont="1" applyBorder="1" applyAlignment="1">
      <alignment horizontal="right"/>
    </xf>
    <xf numFmtId="2" fontId="3" fillId="0" borderId="10" xfId="0" applyNumberFormat="1" applyFont="1" applyBorder="1"/>
    <xf numFmtId="0" fontId="1" fillId="0" borderId="0" xfId="0" applyFont="1"/>
    <xf numFmtId="11" fontId="3" fillId="0" borderId="4" xfId="0" applyNumberFormat="1" applyFont="1" applyBorder="1"/>
    <xf numFmtId="14" fontId="0" fillId="0" borderId="3" xfId="0" applyNumberFormat="1" applyBorder="1"/>
    <xf numFmtId="0" fontId="0" fillId="0" borderId="5" xfId="0" applyBorder="1"/>
    <xf numFmtId="0" fontId="0" fillId="0" borderId="3" xfId="0" applyBorder="1"/>
    <xf numFmtId="0" fontId="0" fillId="0" borderId="6" xfId="0" applyBorder="1"/>
    <xf numFmtId="0" fontId="0" fillId="0" borderId="8" xfId="0" applyBorder="1"/>
    <xf numFmtId="14" fontId="0" fillId="0" borderId="9" xfId="0" applyNumberFormat="1" applyBorder="1"/>
    <xf numFmtId="0" fontId="0" fillId="0" borderId="10" xfId="0" applyBorder="1"/>
    <xf numFmtId="0" fontId="4" fillId="0" borderId="10" xfId="0" applyFont="1" applyBorder="1" applyAlignment="1">
      <alignment horizontal="right"/>
    </xf>
    <xf numFmtId="2" fontId="5" fillId="0" borderId="10" xfId="0" applyNumberFormat="1" applyFont="1" applyBorder="1" applyAlignment="1">
      <alignment horizontal="right"/>
    </xf>
    <xf numFmtId="11" fontId="0" fillId="0" borderId="10" xfId="0" applyNumberFormat="1" applyBorder="1"/>
    <xf numFmtId="0" fontId="0" fillId="0" borderId="11" xfId="0" applyBorder="1"/>
    <xf numFmtId="0" fontId="1" fillId="0" borderId="12" xfId="0" applyFont="1" applyBorder="1"/>
    <xf numFmtId="49" fontId="2" fillId="0" borderId="13" xfId="0" applyNumberFormat="1" applyFont="1" applyBorder="1" applyAlignment="1">
      <alignment horizontal="center" wrapText="1"/>
    </xf>
    <xf numFmtId="49" fontId="2" fillId="0" borderId="14" xfId="0" applyNumberFormat="1" applyFont="1" applyBorder="1" applyAlignment="1">
      <alignment horizontal="center" wrapText="1"/>
    </xf>
    <xf numFmtId="0" fontId="0" fillId="0" borderId="10" xfId="0" applyBorder="1" applyAlignment="1">
      <alignment vertical="center" wrapText="1"/>
    </xf>
    <xf numFmtId="0" fontId="5" fillId="0" borderId="10" xfId="0" applyFont="1" applyBorder="1" applyAlignment="1">
      <alignment horizontal="right"/>
    </xf>
    <xf numFmtId="14" fontId="0" fillId="0" borderId="15" xfId="0" applyNumberFormat="1" applyBorder="1"/>
    <xf numFmtId="0" fontId="3" fillId="0" borderId="16" xfId="0" applyFont="1" applyBorder="1"/>
    <xf numFmtId="0" fontId="0" fillId="0" borderId="16" xfId="0" applyBorder="1"/>
    <xf numFmtId="0" fontId="3" fillId="0" borderId="16" xfId="0" applyFont="1" applyBorder="1" applyAlignment="1">
      <alignment horizontal="right"/>
    </xf>
    <xf numFmtId="0" fontId="0" fillId="0" borderId="16" xfId="0" applyBorder="1" applyAlignment="1">
      <alignment horizontal="right"/>
    </xf>
    <xf numFmtId="2" fontId="0" fillId="0" borderId="16" xfId="0" applyNumberFormat="1" applyBorder="1" applyAlignment="1">
      <alignment horizontal="right"/>
    </xf>
    <xf numFmtId="2" fontId="3" fillId="0" borderId="16" xfId="0" applyNumberFormat="1" applyFont="1" applyBorder="1"/>
    <xf numFmtId="0" fontId="0" fillId="0" borderId="17" xfId="0" applyBorder="1"/>
    <xf numFmtId="0" fontId="0" fillId="3" borderId="1" xfId="0" applyFill="1" applyBorder="1"/>
    <xf numFmtId="0" fontId="0" fillId="3" borderId="2" xfId="0" applyFill="1" applyBorder="1"/>
    <xf numFmtId="0" fontId="0" fillId="3" borderId="0" xfId="0" applyFill="1"/>
    <xf numFmtId="0" fontId="0" fillId="3" borderId="4" xfId="0" applyFill="1" applyBorder="1"/>
    <xf numFmtId="0" fontId="3" fillId="3" borderId="4" xfId="0" applyFont="1" applyFill="1" applyBorder="1"/>
    <xf numFmtId="0" fontId="0" fillId="3" borderId="5" xfId="0" applyFill="1" applyBorder="1"/>
    <xf numFmtId="0" fontId="0" fillId="0" borderId="18" xfId="0" applyBorder="1"/>
    <xf numFmtId="0" fontId="0" fillId="0" borderId="19" xfId="0" applyBorder="1"/>
    <xf numFmtId="14" fontId="0" fillId="0" borderId="4" xfId="0" applyNumberFormat="1" applyBorder="1"/>
    <xf numFmtId="0" fontId="3" fillId="0" borderId="5" xfId="0" applyFont="1" applyBorder="1"/>
    <xf numFmtId="11" fontId="0" fillId="0" borderId="16" xfId="0" applyNumberFormat="1" applyBorder="1"/>
    <xf numFmtId="0" fontId="3" fillId="3" borderId="4" xfId="0" applyFont="1" applyFill="1" applyBorder="1" applyAlignment="1">
      <alignment horizontal="right"/>
    </xf>
    <xf numFmtId="0" fontId="0" fillId="3" borderId="4" xfId="0" applyFill="1" applyBorder="1" applyAlignment="1">
      <alignment horizontal="right"/>
    </xf>
    <xf numFmtId="2" fontId="0" fillId="3" borderId="4" xfId="0" applyNumberFormat="1" applyFill="1" applyBorder="1" applyAlignment="1">
      <alignment horizontal="right"/>
    </xf>
    <xf numFmtId="2" fontId="3" fillId="3" borderId="4" xfId="0" applyNumberFormat="1" applyFont="1" applyFill="1" applyBorder="1"/>
    <xf numFmtId="0" fontId="3" fillId="0" borderId="20" xfId="0" applyFont="1" applyBorder="1" applyAlignment="1">
      <alignment horizontal="right"/>
    </xf>
    <xf numFmtId="0" fontId="3" fillId="0" borderId="7" xfId="0" applyFont="1" applyBorder="1"/>
    <xf numFmtId="0" fontId="3" fillId="0" borderId="21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2" fontId="0" fillId="0" borderId="7" xfId="0" applyNumberFormat="1" applyBorder="1" applyAlignment="1">
      <alignment horizontal="right"/>
    </xf>
    <xf numFmtId="2" fontId="3" fillId="0" borderId="7" xfId="0" applyNumberFormat="1" applyFont="1" applyBorder="1"/>
    <xf numFmtId="0" fontId="3" fillId="0" borderId="8" xfId="0" applyFont="1" applyBorder="1"/>
    <xf numFmtId="0" fontId="3" fillId="0" borderId="18" xfId="0" applyFont="1" applyBorder="1"/>
    <xf numFmtId="0" fontId="3" fillId="0" borderId="2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EC064-8A56-476E-B5AD-9B420A99A9D4}">
  <sheetPr>
    <pageSetUpPr fitToPage="1"/>
  </sheetPr>
  <dimension ref="A1:Y65"/>
  <sheetViews>
    <sheetView tabSelected="1" workbookViewId="0">
      <selection activeCell="E23" sqref="E23"/>
    </sheetView>
  </sheetViews>
  <sheetFormatPr defaultRowHeight="14.5" x14ac:dyDescent="0.35"/>
  <cols>
    <col min="1" max="1" width="21" customWidth="1"/>
    <col min="2" max="2" width="9.453125" bestFit="1" customWidth="1"/>
    <col min="9" max="9" width="11.08984375" customWidth="1"/>
    <col min="15" max="15" width="16.6328125" customWidth="1"/>
    <col min="17" max="17" width="16.90625" customWidth="1"/>
    <col min="20" max="20" width="12.26953125" customWidth="1"/>
    <col min="21" max="21" width="18.7265625" customWidth="1"/>
    <col min="22" max="22" width="19.54296875" customWidth="1"/>
    <col min="23" max="23" width="18" customWidth="1"/>
    <col min="24" max="24" width="16.90625" customWidth="1"/>
  </cols>
  <sheetData>
    <row r="1" spans="1:24" ht="15" thickBot="1" x14ac:dyDescent="0.4">
      <c r="A1" t="s">
        <v>81</v>
      </c>
    </row>
    <row r="2" spans="1:24" ht="44" thickBot="1" x14ac:dyDescent="0.4">
      <c r="A2" s="18" t="s">
        <v>83</v>
      </c>
      <c r="B2" s="31" t="s">
        <v>72</v>
      </c>
      <c r="C2" s="32" t="s">
        <v>0</v>
      </c>
      <c r="D2" s="32" t="s">
        <v>1</v>
      </c>
      <c r="E2" s="32" t="s">
        <v>2</v>
      </c>
      <c r="F2" s="32" t="s">
        <v>3</v>
      </c>
      <c r="G2" s="32" t="s">
        <v>4</v>
      </c>
      <c r="H2" s="32" t="s">
        <v>5</v>
      </c>
      <c r="I2" s="32" t="s">
        <v>112</v>
      </c>
      <c r="J2" s="32" t="s">
        <v>6</v>
      </c>
      <c r="K2" s="32" t="s">
        <v>7</v>
      </c>
      <c r="L2" s="32" t="s">
        <v>8</v>
      </c>
      <c r="M2" s="32" t="s">
        <v>9</v>
      </c>
      <c r="N2" s="32" t="s">
        <v>10</v>
      </c>
      <c r="O2" s="32" t="s">
        <v>11</v>
      </c>
      <c r="P2" s="32" t="s">
        <v>12</v>
      </c>
      <c r="Q2" s="32" t="s">
        <v>13</v>
      </c>
      <c r="R2" s="32" t="s">
        <v>14</v>
      </c>
      <c r="S2" s="32" t="s">
        <v>114</v>
      </c>
      <c r="T2" s="32" t="s">
        <v>113</v>
      </c>
      <c r="U2" s="32" t="s">
        <v>109</v>
      </c>
      <c r="V2" s="32" t="s">
        <v>110</v>
      </c>
      <c r="W2" s="32" t="s">
        <v>108</v>
      </c>
      <c r="X2" s="33" t="s">
        <v>111</v>
      </c>
    </row>
    <row r="3" spans="1:24" x14ac:dyDescent="0.35">
      <c r="A3" t="s">
        <v>84</v>
      </c>
      <c r="B3" s="25">
        <v>44649</v>
      </c>
      <c r="C3" s="14" t="s">
        <v>64</v>
      </c>
      <c r="D3" s="14" t="s">
        <v>64</v>
      </c>
      <c r="E3" s="29">
        <v>1261101.25</v>
      </c>
      <c r="F3" s="34">
        <v>8</v>
      </c>
      <c r="G3" s="29">
        <f>E3/F3</f>
        <v>157637.65625</v>
      </c>
      <c r="H3" s="14" t="s">
        <v>65</v>
      </c>
      <c r="I3" s="14"/>
      <c r="J3" s="16">
        <v>4.0599999999999996</v>
      </c>
      <c r="K3" s="27" t="s">
        <v>18</v>
      </c>
      <c r="L3" s="27" t="s">
        <v>18</v>
      </c>
      <c r="M3" s="28" t="s">
        <v>18</v>
      </c>
      <c r="N3" s="35" t="s">
        <v>18</v>
      </c>
      <c r="O3" s="17">
        <f>R3*0.25/J3</f>
        <v>1.4778325123152711</v>
      </c>
      <c r="P3" s="17">
        <f t="shared" ref="P3:P46" si="0">R3-Q3-O3</f>
        <v>14.468476212516945</v>
      </c>
      <c r="Q3" s="17">
        <f t="shared" ref="Q3:Q9" si="1">R3*5/14.9</f>
        <v>8.0536912751677843</v>
      </c>
      <c r="R3" s="14">
        <v>24</v>
      </c>
      <c r="S3" s="14">
        <v>4</v>
      </c>
      <c r="T3" s="14">
        <f>S3*O3/R3</f>
        <v>0.24630541871921185</v>
      </c>
      <c r="U3" s="29">
        <f>E3*O3/R3*4</f>
        <v>310616.07142857148</v>
      </c>
      <c r="V3" s="26">
        <f t="shared" ref="V3:V38" si="2">LOG10(U3)</f>
        <v>5.4922239225843441</v>
      </c>
      <c r="W3" s="29">
        <f>G3*J3*O3/R3*4</f>
        <v>157637.65625</v>
      </c>
      <c r="X3" s="30">
        <f t="shared" ref="X3:X13" si="3">LOG(W3,10)</f>
        <v>5.1976599691695942</v>
      </c>
    </row>
    <row r="4" spans="1:24" x14ac:dyDescent="0.35">
      <c r="A4" t="s">
        <v>84</v>
      </c>
      <c r="B4" s="20">
        <v>44649</v>
      </c>
      <c r="C4" s="2" t="s">
        <v>66</v>
      </c>
      <c r="D4" s="2" t="s">
        <v>66</v>
      </c>
      <c r="E4" s="19">
        <v>1718498</v>
      </c>
      <c r="F4" s="15">
        <v>11</v>
      </c>
      <c r="G4" s="29">
        <f t="shared" ref="G4:G13" si="4">E4/F4</f>
        <v>156227.09090909091</v>
      </c>
      <c r="H4" s="2" t="s">
        <v>65</v>
      </c>
      <c r="I4" s="14"/>
      <c r="J4" s="4">
        <v>1.03</v>
      </c>
      <c r="K4" s="8" t="s">
        <v>18</v>
      </c>
      <c r="L4" s="8" t="s">
        <v>18</v>
      </c>
      <c r="M4" s="9" t="s">
        <v>18</v>
      </c>
      <c r="N4" s="10" t="s">
        <v>18</v>
      </c>
      <c r="O4" s="6">
        <f>R4*0.25/J4</f>
        <v>5.825242718446602</v>
      </c>
      <c r="P4" s="6">
        <f t="shared" si="0"/>
        <v>10.121066006385615</v>
      </c>
      <c r="Q4" s="6">
        <f t="shared" si="1"/>
        <v>8.0536912751677843</v>
      </c>
      <c r="R4" s="2">
        <v>24</v>
      </c>
      <c r="S4" s="14">
        <v>4</v>
      </c>
      <c r="T4" s="14">
        <f t="shared" ref="T4:T33" si="5">S4*O4/R4</f>
        <v>0.970873786407767</v>
      </c>
      <c r="U4" s="29">
        <f>E4*O4/R4*4</f>
        <v>1668444.6601941746</v>
      </c>
      <c r="V4" s="3">
        <f t="shared" si="2"/>
        <v>6.2223118063334084</v>
      </c>
      <c r="W4" s="29">
        <f>G4*J4*O4/R4*4</f>
        <v>156227.09090909091</v>
      </c>
      <c r="X4" s="21">
        <f t="shared" si="3"/>
        <v>5.1937563458803551</v>
      </c>
    </row>
    <row r="5" spans="1:24" x14ac:dyDescent="0.35">
      <c r="A5" t="s">
        <v>84</v>
      </c>
      <c r="B5" s="20">
        <v>44649</v>
      </c>
      <c r="C5" s="2" t="s">
        <v>67</v>
      </c>
      <c r="D5" s="2" t="s">
        <v>67</v>
      </c>
      <c r="E5" s="19">
        <v>14366123</v>
      </c>
      <c r="F5" s="15">
        <v>32</v>
      </c>
      <c r="G5" s="29">
        <f t="shared" si="4"/>
        <v>448941.34375</v>
      </c>
      <c r="H5" s="2" t="s">
        <v>65</v>
      </c>
      <c r="I5" s="14"/>
      <c r="J5" s="4">
        <v>18.7</v>
      </c>
      <c r="K5" s="4">
        <v>2</v>
      </c>
      <c r="L5" s="4">
        <v>20</v>
      </c>
      <c r="M5" s="5">
        <f>L5-N5</f>
        <v>17.860962566844918</v>
      </c>
      <c r="N5" s="5">
        <f>2*L5/J5</f>
        <v>2.1390374331550803</v>
      </c>
      <c r="O5" s="6">
        <f>R5*0.25/K5</f>
        <v>3</v>
      </c>
      <c r="P5" s="6">
        <f t="shared" si="0"/>
        <v>12.946308724832216</v>
      </c>
      <c r="Q5" s="6">
        <f t="shared" si="1"/>
        <v>8.0536912751677843</v>
      </c>
      <c r="R5" s="2">
        <v>24</v>
      </c>
      <c r="S5" s="14">
        <v>4</v>
      </c>
      <c r="T5" s="14">
        <f>S5*O5/R5*N5/L5</f>
        <v>5.3475935828877011E-2</v>
      </c>
      <c r="U5" s="13">
        <f>E5*N5/L5*O5/R5*4</f>
        <v>768241.87165775395</v>
      </c>
      <c r="V5" s="3">
        <f t="shared" si="2"/>
        <v>5.8854979739230666</v>
      </c>
      <c r="W5" s="13">
        <f>G5*J5*N5/L5*O5/R5*4</f>
        <v>448941.34375</v>
      </c>
      <c r="X5" s="21">
        <f t="shared" si="3"/>
        <v>5.6521896021396598</v>
      </c>
    </row>
    <row r="6" spans="1:24" x14ac:dyDescent="0.35">
      <c r="A6" t="s">
        <v>84</v>
      </c>
      <c r="B6" s="20">
        <v>44649</v>
      </c>
      <c r="C6" s="2" t="s">
        <v>68</v>
      </c>
      <c r="D6" s="2" t="s">
        <v>68</v>
      </c>
      <c r="E6" s="19">
        <v>813641.19</v>
      </c>
      <c r="F6" s="15">
        <v>8</v>
      </c>
      <c r="G6" s="29">
        <f t="shared" si="4"/>
        <v>101705.14874999999</v>
      </c>
      <c r="H6" s="2" t="s">
        <v>65</v>
      </c>
      <c r="I6" s="14"/>
      <c r="J6" s="4">
        <v>1.35</v>
      </c>
      <c r="K6" s="8" t="s">
        <v>18</v>
      </c>
      <c r="L6" s="8" t="s">
        <v>18</v>
      </c>
      <c r="M6" s="9" t="s">
        <v>18</v>
      </c>
      <c r="N6" s="10" t="s">
        <v>18</v>
      </c>
      <c r="O6" s="6">
        <f>R6*0.25/J6</f>
        <v>4.4444444444444438</v>
      </c>
      <c r="P6" s="6">
        <f t="shared" si="0"/>
        <v>11.501864280387771</v>
      </c>
      <c r="Q6" s="6">
        <f t="shared" si="1"/>
        <v>8.0536912751677843</v>
      </c>
      <c r="R6" s="2">
        <v>24</v>
      </c>
      <c r="S6" s="14">
        <v>4</v>
      </c>
      <c r="T6" s="14">
        <f>S6*O6/R6</f>
        <v>0.74074074074074059</v>
      </c>
      <c r="U6" s="29">
        <f>E6*O6/R6*4</f>
        <v>602697.17777777766</v>
      </c>
      <c r="V6" s="3">
        <f t="shared" si="2"/>
        <v>5.7800991578219723</v>
      </c>
      <c r="W6" s="29">
        <f>G6*J6*O6/R6*4</f>
        <v>101705.14874999999</v>
      </c>
      <c r="X6" s="21">
        <f t="shared" si="3"/>
        <v>5.0073429393250342</v>
      </c>
    </row>
    <row r="7" spans="1:24" x14ac:dyDescent="0.35">
      <c r="A7" t="s">
        <v>84</v>
      </c>
      <c r="B7" s="20">
        <v>44649</v>
      </c>
      <c r="C7" s="2" t="s">
        <v>69</v>
      </c>
      <c r="D7" s="2" t="s">
        <v>69</v>
      </c>
      <c r="E7" s="13">
        <v>14909322</v>
      </c>
      <c r="F7" s="15">
        <v>28</v>
      </c>
      <c r="G7" s="29">
        <f t="shared" si="4"/>
        <v>532475.78571428568</v>
      </c>
      <c r="H7" s="2" t="s">
        <v>65</v>
      </c>
      <c r="I7" s="14"/>
      <c r="J7" s="4">
        <v>14.3</v>
      </c>
      <c r="K7" s="4">
        <v>2</v>
      </c>
      <c r="L7" s="11">
        <v>20</v>
      </c>
      <c r="M7" s="5">
        <f>L7-N7</f>
        <v>17.202797202797203</v>
      </c>
      <c r="N7" s="5">
        <f>K7*L7/J7</f>
        <v>2.7972027972027971</v>
      </c>
      <c r="O7" s="6">
        <f>R7*0.25/K7</f>
        <v>3</v>
      </c>
      <c r="P7" s="6">
        <f t="shared" si="0"/>
        <v>12.946308724832216</v>
      </c>
      <c r="Q7" s="6">
        <f t="shared" si="1"/>
        <v>8.0536912751677843</v>
      </c>
      <c r="R7" s="2">
        <v>24</v>
      </c>
      <c r="S7" s="14">
        <v>4</v>
      </c>
      <c r="T7" s="14">
        <f>S7*O7/R7*N7/L7</f>
        <v>6.9930069930069921E-2</v>
      </c>
      <c r="U7" s="13">
        <f>E7*N7/L7*O7/R7*4</f>
        <v>1042609.9300699303</v>
      </c>
      <c r="V7" s="3">
        <f t="shared" si="2"/>
        <v>6.0181218569367116</v>
      </c>
      <c r="W7" s="13">
        <f>G7*J7*N7/L7*O7/R7*4</f>
        <v>532475.78571428568</v>
      </c>
      <c r="X7" s="21">
        <f t="shared" si="3"/>
        <v>5.7262998630595536</v>
      </c>
    </row>
    <row r="8" spans="1:24" x14ac:dyDescent="0.35">
      <c r="A8" t="s">
        <v>84</v>
      </c>
      <c r="B8" s="20">
        <v>44649</v>
      </c>
      <c r="C8" s="2" t="s">
        <v>70</v>
      </c>
      <c r="D8" s="2" t="s">
        <v>70</v>
      </c>
      <c r="E8" s="19">
        <v>245472.52</v>
      </c>
      <c r="F8" s="15">
        <v>14</v>
      </c>
      <c r="G8" s="29">
        <f t="shared" si="4"/>
        <v>17533.751428571428</v>
      </c>
      <c r="H8" s="2" t="s">
        <v>65</v>
      </c>
      <c r="I8" s="14"/>
      <c r="J8" s="4">
        <v>0.45800000000000002</v>
      </c>
      <c r="K8" s="10" t="s">
        <v>18</v>
      </c>
      <c r="L8" s="10" t="s">
        <v>18</v>
      </c>
      <c r="M8" s="9" t="s">
        <v>18</v>
      </c>
      <c r="N8" s="9" t="s">
        <v>18</v>
      </c>
      <c r="O8" s="6">
        <v>4</v>
      </c>
      <c r="P8" s="6">
        <f t="shared" si="0"/>
        <v>11.946308724832216</v>
      </c>
      <c r="Q8" s="6">
        <f t="shared" si="1"/>
        <v>8.0536912751677843</v>
      </c>
      <c r="R8" s="2">
        <v>24</v>
      </c>
      <c r="S8" s="14">
        <v>4</v>
      </c>
      <c r="T8" s="14">
        <f t="shared" si="5"/>
        <v>0.66666666666666663</v>
      </c>
      <c r="U8" s="13">
        <f>O8*E8/R8*4</f>
        <v>163648.34666666665</v>
      </c>
      <c r="V8" s="3">
        <f>LOG10(U8)</f>
        <v>5.213911622004729</v>
      </c>
      <c r="W8" s="13">
        <f>G8*J8*O8/R8*4</f>
        <v>5353.6387695238091</v>
      </c>
      <c r="X8" s="21">
        <f>LOG(W8,10)</f>
        <v>3.7286490643303596</v>
      </c>
    </row>
    <row r="9" spans="1:24" x14ac:dyDescent="0.35">
      <c r="A9" t="s">
        <v>84</v>
      </c>
      <c r="B9" s="20">
        <v>44649</v>
      </c>
      <c r="C9" s="2" t="s">
        <v>71</v>
      </c>
      <c r="D9" s="2" t="s">
        <v>71</v>
      </c>
      <c r="E9" s="13">
        <v>1989807</v>
      </c>
      <c r="F9" s="15">
        <v>25</v>
      </c>
      <c r="G9" s="29">
        <f t="shared" si="4"/>
        <v>79592.28</v>
      </c>
      <c r="H9" s="2" t="s">
        <v>65</v>
      </c>
      <c r="I9" s="14"/>
      <c r="J9" s="4">
        <v>2.56</v>
      </c>
      <c r="K9" s="10" t="s">
        <v>18</v>
      </c>
      <c r="L9" s="10" t="s">
        <v>18</v>
      </c>
      <c r="M9" s="9" t="s">
        <v>18</v>
      </c>
      <c r="N9" s="9" t="s">
        <v>18</v>
      </c>
      <c r="O9" s="6">
        <f>R9*0.25/J9</f>
        <v>2.34375</v>
      </c>
      <c r="P9" s="6">
        <f t="shared" si="0"/>
        <v>13.602558724832216</v>
      </c>
      <c r="Q9" s="6">
        <f t="shared" si="1"/>
        <v>8.0536912751677843</v>
      </c>
      <c r="R9" s="2">
        <v>24</v>
      </c>
      <c r="S9" s="14">
        <v>4</v>
      </c>
      <c r="T9" s="14">
        <f t="shared" si="5"/>
        <v>0.390625</v>
      </c>
      <c r="U9" s="13">
        <f>O9*E9/R9*4</f>
        <v>777268.359375</v>
      </c>
      <c r="V9" s="3">
        <f t="shared" si="2"/>
        <v>5.8905709890376299</v>
      </c>
      <c r="W9" s="13">
        <f>G9*J9*O9/R9*4</f>
        <v>79592.280000000013</v>
      </c>
      <c r="X9" s="21">
        <f t="shared" si="3"/>
        <v>4.9008709456774415</v>
      </c>
    </row>
    <row r="10" spans="1:24" x14ac:dyDescent="0.35">
      <c r="A10" t="s">
        <v>84</v>
      </c>
      <c r="B10" s="20">
        <v>44663</v>
      </c>
      <c r="C10" s="2" t="s">
        <v>46</v>
      </c>
      <c r="D10" s="2" t="s">
        <v>46</v>
      </c>
      <c r="E10" s="3">
        <v>8500098</v>
      </c>
      <c r="F10" s="3">
        <v>28</v>
      </c>
      <c r="G10" s="29">
        <f t="shared" si="4"/>
        <v>303574.92857142858</v>
      </c>
      <c r="H10" s="2" t="s">
        <v>47</v>
      </c>
      <c r="I10" s="14"/>
      <c r="J10" s="4">
        <v>16.3</v>
      </c>
      <c r="K10" s="4">
        <v>2.5</v>
      </c>
      <c r="L10" s="11">
        <v>15</v>
      </c>
      <c r="M10" s="5">
        <f>L10-N10</f>
        <v>12.699386503067485</v>
      </c>
      <c r="N10" s="5">
        <f>K10*L10/J10</f>
        <v>2.3006134969325154</v>
      </c>
      <c r="O10" s="6">
        <f>R10*0.25/K10</f>
        <v>2.4</v>
      </c>
      <c r="P10" s="6">
        <f t="shared" si="0"/>
        <v>18.049704142011834</v>
      </c>
      <c r="Q10" s="6">
        <f t="shared" ref="Q10:Q38" si="6">R10*5/33.8</f>
        <v>3.550295857988166</v>
      </c>
      <c r="R10" s="2">
        <v>24</v>
      </c>
      <c r="S10" s="14">
        <v>4</v>
      </c>
      <c r="T10" s="14">
        <f>S10*O10/R10*N10/L10</f>
        <v>6.1349693251533735E-2</v>
      </c>
      <c r="U10" s="13">
        <f>E10*N10/L10*O10/R10*4</f>
        <v>521478.40490797552</v>
      </c>
      <c r="V10" s="3">
        <f t="shared" si="2"/>
        <v>5.7172363284413796</v>
      </c>
      <c r="W10" s="13">
        <f>G10*J10*N10/L10*O10/R10*4</f>
        <v>303574.92857142858</v>
      </c>
      <c r="X10" s="21">
        <f t="shared" si="3"/>
        <v>5.4822659015031174</v>
      </c>
    </row>
    <row r="11" spans="1:24" x14ac:dyDescent="0.35">
      <c r="A11" t="s">
        <v>84</v>
      </c>
      <c r="B11" s="20">
        <v>44663</v>
      </c>
      <c r="C11" s="2" t="s">
        <v>48</v>
      </c>
      <c r="D11" s="2" t="s">
        <v>48</v>
      </c>
      <c r="E11" s="3">
        <v>20427184</v>
      </c>
      <c r="F11" s="15">
        <v>100</v>
      </c>
      <c r="G11" s="29">
        <f t="shared" ref="G11" si="7">E11/F11</f>
        <v>204271.84</v>
      </c>
      <c r="H11" s="2" t="s">
        <v>47</v>
      </c>
      <c r="I11" s="14"/>
      <c r="J11" s="4">
        <v>0.38</v>
      </c>
      <c r="K11" s="8" t="s">
        <v>18</v>
      </c>
      <c r="L11" s="8" t="s">
        <v>18</v>
      </c>
      <c r="M11" s="8" t="s">
        <v>18</v>
      </c>
      <c r="N11" s="8" t="s">
        <v>18</v>
      </c>
      <c r="O11" s="6">
        <v>2</v>
      </c>
      <c r="P11" s="6">
        <f t="shared" ref="P11" si="8">R11-Q11-O11</f>
        <v>18.449704142011832</v>
      </c>
      <c r="Q11" s="6">
        <f t="shared" ref="Q11" si="9">R11*5/33.8</f>
        <v>3.550295857988166</v>
      </c>
      <c r="R11" s="2">
        <v>24</v>
      </c>
      <c r="S11" s="14">
        <v>4</v>
      </c>
      <c r="T11" s="14">
        <f>S11*O11/R11</f>
        <v>0.33333333333333331</v>
      </c>
      <c r="U11" s="13">
        <f>E11*O11/R11*4</f>
        <v>6809061.333333333</v>
      </c>
      <c r="V11" s="3">
        <f t="shared" ref="V11" si="10">LOG10(U11)</f>
        <v>6.8330872461490078</v>
      </c>
      <c r="W11" s="13">
        <f>G11*J11*O11/R11*4</f>
        <v>25874.433066666665</v>
      </c>
      <c r="X11" s="21">
        <f t="shared" ref="X11" si="11">LOG(W11,10)</f>
        <v>4.4128708427658179</v>
      </c>
    </row>
    <row r="12" spans="1:24" x14ac:dyDescent="0.35">
      <c r="A12" t="s">
        <v>84</v>
      </c>
      <c r="B12" s="20">
        <v>44671</v>
      </c>
      <c r="C12" s="2" t="s">
        <v>48</v>
      </c>
      <c r="D12" s="2" t="s">
        <v>48</v>
      </c>
      <c r="E12" s="3">
        <v>20427184</v>
      </c>
      <c r="F12" s="15">
        <v>100</v>
      </c>
      <c r="G12" s="29">
        <f t="shared" si="4"/>
        <v>204271.84</v>
      </c>
      <c r="H12" s="2" t="s">
        <v>104</v>
      </c>
      <c r="I12" s="14"/>
      <c r="J12" s="4">
        <v>24.8</v>
      </c>
      <c r="K12" s="4">
        <v>2</v>
      </c>
      <c r="L12" s="4">
        <v>20</v>
      </c>
      <c r="M12" s="4">
        <v>18.39</v>
      </c>
      <c r="N12" s="4">
        <v>1.61</v>
      </c>
      <c r="O12" s="6">
        <v>3</v>
      </c>
      <c r="P12" s="6">
        <v>18.32</v>
      </c>
      <c r="Q12" s="6">
        <v>2.68</v>
      </c>
      <c r="R12" s="2">
        <v>24</v>
      </c>
      <c r="S12" s="14">
        <v>4</v>
      </c>
      <c r="T12" s="14">
        <f>S12*O12/R12*N12/L12</f>
        <v>4.0250000000000001E-2</v>
      </c>
      <c r="U12" s="13">
        <f>E12*O12/R12*4</f>
        <v>10213592</v>
      </c>
      <c r="V12" s="3">
        <f t="shared" si="2"/>
        <v>7.0091785052046891</v>
      </c>
      <c r="W12" s="13">
        <f>G12*J12*O12/R12*4</f>
        <v>2532970.8160000001</v>
      </c>
      <c r="X12" s="21">
        <f t="shared" si="3"/>
        <v>6.4036301860309051</v>
      </c>
    </row>
    <row r="13" spans="1:24" x14ac:dyDescent="0.35">
      <c r="A13" t="s">
        <v>84</v>
      </c>
      <c r="B13" s="20">
        <v>44671</v>
      </c>
      <c r="C13" s="2" t="s">
        <v>82</v>
      </c>
      <c r="D13" s="2" t="s">
        <v>82</v>
      </c>
      <c r="E13" s="3">
        <v>34825116</v>
      </c>
      <c r="F13" s="15">
        <v>222</v>
      </c>
      <c r="G13" s="29">
        <f t="shared" si="4"/>
        <v>156869.89189189189</v>
      </c>
      <c r="H13" s="2" t="s">
        <v>47</v>
      </c>
      <c r="I13" s="2">
        <v>10</v>
      </c>
      <c r="J13" s="4">
        <v>14.2</v>
      </c>
      <c r="K13" s="4">
        <v>2</v>
      </c>
      <c r="L13" s="11">
        <v>20</v>
      </c>
      <c r="M13" s="5">
        <f>L13-N13</f>
        <v>17.183098591549296</v>
      </c>
      <c r="N13" s="5">
        <f>K13*L13/J13</f>
        <v>2.8169014084507045</v>
      </c>
      <c r="O13" s="6">
        <f>R13*0.25/K13</f>
        <v>3</v>
      </c>
      <c r="P13" s="6">
        <v>18.32</v>
      </c>
      <c r="Q13" s="6">
        <v>2.68</v>
      </c>
      <c r="R13" s="2">
        <v>24</v>
      </c>
      <c r="S13" s="14">
        <v>4</v>
      </c>
      <c r="T13" s="14">
        <f>S13*O13/R13*N13/L13/I13</f>
        <v>7.0422535211267607E-3</v>
      </c>
      <c r="U13" s="13">
        <f>E13*N13/L13*O13/R13*4</f>
        <v>2452472.9577464787</v>
      </c>
      <c r="V13" s="3">
        <f t="shared" si="2"/>
        <v>6.3896042273195777</v>
      </c>
      <c r="W13" s="13">
        <f>G13*J13*N13/L13*O13/R13*4</f>
        <v>156869.89189189189</v>
      </c>
      <c r="X13" s="21">
        <f t="shared" si="3"/>
        <v>5.1955395972519955</v>
      </c>
    </row>
    <row r="14" spans="1:24" x14ac:dyDescent="0.35">
      <c r="A14" t="s">
        <v>84</v>
      </c>
      <c r="B14" s="20">
        <v>44671</v>
      </c>
      <c r="C14" s="2" t="s">
        <v>73</v>
      </c>
      <c r="D14" s="2" t="s">
        <v>77</v>
      </c>
      <c r="E14" s="3">
        <v>755.29</v>
      </c>
      <c r="F14" s="3"/>
      <c r="G14" s="3"/>
      <c r="H14" s="2" t="s">
        <v>17</v>
      </c>
      <c r="I14" s="2"/>
      <c r="J14" s="4">
        <v>0.1</v>
      </c>
      <c r="K14" s="10" t="s">
        <v>18</v>
      </c>
      <c r="L14" s="10" t="s">
        <v>18</v>
      </c>
      <c r="M14" s="9" t="s">
        <v>18</v>
      </c>
      <c r="N14" s="9" t="s">
        <v>18</v>
      </c>
      <c r="O14" s="6">
        <v>2</v>
      </c>
      <c r="P14" s="6">
        <v>19.32</v>
      </c>
      <c r="Q14" s="6">
        <v>2.68</v>
      </c>
      <c r="R14" s="2">
        <v>24</v>
      </c>
      <c r="S14" s="14">
        <v>4</v>
      </c>
      <c r="T14" s="14">
        <f t="shared" si="5"/>
        <v>0.33333333333333331</v>
      </c>
      <c r="U14" s="13">
        <f>E14*O14/R14*4</f>
        <v>251.76333333333332</v>
      </c>
      <c r="V14" s="3">
        <f t="shared" si="2"/>
        <v>2.4009924799793994</v>
      </c>
      <c r="W14" s="3"/>
      <c r="X14" s="21"/>
    </row>
    <row r="15" spans="1:24" x14ac:dyDescent="0.35">
      <c r="A15" t="s">
        <v>84</v>
      </c>
      <c r="B15" s="20">
        <v>44671</v>
      </c>
      <c r="C15" s="2" t="s">
        <v>74</v>
      </c>
      <c r="D15" s="2" t="s">
        <v>78</v>
      </c>
      <c r="E15" s="3">
        <v>825.26</v>
      </c>
      <c r="F15" s="3"/>
      <c r="G15" s="3"/>
      <c r="H15" s="2" t="s">
        <v>17</v>
      </c>
      <c r="I15" s="2"/>
      <c r="J15" s="4" t="s">
        <v>25</v>
      </c>
      <c r="K15" s="10" t="s">
        <v>18</v>
      </c>
      <c r="L15" s="10" t="s">
        <v>18</v>
      </c>
      <c r="M15" s="9" t="s">
        <v>18</v>
      </c>
      <c r="N15" s="9" t="s">
        <v>18</v>
      </c>
      <c r="O15" s="6">
        <v>2</v>
      </c>
      <c r="P15" s="6">
        <v>19.32</v>
      </c>
      <c r="Q15" s="6">
        <v>2.68</v>
      </c>
      <c r="R15" s="2">
        <v>24</v>
      </c>
      <c r="S15" s="14">
        <v>4</v>
      </c>
      <c r="T15" s="14">
        <f t="shared" si="5"/>
        <v>0.33333333333333331</v>
      </c>
      <c r="U15" s="13">
        <f t="shared" ref="U15:U16" si="12">E15*O15/R15*4</f>
        <v>275.08666666666664</v>
      </c>
      <c r="V15" s="3">
        <f t="shared" si="2"/>
        <v>2.4394695408316189</v>
      </c>
      <c r="W15" s="3"/>
      <c r="X15" s="21"/>
    </row>
    <row r="16" spans="1:24" x14ac:dyDescent="0.35">
      <c r="A16" t="s">
        <v>84</v>
      </c>
      <c r="B16" s="20">
        <v>44671</v>
      </c>
      <c r="C16" s="2" t="s">
        <v>75</v>
      </c>
      <c r="D16" s="2" t="s">
        <v>79</v>
      </c>
      <c r="E16" s="3">
        <v>984.16</v>
      </c>
      <c r="F16" s="3"/>
      <c r="G16" s="3"/>
      <c r="H16" s="2" t="s">
        <v>59</v>
      </c>
      <c r="I16" s="2"/>
      <c r="J16" s="4" t="s">
        <v>25</v>
      </c>
      <c r="K16" s="10" t="s">
        <v>18</v>
      </c>
      <c r="L16" s="10" t="s">
        <v>18</v>
      </c>
      <c r="M16" s="9" t="s">
        <v>18</v>
      </c>
      <c r="N16" s="9" t="s">
        <v>18</v>
      </c>
      <c r="O16" s="6">
        <v>2</v>
      </c>
      <c r="P16" s="6">
        <v>19.32</v>
      </c>
      <c r="Q16" s="6">
        <v>2.68</v>
      </c>
      <c r="R16" s="2">
        <v>24</v>
      </c>
      <c r="S16" s="14">
        <v>4</v>
      </c>
      <c r="T16" s="14">
        <f t="shared" si="5"/>
        <v>0.33333333333333331</v>
      </c>
      <c r="U16" s="13">
        <f t="shared" si="12"/>
        <v>328.05333333333334</v>
      </c>
      <c r="V16" s="3">
        <f t="shared" si="2"/>
        <v>2.5159444549600103</v>
      </c>
      <c r="W16" s="3"/>
      <c r="X16" s="21"/>
    </row>
    <row r="17" spans="1:24" x14ac:dyDescent="0.35">
      <c r="A17" t="s">
        <v>84</v>
      </c>
      <c r="B17" s="20">
        <v>44671</v>
      </c>
      <c r="C17" s="2" t="s">
        <v>76</v>
      </c>
      <c r="D17" s="2" t="s">
        <v>80</v>
      </c>
      <c r="E17" s="3">
        <v>352.03</v>
      </c>
      <c r="F17" s="3"/>
      <c r="G17" s="3"/>
      <c r="H17" s="2" t="s">
        <v>17</v>
      </c>
      <c r="I17" s="2"/>
      <c r="J17" s="4" t="s">
        <v>25</v>
      </c>
      <c r="K17" s="10" t="s">
        <v>18</v>
      </c>
      <c r="L17" s="10" t="s">
        <v>18</v>
      </c>
      <c r="M17" s="9" t="s">
        <v>18</v>
      </c>
      <c r="N17" s="9" t="s">
        <v>18</v>
      </c>
      <c r="O17" s="6">
        <v>2</v>
      </c>
      <c r="P17" s="6">
        <v>19.32</v>
      </c>
      <c r="Q17" s="6">
        <v>2.68</v>
      </c>
      <c r="R17" s="2">
        <v>24</v>
      </c>
      <c r="S17" s="14">
        <v>4</v>
      </c>
      <c r="T17" s="14">
        <f t="shared" si="5"/>
        <v>0.33333333333333331</v>
      </c>
      <c r="U17" s="13">
        <f>E17*O17/R17*4</f>
        <v>117.34333333333332</v>
      </c>
      <c r="V17" s="3">
        <f t="shared" si="2"/>
        <v>2.0694584209155216</v>
      </c>
      <c r="W17" s="13"/>
      <c r="X17" s="21"/>
    </row>
    <row r="18" spans="1:24" x14ac:dyDescent="0.35">
      <c r="A18" t="s">
        <v>84</v>
      </c>
      <c r="B18" s="20">
        <v>44652</v>
      </c>
      <c r="C18" s="2" t="s">
        <v>49</v>
      </c>
      <c r="D18" s="2" t="s">
        <v>50</v>
      </c>
      <c r="E18" s="3">
        <v>2769921</v>
      </c>
      <c r="F18" s="3"/>
      <c r="G18" s="3"/>
      <c r="H18" s="2" t="s">
        <v>17</v>
      </c>
      <c r="I18" s="2"/>
      <c r="J18" s="4">
        <v>9.16</v>
      </c>
      <c r="K18" s="4">
        <v>1.25</v>
      </c>
      <c r="L18" s="4">
        <v>20</v>
      </c>
      <c r="M18" s="5">
        <f>L18-N18</f>
        <v>17.270742358078603</v>
      </c>
      <c r="N18" s="5">
        <f>K18*L18/J18</f>
        <v>2.7292576419213974</v>
      </c>
      <c r="O18" s="6">
        <f>R18*0.25/K18</f>
        <v>4.8</v>
      </c>
      <c r="P18" s="6">
        <f t="shared" si="0"/>
        <v>15.649704142011831</v>
      </c>
      <c r="Q18" s="6">
        <f t="shared" si="6"/>
        <v>3.550295857988166</v>
      </c>
      <c r="R18" s="2">
        <v>24</v>
      </c>
      <c r="S18" s="14">
        <v>4</v>
      </c>
      <c r="T18" s="14">
        <f>S18*O18/R18*N18/L18</f>
        <v>0.10917030567685589</v>
      </c>
      <c r="U18" s="13">
        <f>E18*N18/L18*O18/R18*4</f>
        <v>302393.12227074231</v>
      </c>
      <c r="V18" s="3">
        <f t="shared" si="2"/>
        <v>5.4805719092040608</v>
      </c>
      <c r="W18" s="3"/>
      <c r="X18" s="21"/>
    </row>
    <row r="19" spans="1:24" x14ac:dyDescent="0.35">
      <c r="A19" t="s">
        <v>84</v>
      </c>
      <c r="B19" s="20">
        <v>44652</v>
      </c>
      <c r="C19" s="2" t="s">
        <v>51</v>
      </c>
      <c r="D19" s="2" t="s">
        <v>52</v>
      </c>
      <c r="E19" s="3">
        <v>3145114.25</v>
      </c>
      <c r="F19" s="3"/>
      <c r="G19" s="3"/>
      <c r="H19" s="2" t="s">
        <v>17</v>
      </c>
      <c r="I19" s="2"/>
      <c r="J19" s="4">
        <v>9.8000000000000007</v>
      </c>
      <c r="K19" s="4">
        <v>1.25</v>
      </c>
      <c r="L19" s="4">
        <v>20</v>
      </c>
      <c r="M19" s="5">
        <f>L19-N19</f>
        <v>17.448979591836736</v>
      </c>
      <c r="N19" s="5">
        <f>K19*L19/J19</f>
        <v>2.5510204081632653</v>
      </c>
      <c r="O19" s="6">
        <f>R19*0.25/K19</f>
        <v>4.8</v>
      </c>
      <c r="P19" s="6">
        <f t="shared" si="0"/>
        <v>15.649704142011831</v>
      </c>
      <c r="Q19" s="6">
        <f t="shared" si="6"/>
        <v>3.550295857988166</v>
      </c>
      <c r="R19" s="2">
        <v>24</v>
      </c>
      <c r="S19" s="14">
        <v>4</v>
      </c>
      <c r="T19" s="14">
        <f>S19*O19/R19*N19/L19</f>
        <v>0.10204081632653059</v>
      </c>
      <c r="U19" s="13">
        <f>E19*N19/L19*O19/R19*4</f>
        <v>320930.02551020408</v>
      </c>
      <c r="V19" s="3">
        <f t="shared" si="2"/>
        <v>5.5064103506367506</v>
      </c>
      <c r="W19" s="3"/>
      <c r="X19" s="21"/>
    </row>
    <row r="20" spans="1:24" x14ac:dyDescent="0.35">
      <c r="A20" t="s">
        <v>84</v>
      </c>
      <c r="B20" s="20">
        <v>44652</v>
      </c>
      <c r="C20" s="2" t="s">
        <v>53</v>
      </c>
      <c r="D20" s="2" t="s">
        <v>54</v>
      </c>
      <c r="E20" s="3">
        <v>7378686.5</v>
      </c>
      <c r="F20" s="3"/>
      <c r="G20" s="3"/>
      <c r="H20" s="2" t="s">
        <v>17</v>
      </c>
      <c r="I20" s="2"/>
      <c r="J20" s="4">
        <v>13.2</v>
      </c>
      <c r="K20" s="4">
        <v>1.25</v>
      </c>
      <c r="L20" s="4">
        <v>20</v>
      </c>
      <c r="M20" s="5">
        <f>L20-N20</f>
        <v>18.106060606060606</v>
      </c>
      <c r="N20" s="5">
        <f>K20*L20/J20</f>
        <v>1.893939393939394</v>
      </c>
      <c r="O20" s="6">
        <f>R20*0.25/K20</f>
        <v>4.8</v>
      </c>
      <c r="P20" s="6">
        <f t="shared" si="0"/>
        <v>15.649704142011831</v>
      </c>
      <c r="Q20" s="6">
        <f t="shared" si="6"/>
        <v>3.550295857988166</v>
      </c>
      <c r="R20" s="2">
        <v>24</v>
      </c>
      <c r="S20" s="14">
        <v>4</v>
      </c>
      <c r="T20" s="14">
        <f>S20*O20/R20*N20/L20</f>
        <v>7.575757575757576E-2</v>
      </c>
      <c r="U20" s="13">
        <f>E20*N20/L20*O20/R20*4</f>
        <v>558991.40151515149</v>
      </c>
      <c r="V20" s="3">
        <f t="shared" si="2"/>
        <v>5.7474051275586184</v>
      </c>
      <c r="W20" s="13">
        <f>U20/4*R20/O20*L20/N20</f>
        <v>7378686.5</v>
      </c>
      <c r="X20" s="21"/>
    </row>
    <row r="21" spans="1:24" x14ac:dyDescent="0.35">
      <c r="A21" t="s">
        <v>84</v>
      </c>
      <c r="B21" s="20">
        <v>44652</v>
      </c>
      <c r="C21" s="2" t="s">
        <v>55</v>
      </c>
      <c r="D21" s="2" t="s">
        <v>56</v>
      </c>
      <c r="E21" s="3">
        <v>5524195</v>
      </c>
      <c r="F21" s="3"/>
      <c r="G21" s="3"/>
      <c r="H21" s="2" t="s">
        <v>17</v>
      </c>
      <c r="I21" s="2"/>
      <c r="J21" s="4">
        <v>4.8600000000000003</v>
      </c>
      <c r="K21" s="8" t="s">
        <v>18</v>
      </c>
      <c r="L21" s="8" t="s">
        <v>18</v>
      </c>
      <c r="M21" s="9" t="s">
        <v>18</v>
      </c>
      <c r="N21" s="10" t="s">
        <v>18</v>
      </c>
      <c r="O21" s="6">
        <f>R21*0.25/J21</f>
        <v>1.2345679012345678</v>
      </c>
      <c r="P21" s="6">
        <f t="shared" si="0"/>
        <v>19.215136240777266</v>
      </c>
      <c r="Q21" s="6">
        <f t="shared" si="6"/>
        <v>3.550295857988166</v>
      </c>
      <c r="R21" s="2">
        <v>24</v>
      </c>
      <c r="S21" s="14">
        <v>4</v>
      </c>
      <c r="T21" s="14">
        <f>S21*O21/R21</f>
        <v>0.20576131687242796</v>
      </c>
      <c r="U21" s="13">
        <f>E21*O21/R21*4</f>
        <v>1136665.6378600823</v>
      </c>
      <c r="V21" s="3">
        <f t="shared" si="2"/>
        <v>6.0556327311890596</v>
      </c>
      <c r="W21" s="3"/>
      <c r="X21" s="21"/>
    </row>
    <row r="22" spans="1:24" x14ac:dyDescent="0.35">
      <c r="A22" t="s">
        <v>84</v>
      </c>
      <c r="B22" s="20">
        <v>44652</v>
      </c>
      <c r="C22" s="2" t="s">
        <v>57</v>
      </c>
      <c r="D22" s="2" t="s">
        <v>58</v>
      </c>
      <c r="E22" s="3">
        <v>58975944</v>
      </c>
      <c r="F22" s="13"/>
      <c r="G22" s="3"/>
      <c r="H22" s="2" t="s">
        <v>59</v>
      </c>
      <c r="I22" s="2">
        <v>14</v>
      </c>
      <c r="J22" s="7">
        <v>8.3000000000000007</v>
      </c>
      <c r="K22" s="4">
        <v>1.25</v>
      </c>
      <c r="L22" s="11">
        <v>20</v>
      </c>
      <c r="M22" s="5">
        <f>L22-N22</f>
        <v>16.987951807228917</v>
      </c>
      <c r="N22" s="5">
        <f>K22*L22/J22</f>
        <v>3.012048192771084</v>
      </c>
      <c r="O22" s="6">
        <f>R22*0.25/K22</f>
        <v>4.8</v>
      </c>
      <c r="P22" s="6">
        <f t="shared" si="0"/>
        <v>15.649704142011831</v>
      </c>
      <c r="Q22" s="6">
        <f t="shared" si="6"/>
        <v>3.550295857988166</v>
      </c>
      <c r="R22" s="2">
        <v>24</v>
      </c>
      <c r="S22" s="14">
        <v>4</v>
      </c>
      <c r="T22" s="14">
        <f>S22*O22/R22*N22/L22/I22</f>
        <v>8.6058519793459545E-3</v>
      </c>
      <c r="U22" s="13">
        <f>E22*11.64/20*N22/L22*O22/R22*4</f>
        <v>4135421.6154216868</v>
      </c>
      <c r="V22" s="3">
        <f>LOG10(U22)</f>
        <v>6.616519793433139</v>
      </c>
      <c r="W22" s="3"/>
      <c r="X22" s="21"/>
    </row>
    <row r="23" spans="1:24" x14ac:dyDescent="0.35">
      <c r="A23" t="s">
        <v>84</v>
      </c>
      <c r="B23" s="20">
        <v>44652</v>
      </c>
      <c r="C23" s="2" t="s">
        <v>60</v>
      </c>
      <c r="D23" s="2" t="s">
        <v>61</v>
      </c>
      <c r="E23" s="3">
        <v>285116.15999999997</v>
      </c>
      <c r="F23" s="3"/>
      <c r="G23" s="3"/>
      <c r="H23" s="2" t="s">
        <v>17</v>
      </c>
      <c r="I23" s="2"/>
      <c r="J23" s="4">
        <v>0.48399999999999999</v>
      </c>
      <c r="K23" s="10" t="s">
        <v>18</v>
      </c>
      <c r="L23" s="10" t="s">
        <v>18</v>
      </c>
      <c r="M23" s="9" t="s">
        <v>18</v>
      </c>
      <c r="N23" s="10" t="s">
        <v>18</v>
      </c>
      <c r="O23" s="6">
        <v>4</v>
      </c>
      <c r="P23" s="6">
        <f t="shared" si="0"/>
        <v>16.449704142011832</v>
      </c>
      <c r="Q23" s="6">
        <f t="shared" si="6"/>
        <v>3.550295857988166</v>
      </c>
      <c r="R23" s="2">
        <v>24</v>
      </c>
      <c r="S23" s="14">
        <v>4</v>
      </c>
      <c r="T23" s="14">
        <f t="shared" si="5"/>
        <v>0.66666666666666663</v>
      </c>
      <c r="U23" s="13">
        <f>E23*O23/R23*4</f>
        <v>190077.43999999997</v>
      </c>
      <c r="V23" s="3">
        <f t="shared" si="2"/>
        <v>5.2789305741777799</v>
      </c>
      <c r="W23" s="3"/>
      <c r="X23" s="21"/>
    </row>
    <row r="24" spans="1:24" x14ac:dyDescent="0.35">
      <c r="A24" t="s">
        <v>84</v>
      </c>
      <c r="B24" s="20">
        <v>44652</v>
      </c>
      <c r="C24" s="2" t="s">
        <v>62</v>
      </c>
      <c r="D24" s="2" t="s">
        <v>63</v>
      </c>
      <c r="E24" s="3">
        <v>26514780</v>
      </c>
      <c r="F24" s="3"/>
      <c r="G24" s="3"/>
      <c r="H24" s="2" t="s">
        <v>17</v>
      </c>
      <c r="I24" s="2">
        <v>6</v>
      </c>
      <c r="J24" s="7">
        <v>47.8</v>
      </c>
      <c r="K24" s="4">
        <v>4.78</v>
      </c>
      <c r="L24" s="11">
        <v>20</v>
      </c>
      <c r="M24" s="5">
        <f>L24-N24</f>
        <v>18</v>
      </c>
      <c r="N24" s="5">
        <f>K24*L24/J24</f>
        <v>2.0000000000000004</v>
      </c>
      <c r="O24" s="6">
        <f>R24*0.25/K24</f>
        <v>1.2552301255230125</v>
      </c>
      <c r="P24" s="6">
        <f t="shared" si="0"/>
        <v>19.194474016488819</v>
      </c>
      <c r="Q24" s="6">
        <f t="shared" si="6"/>
        <v>3.550295857988166</v>
      </c>
      <c r="R24" s="2">
        <v>24</v>
      </c>
      <c r="S24" s="14">
        <v>4</v>
      </c>
      <c r="T24" s="14">
        <f>S24*O24/R24*N24/L24/I24</f>
        <v>3.4867503486750357E-3</v>
      </c>
      <c r="U24" s="13">
        <f>E24*3/28*N24/L24*O24/R24*4</f>
        <v>59432.411835026905</v>
      </c>
      <c r="V24" s="3">
        <f t="shared" si="2"/>
        <v>4.7740233547810069</v>
      </c>
      <c r="W24" s="3"/>
      <c r="X24" s="21"/>
    </row>
    <row r="25" spans="1:24" x14ac:dyDescent="0.35">
      <c r="A25" t="s">
        <v>84</v>
      </c>
      <c r="B25" s="20">
        <v>44663</v>
      </c>
      <c r="C25" s="2" t="s">
        <v>15</v>
      </c>
      <c r="D25" s="2" t="s">
        <v>16</v>
      </c>
      <c r="E25" s="3">
        <v>2378394.5</v>
      </c>
      <c r="F25" s="3"/>
      <c r="G25" s="3"/>
      <c r="H25" s="2" t="s">
        <v>17</v>
      </c>
      <c r="I25" s="2"/>
      <c r="J25" s="4">
        <v>2.72</v>
      </c>
      <c r="K25" s="8" t="s">
        <v>18</v>
      </c>
      <c r="L25" s="8" t="s">
        <v>18</v>
      </c>
      <c r="M25" s="9" t="s">
        <v>18</v>
      </c>
      <c r="N25" s="9" t="s">
        <v>18</v>
      </c>
      <c r="O25" s="6">
        <f>R25*0.25/J25</f>
        <v>2.2058823529411762</v>
      </c>
      <c r="P25" s="6">
        <f t="shared" si="0"/>
        <v>18.243821789070655</v>
      </c>
      <c r="Q25" s="6">
        <f t="shared" si="6"/>
        <v>3.550295857988166</v>
      </c>
      <c r="R25" s="2">
        <v>24</v>
      </c>
      <c r="S25" s="14">
        <v>4</v>
      </c>
      <c r="T25" s="14">
        <f>S25*O25/R25</f>
        <v>0.36764705882352938</v>
      </c>
      <c r="U25" s="13">
        <f>E25*O25/R25*4</f>
        <v>874409.74264705868</v>
      </c>
      <c r="V25" s="3">
        <f t="shared" si="2"/>
        <v>5.9417149878646622</v>
      </c>
      <c r="W25" s="3"/>
      <c r="X25" s="21"/>
    </row>
    <row r="26" spans="1:24" x14ac:dyDescent="0.35">
      <c r="A26" t="s">
        <v>84</v>
      </c>
      <c r="B26" s="20">
        <v>44663</v>
      </c>
      <c r="C26" s="2" t="s">
        <v>19</v>
      </c>
      <c r="D26" s="2" t="s">
        <v>20</v>
      </c>
      <c r="E26" s="3">
        <v>5684949</v>
      </c>
      <c r="F26" s="3"/>
      <c r="G26" s="3"/>
      <c r="H26" s="2" t="s">
        <v>17</v>
      </c>
      <c r="I26" s="2"/>
      <c r="J26" s="4">
        <v>5.84</v>
      </c>
      <c r="K26" s="4">
        <v>1.25</v>
      </c>
      <c r="L26" s="4">
        <v>10</v>
      </c>
      <c r="M26" s="5">
        <f>L26-N26</f>
        <v>7.8595890410958908</v>
      </c>
      <c r="N26" s="5">
        <f>K26*L26/J26</f>
        <v>2.1404109589041096</v>
      </c>
      <c r="O26" s="6">
        <f>R26*0.25/K26</f>
        <v>4.8</v>
      </c>
      <c r="P26" s="6">
        <f t="shared" si="0"/>
        <v>15.649704142011831</v>
      </c>
      <c r="Q26" s="6">
        <f t="shared" si="6"/>
        <v>3.550295857988166</v>
      </c>
      <c r="R26" s="2">
        <v>24</v>
      </c>
      <c r="S26" s="14">
        <v>4</v>
      </c>
      <c r="T26" s="14">
        <f>S26*O26/R26*N26/L26</f>
        <v>0.17123287671232876</v>
      </c>
      <c r="U26" s="13">
        <f>E26*N26/L26*O26/R26*4</f>
        <v>973450.17123287672</v>
      </c>
      <c r="V26" s="3">
        <f t="shared" si="2"/>
        <v>5.9883137258483945</v>
      </c>
      <c r="W26" s="3"/>
      <c r="X26" s="21"/>
    </row>
    <row r="27" spans="1:24" x14ac:dyDescent="0.35">
      <c r="A27" t="s">
        <v>84</v>
      </c>
      <c r="B27" s="20">
        <v>44663</v>
      </c>
      <c r="C27" s="2" t="s">
        <v>21</v>
      </c>
      <c r="D27" s="2" t="s">
        <v>22</v>
      </c>
      <c r="E27" s="3">
        <v>662213.5</v>
      </c>
      <c r="F27" s="3"/>
      <c r="G27" s="3"/>
      <c r="H27" s="2" t="s">
        <v>17</v>
      </c>
      <c r="I27" s="2"/>
      <c r="J27" s="4">
        <v>0.75600000000000001</v>
      </c>
      <c r="K27" s="8" t="s">
        <v>18</v>
      </c>
      <c r="L27" s="8" t="s">
        <v>18</v>
      </c>
      <c r="M27" s="9" t="s">
        <v>18</v>
      </c>
      <c r="N27" s="9" t="s">
        <v>18</v>
      </c>
      <c r="O27" s="6">
        <v>2</v>
      </c>
      <c r="P27" s="6">
        <f t="shared" si="0"/>
        <v>18.449704142011832</v>
      </c>
      <c r="Q27" s="6">
        <f t="shared" si="6"/>
        <v>3.550295857988166</v>
      </c>
      <c r="R27" s="2">
        <v>24</v>
      </c>
      <c r="S27" s="14">
        <v>4</v>
      </c>
      <c r="T27" s="14">
        <f t="shared" si="5"/>
        <v>0.33333333333333331</v>
      </c>
      <c r="U27" s="13">
        <f>E27*O27/R27*4</f>
        <v>220737.83333333334</v>
      </c>
      <c r="V27" s="3">
        <f t="shared" si="2"/>
        <v>5.3438767753897478</v>
      </c>
      <c r="W27" s="3"/>
      <c r="X27" s="21"/>
    </row>
    <row r="28" spans="1:24" x14ac:dyDescent="0.35">
      <c r="A28" t="s">
        <v>84</v>
      </c>
      <c r="B28" s="20">
        <v>44663</v>
      </c>
      <c r="C28" s="2" t="s">
        <v>23</v>
      </c>
      <c r="D28" s="2" t="s">
        <v>24</v>
      </c>
      <c r="E28" s="3">
        <v>714.86</v>
      </c>
      <c r="F28" s="3"/>
      <c r="G28" s="3"/>
      <c r="H28" s="2" t="s">
        <v>17</v>
      </c>
      <c r="I28" s="2"/>
      <c r="J28" s="4" t="s">
        <v>25</v>
      </c>
      <c r="K28" s="8" t="s">
        <v>18</v>
      </c>
      <c r="L28" s="8" t="s">
        <v>18</v>
      </c>
      <c r="M28" s="9" t="s">
        <v>18</v>
      </c>
      <c r="N28" s="10" t="s">
        <v>18</v>
      </c>
      <c r="O28" s="6">
        <v>2</v>
      </c>
      <c r="P28" s="6">
        <f t="shared" si="0"/>
        <v>18.449704142011832</v>
      </c>
      <c r="Q28" s="6">
        <f t="shared" si="6"/>
        <v>3.550295857988166</v>
      </c>
      <c r="R28" s="2">
        <v>24</v>
      </c>
      <c r="S28" s="14">
        <v>4</v>
      </c>
      <c r="T28" s="14">
        <f t="shared" si="5"/>
        <v>0.33333333333333331</v>
      </c>
      <c r="U28" s="13">
        <f>E28*O28/R28*4</f>
        <v>238.28666666666666</v>
      </c>
      <c r="V28" s="3">
        <f t="shared" si="2"/>
        <v>2.3770997420732907</v>
      </c>
      <c r="W28" s="3"/>
      <c r="X28" s="21"/>
    </row>
    <row r="29" spans="1:24" x14ac:dyDescent="0.35">
      <c r="A29" t="s">
        <v>84</v>
      </c>
      <c r="B29" s="20">
        <v>44663</v>
      </c>
      <c r="C29" s="2" t="s">
        <v>26</v>
      </c>
      <c r="D29" s="2" t="s">
        <v>27</v>
      </c>
      <c r="E29" s="3">
        <v>54.4</v>
      </c>
      <c r="F29" s="3"/>
      <c r="G29" s="3"/>
      <c r="H29" s="2" t="s">
        <v>17</v>
      </c>
      <c r="I29" s="2"/>
      <c r="J29" s="4">
        <v>100</v>
      </c>
      <c r="K29" s="4">
        <v>2.5</v>
      </c>
      <c r="L29" s="11">
        <v>80</v>
      </c>
      <c r="M29" s="5">
        <f>L29-N29</f>
        <v>78</v>
      </c>
      <c r="N29" s="5">
        <f>K29*L29/J29</f>
        <v>2</v>
      </c>
      <c r="O29" s="6">
        <f>R29*0.25/K29</f>
        <v>2.4</v>
      </c>
      <c r="P29" s="6">
        <f t="shared" si="0"/>
        <v>18.049704142011834</v>
      </c>
      <c r="Q29" s="6">
        <f t="shared" si="6"/>
        <v>3.550295857988166</v>
      </c>
      <c r="R29" s="2">
        <v>24</v>
      </c>
      <c r="S29" s="14">
        <v>4</v>
      </c>
      <c r="T29" s="14">
        <f>S29*O29/R29*N29/L29</f>
        <v>9.9999999999999985E-3</v>
      </c>
      <c r="U29" s="13">
        <f>E29*N29/L29*O29/R29*4</f>
        <v>0.54399999999999993</v>
      </c>
      <c r="V29" s="3">
        <f t="shared" si="2"/>
        <v>-0.26440110030182018</v>
      </c>
      <c r="W29" s="3"/>
      <c r="X29" s="21"/>
    </row>
    <row r="30" spans="1:24" x14ac:dyDescent="0.35">
      <c r="A30" t="s">
        <v>84</v>
      </c>
      <c r="B30" s="20">
        <v>44663</v>
      </c>
      <c r="C30" s="2" t="s">
        <v>28</v>
      </c>
      <c r="D30" s="2" t="s">
        <v>29</v>
      </c>
      <c r="E30" s="3">
        <v>471.29</v>
      </c>
      <c r="F30" s="3"/>
      <c r="G30" s="3"/>
      <c r="H30" s="2" t="s">
        <v>17</v>
      </c>
      <c r="I30" s="2"/>
      <c r="J30" s="4" t="s">
        <v>25</v>
      </c>
      <c r="K30" s="8" t="s">
        <v>18</v>
      </c>
      <c r="L30" s="10" t="s">
        <v>18</v>
      </c>
      <c r="M30" s="9" t="s">
        <v>18</v>
      </c>
      <c r="N30" s="10" t="s">
        <v>18</v>
      </c>
      <c r="O30" s="6">
        <v>2</v>
      </c>
      <c r="P30" s="6">
        <f t="shared" si="0"/>
        <v>18.449704142011832</v>
      </c>
      <c r="Q30" s="6">
        <f t="shared" si="6"/>
        <v>3.550295857988166</v>
      </c>
      <c r="R30" s="2">
        <v>24</v>
      </c>
      <c r="S30" s="14">
        <v>4</v>
      </c>
      <c r="T30" s="14">
        <f t="shared" si="5"/>
        <v>0.33333333333333331</v>
      </c>
      <c r="U30" s="13">
        <f>E30*O30/R30*4</f>
        <v>157.09666666666666</v>
      </c>
      <c r="V30" s="3">
        <f t="shared" si="2"/>
        <v>2.1961669701218876</v>
      </c>
      <c r="W30" s="3"/>
      <c r="X30" s="21"/>
    </row>
    <row r="31" spans="1:24" x14ac:dyDescent="0.35">
      <c r="A31" t="s">
        <v>84</v>
      </c>
      <c r="B31" s="20">
        <v>44663</v>
      </c>
      <c r="C31" s="2" t="s">
        <v>30</v>
      </c>
      <c r="D31" s="2" t="s">
        <v>31</v>
      </c>
      <c r="E31" s="3">
        <v>25092454</v>
      </c>
      <c r="F31" s="3"/>
      <c r="G31" s="3"/>
      <c r="H31" s="2" t="s">
        <v>17</v>
      </c>
      <c r="I31" s="2"/>
      <c r="J31" s="4">
        <v>51</v>
      </c>
      <c r="K31" s="4">
        <v>2.5</v>
      </c>
      <c r="L31" s="11">
        <v>40</v>
      </c>
      <c r="M31" s="5">
        <f>L31-N31</f>
        <v>38.03921568627451</v>
      </c>
      <c r="N31" s="5">
        <f>K31*L31/J31</f>
        <v>1.9607843137254901</v>
      </c>
      <c r="O31" s="6">
        <f>R31*0.25/K31</f>
        <v>2.4</v>
      </c>
      <c r="P31" s="6">
        <f t="shared" si="0"/>
        <v>18.049704142011834</v>
      </c>
      <c r="Q31" s="6">
        <f t="shared" si="6"/>
        <v>3.550295857988166</v>
      </c>
      <c r="R31" s="2">
        <v>24</v>
      </c>
      <c r="S31" s="14">
        <v>4</v>
      </c>
      <c r="T31" s="14">
        <f>S31*O31/R31*N31/L31</f>
        <v>1.9607843137254898E-2</v>
      </c>
      <c r="U31" s="13">
        <f>E31*N31/L31*O31/R31*4</f>
        <v>492008.90196078428</v>
      </c>
      <c r="V31" s="3">
        <f t="shared" si="2"/>
        <v>5.6919729605671003</v>
      </c>
      <c r="W31" s="3"/>
      <c r="X31" s="21"/>
    </row>
    <row r="32" spans="1:24" x14ac:dyDescent="0.35">
      <c r="A32" t="s">
        <v>84</v>
      </c>
      <c r="B32" s="20">
        <v>44663</v>
      </c>
      <c r="C32" s="2" t="s">
        <v>32</v>
      </c>
      <c r="D32" s="2" t="s">
        <v>33</v>
      </c>
      <c r="E32" s="3">
        <v>38.11</v>
      </c>
      <c r="F32" s="15"/>
      <c r="G32" s="3"/>
      <c r="H32" s="2" t="s">
        <v>17</v>
      </c>
      <c r="I32" s="2"/>
      <c r="J32" s="4">
        <v>108</v>
      </c>
      <c r="K32" s="4">
        <v>2.5</v>
      </c>
      <c r="L32" s="11">
        <v>100</v>
      </c>
      <c r="M32" s="5">
        <f>L32-N32</f>
        <v>97.68518518518519</v>
      </c>
      <c r="N32" s="5">
        <f>K32*L32/J32</f>
        <v>2.3148148148148149</v>
      </c>
      <c r="O32" s="6">
        <f>R32*0.25/K32</f>
        <v>2.4</v>
      </c>
      <c r="P32" s="6">
        <f t="shared" si="0"/>
        <v>18.049704142011834</v>
      </c>
      <c r="Q32" s="6">
        <f t="shared" si="6"/>
        <v>3.550295857988166</v>
      </c>
      <c r="R32" s="2">
        <v>24</v>
      </c>
      <c r="S32" s="14">
        <v>4</v>
      </c>
      <c r="T32" s="14">
        <f>S32*O32/R32*N32/L32</f>
        <v>9.2592592592592587E-3</v>
      </c>
      <c r="U32" s="13">
        <f>E32*N32/L32*O32/R32*4</f>
        <v>0.35287037037037039</v>
      </c>
      <c r="V32" s="3">
        <f t="shared" si="2"/>
        <v>-0.45238480671478248</v>
      </c>
      <c r="W32" s="3"/>
      <c r="X32" s="21"/>
    </row>
    <row r="33" spans="1:25" x14ac:dyDescent="0.35">
      <c r="A33" t="s">
        <v>84</v>
      </c>
      <c r="B33" s="20">
        <v>44663</v>
      </c>
      <c r="C33" s="2" t="s">
        <v>34</v>
      </c>
      <c r="D33" s="2" t="s">
        <v>35</v>
      </c>
      <c r="E33" s="3">
        <v>401.69</v>
      </c>
      <c r="F33" s="3"/>
      <c r="G33" s="3"/>
      <c r="H33" s="2" t="s">
        <v>17</v>
      </c>
      <c r="I33" s="2"/>
      <c r="J33" s="4" t="s">
        <v>25</v>
      </c>
      <c r="K33" s="8" t="s">
        <v>18</v>
      </c>
      <c r="L33" s="8" t="s">
        <v>18</v>
      </c>
      <c r="M33" s="9" t="s">
        <v>18</v>
      </c>
      <c r="N33" s="9" t="s">
        <v>18</v>
      </c>
      <c r="O33" s="6">
        <v>2</v>
      </c>
      <c r="P33" s="6">
        <f t="shared" si="0"/>
        <v>18.449704142011832</v>
      </c>
      <c r="Q33" s="6">
        <f t="shared" si="6"/>
        <v>3.550295857988166</v>
      </c>
      <c r="R33" s="2">
        <v>24</v>
      </c>
      <c r="S33" s="14">
        <v>4</v>
      </c>
      <c r="T33" s="14">
        <f t="shared" si="5"/>
        <v>0.33333333333333331</v>
      </c>
      <c r="U33" s="13">
        <f>E33*O33/R33*4</f>
        <v>133.89666666666668</v>
      </c>
      <c r="V33" s="3">
        <f t="shared" si="2"/>
        <v>2.1267697654638962</v>
      </c>
      <c r="W33" s="3"/>
      <c r="X33" s="21"/>
    </row>
    <row r="34" spans="1:25" x14ac:dyDescent="0.35">
      <c r="A34" t="s">
        <v>84</v>
      </c>
      <c r="B34" s="20">
        <v>44663</v>
      </c>
      <c r="C34" s="2" t="s">
        <v>36</v>
      </c>
      <c r="D34" s="2" t="s">
        <v>37</v>
      </c>
      <c r="E34" s="3">
        <v>51570296</v>
      </c>
      <c r="F34" s="3"/>
      <c r="G34" s="3"/>
      <c r="H34" s="2" t="s">
        <v>17</v>
      </c>
      <c r="I34" s="2"/>
      <c r="J34" s="4">
        <v>112</v>
      </c>
      <c r="K34" s="4">
        <v>2.5</v>
      </c>
      <c r="L34" s="4">
        <v>100</v>
      </c>
      <c r="M34" s="5">
        <f>L34-N34</f>
        <v>97.767857142857139</v>
      </c>
      <c r="N34" s="5">
        <f>K34*L34/J34</f>
        <v>2.2321428571428572</v>
      </c>
      <c r="O34" s="6">
        <f>R34*0.25/K34</f>
        <v>2.4</v>
      </c>
      <c r="P34" s="6">
        <f t="shared" si="0"/>
        <v>18.049704142011834</v>
      </c>
      <c r="Q34" s="6">
        <f t="shared" si="6"/>
        <v>3.550295857988166</v>
      </c>
      <c r="R34" s="2">
        <v>24</v>
      </c>
      <c r="S34" s="14">
        <v>4</v>
      </c>
      <c r="T34" s="14">
        <f>S34*O34/R34*N34/L34</f>
        <v>8.9285714285714281E-3</v>
      </c>
      <c r="U34" s="13">
        <f>E34*N34/L34*O34/R34*4</f>
        <v>460449.07142857142</v>
      </c>
      <c r="V34" s="3">
        <f t="shared" si="2"/>
        <v>5.663181601480332</v>
      </c>
      <c r="W34" s="3"/>
      <c r="X34" s="21"/>
      <c r="Y34" s="1"/>
    </row>
    <row r="35" spans="1:25" x14ac:dyDescent="0.35">
      <c r="A35" t="s">
        <v>84</v>
      </c>
      <c r="B35" s="20">
        <v>44663</v>
      </c>
      <c r="C35" s="2" t="s">
        <v>38</v>
      </c>
      <c r="D35" s="2" t="s">
        <v>39</v>
      </c>
      <c r="E35" s="3">
        <v>327981.19</v>
      </c>
      <c r="F35" s="3"/>
      <c r="G35" s="3"/>
      <c r="H35" s="2" t="s">
        <v>17</v>
      </c>
      <c r="I35" s="2"/>
      <c r="J35" s="4">
        <v>0.47</v>
      </c>
      <c r="K35" s="8" t="s">
        <v>18</v>
      </c>
      <c r="L35" s="8" t="s">
        <v>18</v>
      </c>
      <c r="M35" s="9" t="s">
        <v>18</v>
      </c>
      <c r="N35" s="9" t="s">
        <v>18</v>
      </c>
      <c r="O35" s="6">
        <v>2</v>
      </c>
      <c r="P35" s="6">
        <f t="shared" si="0"/>
        <v>18.449704142011832</v>
      </c>
      <c r="Q35" s="6">
        <f t="shared" si="6"/>
        <v>3.550295857988166</v>
      </c>
      <c r="R35" s="2">
        <v>24</v>
      </c>
      <c r="S35" s="14">
        <v>4</v>
      </c>
      <c r="T35" s="14">
        <f t="shared" ref="T35:T37" si="13">S35*O35/R35</f>
        <v>0.33333333333333331</v>
      </c>
      <c r="U35" s="13">
        <f>E35*O35/R35*4</f>
        <v>109327.06333333334</v>
      </c>
      <c r="V35" s="3">
        <f t="shared" si="2"/>
        <v>5.0387276825485658</v>
      </c>
      <c r="W35" s="3"/>
      <c r="X35" s="21"/>
    </row>
    <row r="36" spans="1:25" x14ac:dyDescent="0.35">
      <c r="A36" t="s">
        <v>84</v>
      </c>
      <c r="B36" s="20">
        <v>44663</v>
      </c>
      <c r="C36" s="2" t="s">
        <v>40</v>
      </c>
      <c r="D36" s="2" t="s">
        <v>41</v>
      </c>
      <c r="E36" s="3">
        <v>45211092</v>
      </c>
      <c r="F36" s="3"/>
      <c r="G36" s="3"/>
      <c r="H36" s="2" t="s">
        <v>17</v>
      </c>
      <c r="I36" s="2">
        <v>20</v>
      </c>
      <c r="J36" s="4">
        <v>20.6</v>
      </c>
      <c r="K36" s="4">
        <v>2.5</v>
      </c>
      <c r="L36" s="4">
        <v>20</v>
      </c>
      <c r="M36" s="5">
        <f>L36-N36</f>
        <v>17.572815533980581</v>
      </c>
      <c r="N36" s="5">
        <f>K36*L36/J36</f>
        <v>2.4271844660194173</v>
      </c>
      <c r="O36" s="6">
        <v>4</v>
      </c>
      <c r="P36" s="6">
        <f t="shared" si="0"/>
        <v>16.449704142011832</v>
      </c>
      <c r="Q36" s="6">
        <f t="shared" si="6"/>
        <v>3.550295857988166</v>
      </c>
      <c r="R36" s="2">
        <v>24</v>
      </c>
      <c r="S36" s="14">
        <v>4</v>
      </c>
      <c r="T36" s="14">
        <f>S36*O36/R36*N36/L36/I36</f>
        <v>4.0453074433656954E-3</v>
      </c>
      <c r="U36" s="13">
        <f>E36*N36/L36*O36/R36*4</f>
        <v>3657855.3398058251</v>
      </c>
      <c r="V36" s="3">
        <f t="shared" si="2"/>
        <v>6.5632265260812499</v>
      </c>
      <c r="W36" s="3"/>
      <c r="X36" s="21"/>
    </row>
    <row r="37" spans="1:25" x14ac:dyDescent="0.35">
      <c r="A37" t="s">
        <v>84</v>
      </c>
      <c r="B37" s="20">
        <v>44663</v>
      </c>
      <c r="C37" s="2" t="s">
        <v>42</v>
      </c>
      <c r="D37" s="2" t="s">
        <v>43</v>
      </c>
      <c r="E37" s="3">
        <v>2560871.5</v>
      </c>
      <c r="F37" s="3"/>
      <c r="G37" s="3"/>
      <c r="H37" s="2" t="s">
        <v>17</v>
      </c>
      <c r="I37" s="2"/>
      <c r="J37" s="4">
        <v>2.66</v>
      </c>
      <c r="K37" s="8" t="s">
        <v>18</v>
      </c>
      <c r="L37" s="8" t="s">
        <v>18</v>
      </c>
      <c r="M37" s="9" t="s">
        <v>18</v>
      </c>
      <c r="N37" s="10" t="s">
        <v>18</v>
      </c>
      <c r="O37" s="6">
        <f>R37*0.25/J37</f>
        <v>2.255639097744361</v>
      </c>
      <c r="P37" s="6">
        <f t="shared" si="0"/>
        <v>18.194065044267472</v>
      </c>
      <c r="Q37" s="6">
        <f t="shared" si="6"/>
        <v>3.550295857988166</v>
      </c>
      <c r="R37" s="2">
        <v>24</v>
      </c>
      <c r="S37" s="14">
        <v>4</v>
      </c>
      <c r="T37" s="14">
        <f t="shared" si="13"/>
        <v>0.37593984962406019</v>
      </c>
      <c r="U37" s="13">
        <f>E37*O37/R37*4</f>
        <v>962733.64661654143</v>
      </c>
      <c r="V37" s="3">
        <f t="shared" si="2"/>
        <v>5.9835061502555407</v>
      </c>
      <c r="W37" s="3"/>
      <c r="X37" s="21"/>
    </row>
    <row r="38" spans="1:25" ht="15" thickBot="1" x14ac:dyDescent="0.4">
      <c r="A38" t="s">
        <v>84</v>
      </c>
      <c r="B38" s="36">
        <v>44663</v>
      </c>
      <c r="C38" s="37" t="s">
        <v>44</v>
      </c>
      <c r="D38" s="37" t="s">
        <v>45</v>
      </c>
      <c r="E38" s="38">
        <v>6992533</v>
      </c>
      <c r="F38" s="38"/>
      <c r="G38" s="38"/>
      <c r="H38" s="37" t="s">
        <v>17</v>
      </c>
      <c r="I38" s="37"/>
      <c r="J38" s="39">
        <v>8.68</v>
      </c>
      <c r="K38" s="39">
        <v>1.5</v>
      </c>
      <c r="L38" s="40">
        <v>12</v>
      </c>
      <c r="M38" s="41">
        <f>10-2.07</f>
        <v>7.93</v>
      </c>
      <c r="N38" s="40">
        <f>K38*L38/J38</f>
        <v>2.0737327188940093</v>
      </c>
      <c r="O38" s="42">
        <f>R38*0.25/K38</f>
        <v>4</v>
      </c>
      <c r="P38" s="42">
        <f t="shared" si="0"/>
        <v>16.449704142011832</v>
      </c>
      <c r="Q38" s="42">
        <f t="shared" si="6"/>
        <v>3.550295857988166</v>
      </c>
      <c r="R38" s="37">
        <v>24</v>
      </c>
      <c r="S38" s="14">
        <v>4</v>
      </c>
      <c r="T38" s="14">
        <f>S38*O38/R38*N38/10</f>
        <v>0.13824884792626729</v>
      </c>
      <c r="U38" s="54">
        <f>E38*N38/L38*O38/R38*4</f>
        <v>805591.35944700474</v>
      </c>
      <c r="V38" s="38">
        <f t="shared" si="2"/>
        <v>5.9061147994464918</v>
      </c>
      <c r="W38" s="38"/>
      <c r="X38" s="43"/>
    </row>
    <row r="39" spans="1:25" s="46" customFormat="1" x14ac:dyDescent="0.35">
      <c r="A39" s="47" t="s">
        <v>85</v>
      </c>
      <c r="B39" s="47"/>
      <c r="C39" s="47" t="s">
        <v>86</v>
      </c>
      <c r="D39" s="47"/>
      <c r="E39" s="47"/>
      <c r="F39" s="47"/>
      <c r="G39" s="47"/>
      <c r="H39" s="48" t="s">
        <v>104</v>
      </c>
      <c r="I39" s="47"/>
      <c r="J39" s="55">
        <v>103</v>
      </c>
      <c r="K39" s="55">
        <v>2</v>
      </c>
      <c r="L39" s="56">
        <v>125</v>
      </c>
      <c r="M39" s="57">
        <f>L39-N39</f>
        <v>122.57281553398059</v>
      </c>
      <c r="N39" s="57">
        <f>K39*L39/J39</f>
        <v>2.4271844660194173</v>
      </c>
      <c r="O39" s="58">
        <f>R39*0.25/K39</f>
        <v>3</v>
      </c>
      <c r="P39" s="58">
        <f t="shared" si="0"/>
        <v>18.321428571428569</v>
      </c>
      <c r="Q39" s="58">
        <f t="shared" ref="Q39:Q46" si="14">R39*5/44.8</f>
        <v>2.6785714285714288</v>
      </c>
      <c r="R39" s="48">
        <v>24</v>
      </c>
      <c r="S39" s="14">
        <v>4</v>
      </c>
      <c r="T39" s="48"/>
      <c r="U39" s="47"/>
      <c r="V39" s="47"/>
      <c r="W39" s="44"/>
      <c r="X39" s="45"/>
    </row>
    <row r="40" spans="1:25" s="46" customFormat="1" x14ac:dyDescent="0.35">
      <c r="A40" s="47" t="s">
        <v>85</v>
      </c>
      <c r="B40" s="47"/>
      <c r="C40" s="47" t="s">
        <v>87</v>
      </c>
      <c r="D40" s="47"/>
      <c r="E40" s="47"/>
      <c r="F40" s="47"/>
      <c r="G40" s="47"/>
      <c r="H40" s="48" t="s">
        <v>104</v>
      </c>
      <c r="I40" s="47"/>
      <c r="J40" s="55">
        <v>52.2</v>
      </c>
      <c r="K40" s="55">
        <v>2</v>
      </c>
      <c r="L40" s="56">
        <v>100</v>
      </c>
      <c r="M40" s="57">
        <f>L40-N40</f>
        <v>96.168582375478934</v>
      </c>
      <c r="N40" s="57">
        <f>K40*L40/J40</f>
        <v>3.8314176245210727</v>
      </c>
      <c r="O40" s="58">
        <f>R40*0.25/K40</f>
        <v>3</v>
      </c>
      <c r="P40" s="58">
        <f t="shared" si="0"/>
        <v>18.321428571428569</v>
      </c>
      <c r="Q40" s="58">
        <f t="shared" si="14"/>
        <v>2.6785714285714288</v>
      </c>
      <c r="R40" s="48">
        <v>24</v>
      </c>
      <c r="S40" s="14">
        <v>4</v>
      </c>
      <c r="T40" s="48"/>
      <c r="U40" s="47"/>
      <c r="V40" s="47"/>
      <c r="W40" s="47"/>
      <c r="X40" s="49"/>
    </row>
    <row r="41" spans="1:25" s="46" customFormat="1" x14ac:dyDescent="0.35">
      <c r="A41" s="47" t="s">
        <v>85</v>
      </c>
      <c r="B41" s="47"/>
      <c r="C41" s="47" t="s">
        <v>88</v>
      </c>
      <c r="D41" s="47"/>
      <c r="E41" s="47"/>
      <c r="F41" s="47"/>
      <c r="G41" s="47"/>
      <c r="H41" s="48" t="s">
        <v>104</v>
      </c>
      <c r="I41" s="47"/>
      <c r="J41" s="55">
        <v>22.5</v>
      </c>
      <c r="K41" s="55">
        <v>2</v>
      </c>
      <c r="L41" s="56">
        <v>40</v>
      </c>
      <c r="M41" s="57">
        <f t="shared" ref="M41:M46" si="15">L41-N41</f>
        <v>36.444444444444443</v>
      </c>
      <c r="N41" s="57">
        <f t="shared" ref="N41:N46" si="16">K41*L41/J41</f>
        <v>3.5555555555555554</v>
      </c>
      <c r="O41" s="58">
        <f t="shared" ref="O41:O46" si="17">R41*0.25/K41</f>
        <v>3</v>
      </c>
      <c r="P41" s="58">
        <f t="shared" si="0"/>
        <v>18.321428571428569</v>
      </c>
      <c r="Q41" s="58">
        <f t="shared" si="14"/>
        <v>2.6785714285714288</v>
      </c>
      <c r="R41" s="48">
        <v>24</v>
      </c>
      <c r="S41" s="14">
        <v>4</v>
      </c>
      <c r="T41" s="48"/>
      <c r="U41" s="47"/>
      <c r="V41" s="47"/>
      <c r="W41" s="47"/>
      <c r="X41" s="49"/>
    </row>
    <row r="42" spans="1:25" s="46" customFormat="1" x14ac:dyDescent="0.35">
      <c r="A42" s="47" t="s">
        <v>85</v>
      </c>
      <c r="B42" s="47"/>
      <c r="C42" s="47" t="s">
        <v>89</v>
      </c>
      <c r="D42" s="47"/>
      <c r="E42" s="47"/>
      <c r="F42" s="47"/>
      <c r="G42" s="47"/>
      <c r="H42" s="48" t="s">
        <v>104</v>
      </c>
      <c r="I42" s="47"/>
      <c r="J42" s="55">
        <v>32</v>
      </c>
      <c r="K42" s="55">
        <v>2</v>
      </c>
      <c r="L42" s="56">
        <v>40</v>
      </c>
      <c r="M42" s="57">
        <f t="shared" si="15"/>
        <v>37.5</v>
      </c>
      <c r="N42" s="57">
        <f t="shared" si="16"/>
        <v>2.5</v>
      </c>
      <c r="O42" s="58">
        <f t="shared" si="17"/>
        <v>3</v>
      </c>
      <c r="P42" s="58">
        <f t="shared" si="0"/>
        <v>18.321428571428569</v>
      </c>
      <c r="Q42" s="58">
        <f t="shared" si="14"/>
        <v>2.6785714285714288</v>
      </c>
      <c r="R42" s="48">
        <v>24</v>
      </c>
      <c r="S42" s="14">
        <v>4</v>
      </c>
      <c r="T42" s="48"/>
      <c r="U42" s="47"/>
      <c r="V42" s="47"/>
      <c r="W42" s="47"/>
      <c r="X42" s="49"/>
    </row>
    <row r="43" spans="1:25" s="46" customFormat="1" x14ac:dyDescent="0.35">
      <c r="A43" s="47" t="s">
        <v>85</v>
      </c>
      <c r="B43" s="47"/>
      <c r="C43" s="47" t="s">
        <v>91</v>
      </c>
      <c r="D43" s="47"/>
      <c r="E43" s="47"/>
      <c r="F43" s="47"/>
      <c r="G43" s="47"/>
      <c r="H43" s="48" t="s">
        <v>104</v>
      </c>
      <c r="I43" s="47"/>
      <c r="J43" s="55">
        <v>57.5</v>
      </c>
      <c r="K43" s="55">
        <v>2</v>
      </c>
      <c r="L43" s="56">
        <v>100</v>
      </c>
      <c r="M43" s="57">
        <f t="shared" si="15"/>
        <v>96.521739130434781</v>
      </c>
      <c r="N43" s="57">
        <f t="shared" si="16"/>
        <v>3.4782608695652173</v>
      </c>
      <c r="O43" s="58">
        <f t="shared" si="17"/>
        <v>3</v>
      </c>
      <c r="P43" s="58">
        <f t="shared" si="0"/>
        <v>18.321428571428569</v>
      </c>
      <c r="Q43" s="58">
        <f t="shared" si="14"/>
        <v>2.6785714285714288</v>
      </c>
      <c r="R43" s="48">
        <v>24</v>
      </c>
      <c r="S43" s="14">
        <v>4</v>
      </c>
      <c r="T43" s="48"/>
      <c r="U43" s="47"/>
      <c r="V43" s="47"/>
      <c r="W43" s="47"/>
      <c r="X43" s="49"/>
    </row>
    <row r="44" spans="1:25" s="46" customFormat="1" x14ac:dyDescent="0.35">
      <c r="A44" s="47" t="s">
        <v>85</v>
      </c>
      <c r="B44" s="47"/>
      <c r="C44" s="47" t="s">
        <v>90</v>
      </c>
      <c r="D44" s="47"/>
      <c r="E44" s="47"/>
      <c r="F44" s="47"/>
      <c r="G44" s="47"/>
      <c r="H44" s="48" t="s">
        <v>104</v>
      </c>
      <c r="I44" s="47"/>
      <c r="J44" s="55">
        <v>41</v>
      </c>
      <c r="K44" s="55">
        <v>2</v>
      </c>
      <c r="L44" s="56">
        <v>50</v>
      </c>
      <c r="M44" s="57">
        <f t="shared" si="15"/>
        <v>47.560975609756099</v>
      </c>
      <c r="N44" s="57">
        <f t="shared" si="16"/>
        <v>2.4390243902439024</v>
      </c>
      <c r="O44" s="58">
        <f t="shared" si="17"/>
        <v>3</v>
      </c>
      <c r="P44" s="58">
        <f t="shared" si="0"/>
        <v>18.321428571428569</v>
      </c>
      <c r="Q44" s="58">
        <f t="shared" si="14"/>
        <v>2.6785714285714288</v>
      </c>
      <c r="R44" s="48">
        <v>24</v>
      </c>
      <c r="S44" s="14">
        <v>4</v>
      </c>
      <c r="T44" s="48"/>
      <c r="U44" s="47"/>
      <c r="V44" s="47"/>
      <c r="W44" s="47"/>
      <c r="X44" s="49"/>
    </row>
    <row r="45" spans="1:25" s="46" customFormat="1" x14ac:dyDescent="0.35">
      <c r="A45" s="47" t="s">
        <v>85</v>
      </c>
      <c r="B45" s="47"/>
      <c r="C45" s="47" t="s">
        <v>92</v>
      </c>
      <c r="D45" s="47"/>
      <c r="E45" s="47"/>
      <c r="F45" s="47"/>
      <c r="G45" s="47"/>
      <c r="H45" s="48" t="s">
        <v>104</v>
      </c>
      <c r="I45" s="47"/>
      <c r="J45" s="55">
        <v>27.9</v>
      </c>
      <c r="K45" s="55">
        <v>2</v>
      </c>
      <c r="L45" s="56">
        <v>40</v>
      </c>
      <c r="M45" s="57">
        <f t="shared" si="15"/>
        <v>37.132616487455195</v>
      </c>
      <c r="N45" s="57">
        <f t="shared" si="16"/>
        <v>2.8673835125448028</v>
      </c>
      <c r="O45" s="58">
        <f t="shared" si="17"/>
        <v>3</v>
      </c>
      <c r="P45" s="58">
        <f t="shared" si="0"/>
        <v>18.321428571428569</v>
      </c>
      <c r="Q45" s="58">
        <f t="shared" si="14"/>
        <v>2.6785714285714288</v>
      </c>
      <c r="R45" s="48">
        <v>24</v>
      </c>
      <c r="S45" s="14">
        <v>4</v>
      </c>
      <c r="T45" s="48"/>
      <c r="U45" s="47"/>
      <c r="V45" s="47"/>
      <c r="W45" s="47"/>
      <c r="X45" s="49"/>
    </row>
    <row r="46" spans="1:25" s="46" customFormat="1" x14ac:dyDescent="0.35">
      <c r="A46" s="47" t="s">
        <v>85</v>
      </c>
      <c r="B46" s="47"/>
      <c r="C46" s="47" t="s">
        <v>93</v>
      </c>
      <c r="D46" s="47"/>
      <c r="E46" s="47"/>
      <c r="F46" s="47"/>
      <c r="G46" s="47"/>
      <c r="H46" s="48" t="s">
        <v>104</v>
      </c>
      <c r="I46" s="47"/>
      <c r="J46" s="55">
        <v>42</v>
      </c>
      <c r="K46" s="55">
        <v>2</v>
      </c>
      <c r="L46" s="56">
        <v>50</v>
      </c>
      <c r="M46" s="57">
        <f t="shared" si="15"/>
        <v>47.61904761904762</v>
      </c>
      <c r="N46" s="57">
        <f t="shared" si="16"/>
        <v>2.3809523809523809</v>
      </c>
      <c r="O46" s="58">
        <f t="shared" si="17"/>
        <v>3</v>
      </c>
      <c r="P46" s="58">
        <f t="shared" si="0"/>
        <v>18.321428571428569</v>
      </c>
      <c r="Q46" s="58">
        <f t="shared" si="14"/>
        <v>2.6785714285714288</v>
      </c>
      <c r="R46" s="48">
        <v>24</v>
      </c>
      <c r="S46" s="14">
        <v>4</v>
      </c>
      <c r="T46" s="48"/>
      <c r="U46" s="47"/>
      <c r="V46" s="47"/>
      <c r="W46" s="47"/>
      <c r="X46" s="49"/>
    </row>
    <row r="47" spans="1:25" x14ac:dyDescent="0.35">
      <c r="A47" s="22" t="s">
        <v>85</v>
      </c>
      <c r="B47" s="52">
        <v>44672</v>
      </c>
      <c r="C47" s="3" t="s">
        <v>106</v>
      </c>
      <c r="D47" s="3" t="s">
        <v>106</v>
      </c>
      <c r="E47" s="3"/>
      <c r="F47" s="3"/>
      <c r="G47" s="13">
        <v>460000</v>
      </c>
      <c r="H47" s="2" t="s">
        <v>105</v>
      </c>
      <c r="I47" s="2"/>
      <c r="J47" s="3">
        <v>30</v>
      </c>
      <c r="K47" s="3">
        <v>2</v>
      </c>
      <c r="L47" s="3">
        <v>60</v>
      </c>
      <c r="M47" s="3">
        <v>56</v>
      </c>
      <c r="N47" s="3">
        <v>4</v>
      </c>
      <c r="O47" s="3">
        <v>3</v>
      </c>
      <c r="P47" s="3">
        <v>18.32</v>
      </c>
      <c r="Q47" s="3">
        <v>2.68</v>
      </c>
      <c r="R47" s="3">
        <v>24</v>
      </c>
      <c r="S47" s="14">
        <v>4</v>
      </c>
      <c r="T47" s="3"/>
      <c r="U47" s="3"/>
      <c r="V47" s="3"/>
      <c r="W47" s="3"/>
      <c r="X47" s="21"/>
    </row>
    <row r="48" spans="1:25" x14ac:dyDescent="0.35">
      <c r="A48" s="22" t="s">
        <v>85</v>
      </c>
      <c r="B48" s="52">
        <v>44673</v>
      </c>
      <c r="C48" s="3" t="s">
        <v>107</v>
      </c>
      <c r="D48" s="3" t="s">
        <v>107</v>
      </c>
      <c r="E48" s="3"/>
      <c r="F48" s="3"/>
      <c r="G48" s="13">
        <v>55600</v>
      </c>
      <c r="H48" s="2" t="s">
        <v>105</v>
      </c>
      <c r="I48" s="2"/>
      <c r="J48" s="3">
        <v>30</v>
      </c>
      <c r="K48" s="3">
        <v>2</v>
      </c>
      <c r="L48" s="3">
        <v>60</v>
      </c>
      <c r="M48" s="3">
        <v>56</v>
      </c>
      <c r="N48" s="3">
        <v>4</v>
      </c>
      <c r="O48" s="3">
        <v>3</v>
      </c>
      <c r="P48" s="3">
        <v>18.32</v>
      </c>
      <c r="Q48" s="3">
        <v>2.68</v>
      </c>
      <c r="R48" s="3">
        <v>24</v>
      </c>
      <c r="S48" s="14">
        <v>4</v>
      </c>
      <c r="T48" s="3"/>
      <c r="U48" s="3"/>
      <c r="V48" s="3"/>
      <c r="W48" s="3"/>
      <c r="X48" s="21"/>
    </row>
    <row r="49" spans="1:24" x14ac:dyDescent="0.35">
      <c r="A49" s="22" t="s">
        <v>85</v>
      </c>
      <c r="B49" s="52">
        <v>44671</v>
      </c>
      <c r="C49" s="3" t="s">
        <v>94</v>
      </c>
      <c r="D49" s="3"/>
      <c r="E49" s="3"/>
      <c r="F49" s="3"/>
      <c r="G49" s="3"/>
      <c r="H49" s="3" t="s">
        <v>104</v>
      </c>
      <c r="I49" s="3"/>
      <c r="J49" s="4">
        <v>10.8</v>
      </c>
      <c r="K49" s="3">
        <v>2</v>
      </c>
      <c r="L49" s="3">
        <v>20</v>
      </c>
      <c r="M49" s="3">
        <v>16.3</v>
      </c>
      <c r="N49" s="3">
        <v>3.7</v>
      </c>
      <c r="O49" s="3">
        <v>3</v>
      </c>
      <c r="P49" s="3">
        <v>18.32</v>
      </c>
      <c r="Q49" s="3">
        <v>2.68</v>
      </c>
      <c r="R49" s="3">
        <v>24</v>
      </c>
      <c r="S49" s="14">
        <v>4</v>
      </c>
      <c r="T49" s="3"/>
      <c r="U49" s="3"/>
      <c r="V49" s="3"/>
      <c r="W49" s="3"/>
      <c r="X49" s="21"/>
    </row>
    <row r="50" spans="1:24" x14ac:dyDescent="0.35">
      <c r="A50" s="22" t="s">
        <v>85</v>
      </c>
      <c r="B50" s="3"/>
      <c r="C50" s="3" t="s">
        <v>95</v>
      </c>
      <c r="D50" s="3"/>
      <c r="E50" s="3"/>
      <c r="F50" s="3"/>
      <c r="G50" s="3"/>
      <c r="H50" s="3" t="s">
        <v>104</v>
      </c>
      <c r="I50" s="3"/>
      <c r="J50" s="4">
        <v>6.32</v>
      </c>
      <c r="K50" s="3">
        <v>2</v>
      </c>
      <c r="L50" s="3">
        <v>10</v>
      </c>
      <c r="M50" s="3">
        <v>6.84</v>
      </c>
      <c r="N50" s="3">
        <v>3.16</v>
      </c>
      <c r="O50" s="3">
        <v>3</v>
      </c>
      <c r="P50" s="3">
        <v>18.32</v>
      </c>
      <c r="Q50" s="3">
        <v>2.68</v>
      </c>
      <c r="R50" s="3">
        <v>24</v>
      </c>
      <c r="S50" s="14">
        <v>4</v>
      </c>
      <c r="T50" s="3"/>
      <c r="U50" s="3"/>
      <c r="V50" s="3"/>
      <c r="W50" s="3"/>
      <c r="X50" s="21"/>
    </row>
    <row r="51" spans="1:24" x14ac:dyDescent="0.35">
      <c r="A51" s="22" t="s">
        <v>85</v>
      </c>
      <c r="B51" s="3"/>
      <c r="C51" s="3" t="s">
        <v>96</v>
      </c>
      <c r="D51" s="3"/>
      <c r="E51" s="3"/>
      <c r="F51" s="3"/>
      <c r="G51" s="3"/>
      <c r="H51" s="3" t="s">
        <v>104</v>
      </c>
      <c r="I51" s="3"/>
      <c r="J51" s="4">
        <v>71.8</v>
      </c>
      <c r="K51" s="3">
        <v>2</v>
      </c>
      <c r="L51" s="3">
        <v>100</v>
      </c>
      <c r="M51" s="3">
        <v>97.21</v>
      </c>
      <c r="N51" s="3">
        <v>2.79</v>
      </c>
      <c r="O51" s="3">
        <v>3</v>
      </c>
      <c r="P51" s="3">
        <v>18.32</v>
      </c>
      <c r="Q51" s="3">
        <v>2.68</v>
      </c>
      <c r="R51" s="3">
        <v>24</v>
      </c>
      <c r="S51" s="14">
        <v>4</v>
      </c>
      <c r="T51" s="3"/>
      <c r="U51" s="3"/>
      <c r="V51" s="3"/>
      <c r="W51" s="3"/>
      <c r="X51" s="21"/>
    </row>
    <row r="52" spans="1:24" x14ac:dyDescent="0.35">
      <c r="A52" s="22" t="s">
        <v>85</v>
      </c>
      <c r="B52" s="3"/>
      <c r="C52" s="3" t="s">
        <v>97</v>
      </c>
      <c r="D52" s="3"/>
      <c r="E52" s="3"/>
      <c r="F52" s="3"/>
      <c r="G52" s="3"/>
      <c r="H52" s="3" t="s">
        <v>104</v>
      </c>
      <c r="I52" s="38"/>
      <c r="J52" s="39">
        <v>25</v>
      </c>
      <c r="K52" s="3">
        <v>2</v>
      </c>
      <c r="L52" s="3">
        <v>40</v>
      </c>
      <c r="M52" s="3">
        <v>36.799999999999997</v>
      </c>
      <c r="N52" s="3">
        <v>3.2</v>
      </c>
      <c r="O52" s="3">
        <v>3</v>
      </c>
      <c r="P52" s="3">
        <v>18.32</v>
      </c>
      <c r="Q52" s="3">
        <v>2.68</v>
      </c>
      <c r="R52" s="3">
        <v>24</v>
      </c>
      <c r="S52" s="14">
        <v>4</v>
      </c>
      <c r="T52" s="3"/>
      <c r="U52" s="3"/>
      <c r="V52" s="3"/>
      <c r="W52" s="3"/>
      <c r="X52" s="21"/>
    </row>
    <row r="53" spans="1:24" x14ac:dyDescent="0.35">
      <c r="A53" s="22" t="s">
        <v>85</v>
      </c>
      <c r="B53" s="3"/>
      <c r="C53" s="3" t="s">
        <v>98</v>
      </c>
      <c r="D53" s="3"/>
      <c r="E53" s="3"/>
      <c r="F53" s="3"/>
      <c r="G53" s="3"/>
      <c r="H53" s="50" t="s">
        <v>104</v>
      </c>
      <c r="I53" s="50"/>
      <c r="J53" s="4">
        <v>52.2</v>
      </c>
      <c r="K53" s="51">
        <v>2</v>
      </c>
      <c r="L53" s="3">
        <v>80</v>
      </c>
      <c r="M53" s="3">
        <v>76.930000000000007</v>
      </c>
      <c r="N53" s="3">
        <v>3.07</v>
      </c>
      <c r="O53" s="3">
        <v>3</v>
      </c>
      <c r="P53" s="3">
        <v>18.32</v>
      </c>
      <c r="Q53" s="3">
        <v>2.68</v>
      </c>
      <c r="R53" s="3">
        <v>24</v>
      </c>
      <c r="S53" s="14">
        <v>4</v>
      </c>
      <c r="T53" s="3"/>
      <c r="U53" s="3"/>
      <c r="V53" s="3"/>
      <c r="W53" s="3"/>
      <c r="X53" s="21"/>
    </row>
    <row r="54" spans="1:24" x14ac:dyDescent="0.35">
      <c r="A54" s="22" t="s">
        <v>85</v>
      </c>
      <c r="B54" s="3"/>
      <c r="C54" s="3" t="s">
        <v>99</v>
      </c>
      <c r="D54" s="3"/>
      <c r="E54" s="3"/>
      <c r="F54" s="3"/>
      <c r="G54" s="3"/>
      <c r="H54" s="3" t="s">
        <v>104</v>
      </c>
      <c r="I54" s="2"/>
      <c r="J54" s="4">
        <v>16.100000000000001</v>
      </c>
      <c r="K54" s="4">
        <v>2</v>
      </c>
      <c r="L54" s="4">
        <v>25</v>
      </c>
      <c r="M54" s="5">
        <f>L54-N54</f>
        <v>21.894409937888199</v>
      </c>
      <c r="N54" s="5">
        <f>K54*L54/J54</f>
        <v>3.1055900621118009</v>
      </c>
      <c r="O54" s="6">
        <f t="shared" ref="O54:O58" si="18">R54*0.25/K54</f>
        <v>3</v>
      </c>
      <c r="P54" s="6">
        <f t="shared" ref="P54:P65" si="19">R54-Q54-O54</f>
        <v>18.321428571428569</v>
      </c>
      <c r="Q54" s="6">
        <f t="shared" ref="Q54:Q58" si="20">R54*5/44.8</f>
        <v>2.6785714285714288</v>
      </c>
      <c r="R54" s="53">
        <v>24</v>
      </c>
      <c r="S54" s="14">
        <v>4</v>
      </c>
      <c r="T54" s="66"/>
      <c r="U54" s="3"/>
      <c r="V54" s="3"/>
      <c r="W54" s="3"/>
      <c r="X54" s="21"/>
    </row>
    <row r="55" spans="1:24" x14ac:dyDescent="0.35">
      <c r="A55" s="22" t="s">
        <v>85</v>
      </c>
      <c r="B55" s="3"/>
      <c r="C55" s="3" t="s">
        <v>100</v>
      </c>
      <c r="D55" s="3"/>
      <c r="E55" s="3"/>
      <c r="F55" s="3"/>
      <c r="G55" s="3"/>
      <c r="H55" s="3" t="s">
        <v>104</v>
      </c>
      <c r="I55" s="2"/>
      <c r="J55" s="4">
        <v>17</v>
      </c>
      <c r="K55" s="4">
        <v>2</v>
      </c>
      <c r="L55" s="4">
        <v>25</v>
      </c>
      <c r="M55" s="5">
        <f t="shared" ref="M55:M58" si="21">L55-N55</f>
        <v>22.058823529411764</v>
      </c>
      <c r="N55" s="5">
        <f t="shared" ref="N55:N58" si="22">K55*L55/J55</f>
        <v>2.9411764705882355</v>
      </c>
      <c r="O55" s="6">
        <f t="shared" si="18"/>
        <v>3</v>
      </c>
      <c r="P55" s="6">
        <f t="shared" si="19"/>
        <v>18.321428571428569</v>
      </c>
      <c r="Q55" s="6">
        <f t="shared" si="20"/>
        <v>2.6785714285714288</v>
      </c>
      <c r="R55" s="53">
        <v>24</v>
      </c>
      <c r="S55" s="14">
        <v>4</v>
      </c>
      <c r="T55" s="66"/>
      <c r="U55" s="3"/>
      <c r="V55" s="3"/>
      <c r="W55" s="3"/>
      <c r="X55" s="21"/>
    </row>
    <row r="56" spans="1:24" x14ac:dyDescent="0.35">
      <c r="A56" s="22" t="s">
        <v>85</v>
      </c>
      <c r="B56" s="3"/>
      <c r="C56" s="3" t="s">
        <v>101</v>
      </c>
      <c r="D56" s="3"/>
      <c r="E56" s="3"/>
      <c r="F56" s="3"/>
      <c r="G56" s="3"/>
      <c r="H56" s="3" t="s">
        <v>104</v>
      </c>
      <c r="I56" s="2"/>
      <c r="J56" s="59">
        <v>59</v>
      </c>
      <c r="K56" s="4">
        <v>2</v>
      </c>
      <c r="L56" s="4">
        <v>100</v>
      </c>
      <c r="M56" s="5">
        <f t="shared" si="21"/>
        <v>96.610169491525426</v>
      </c>
      <c r="N56" s="5">
        <f t="shared" si="22"/>
        <v>3.3898305084745761</v>
      </c>
      <c r="O56" s="6">
        <f t="shared" si="18"/>
        <v>3</v>
      </c>
      <c r="P56" s="6">
        <f t="shared" si="19"/>
        <v>18.321428571428569</v>
      </c>
      <c r="Q56" s="6">
        <f t="shared" si="20"/>
        <v>2.6785714285714288</v>
      </c>
      <c r="R56" s="53">
        <v>24</v>
      </c>
      <c r="S56" s="14">
        <v>4</v>
      </c>
      <c r="T56" s="66"/>
      <c r="U56" s="3"/>
      <c r="V56" s="3"/>
      <c r="W56" s="3"/>
      <c r="X56" s="21"/>
    </row>
    <row r="57" spans="1:24" x14ac:dyDescent="0.35">
      <c r="A57" s="22" t="s">
        <v>85</v>
      </c>
      <c r="B57" s="3"/>
      <c r="C57" s="3" t="s">
        <v>102</v>
      </c>
      <c r="D57" s="3"/>
      <c r="E57" s="3"/>
      <c r="F57" s="3"/>
      <c r="G57" s="3"/>
      <c r="H57" s="3" t="s">
        <v>104</v>
      </c>
      <c r="I57" s="2"/>
      <c r="J57" s="59">
        <v>21.8</v>
      </c>
      <c r="K57" s="4">
        <v>2</v>
      </c>
      <c r="L57" s="4">
        <v>25</v>
      </c>
      <c r="M57" s="5">
        <f t="shared" si="21"/>
        <v>22.706422018348626</v>
      </c>
      <c r="N57" s="5">
        <f t="shared" si="22"/>
        <v>2.2935779816513762</v>
      </c>
      <c r="O57" s="6">
        <f t="shared" si="18"/>
        <v>3</v>
      </c>
      <c r="P57" s="6">
        <f t="shared" si="19"/>
        <v>18.321428571428569</v>
      </c>
      <c r="Q57" s="6">
        <f t="shared" si="20"/>
        <v>2.6785714285714288</v>
      </c>
      <c r="R57" s="53">
        <v>24</v>
      </c>
      <c r="S57" s="14">
        <v>4</v>
      </c>
      <c r="T57" s="66"/>
      <c r="U57" s="3"/>
      <c r="V57" s="3"/>
      <c r="W57" s="3"/>
      <c r="X57" s="21"/>
    </row>
    <row r="58" spans="1:24" ht="15" thickBot="1" x14ac:dyDescent="0.4">
      <c r="A58" s="23" t="s">
        <v>85</v>
      </c>
      <c r="B58" s="12"/>
      <c r="C58" s="12" t="s">
        <v>103</v>
      </c>
      <c r="D58" s="12"/>
      <c r="E58" s="12"/>
      <c r="F58" s="12"/>
      <c r="G58" s="12"/>
      <c r="H58" s="12" t="s">
        <v>104</v>
      </c>
      <c r="I58" s="60"/>
      <c r="J58" s="61">
        <v>29.5</v>
      </c>
      <c r="K58" s="62">
        <v>2</v>
      </c>
      <c r="L58" s="62">
        <v>40</v>
      </c>
      <c r="M58" s="63">
        <f t="shared" si="21"/>
        <v>37.288135593220339</v>
      </c>
      <c r="N58" s="63">
        <f t="shared" si="22"/>
        <v>2.7118644067796609</v>
      </c>
      <c r="O58" s="64">
        <f t="shared" si="18"/>
        <v>3</v>
      </c>
      <c r="P58" s="64">
        <f t="shared" si="19"/>
        <v>18.321428571428569</v>
      </c>
      <c r="Q58" s="64">
        <f t="shared" si="20"/>
        <v>2.6785714285714288</v>
      </c>
      <c r="R58" s="65">
        <v>24</v>
      </c>
      <c r="S58" s="14">
        <v>4</v>
      </c>
      <c r="T58" s="67"/>
      <c r="U58" s="12"/>
      <c r="V58" s="12"/>
      <c r="W58" s="12"/>
      <c r="X58" s="24"/>
    </row>
    <row r="59" spans="1:24" x14ac:dyDescent="0.35">
      <c r="A59" t="s">
        <v>115</v>
      </c>
      <c r="B59" s="20">
        <v>44831</v>
      </c>
      <c r="C59" s="2" t="s">
        <v>49</v>
      </c>
      <c r="D59" s="2" t="s">
        <v>50</v>
      </c>
      <c r="E59" s="3">
        <v>2769921</v>
      </c>
      <c r="F59" s="3"/>
      <c r="G59" s="3"/>
      <c r="H59" s="2" t="s">
        <v>17</v>
      </c>
      <c r="I59" s="2"/>
      <c r="J59" s="4">
        <v>9.16</v>
      </c>
      <c r="K59" s="4">
        <v>1.25</v>
      </c>
      <c r="L59" s="4">
        <v>20</v>
      </c>
      <c r="M59" s="5">
        <f>L59-N59</f>
        <v>17.270742358078603</v>
      </c>
      <c r="N59" s="5">
        <f>K59*L59/J59</f>
        <v>2.7292576419213974</v>
      </c>
      <c r="O59" s="6">
        <f>R59*0.25/K59</f>
        <v>4.8</v>
      </c>
      <c r="P59" s="6">
        <f t="shared" si="19"/>
        <v>15.649704142011831</v>
      </c>
      <c r="Q59" s="6">
        <f t="shared" ref="Q59:Q65" si="23">R59*5/33.8</f>
        <v>3.550295857988166</v>
      </c>
      <c r="R59" s="2">
        <v>24</v>
      </c>
      <c r="S59" s="14">
        <v>4</v>
      </c>
      <c r="T59" s="14">
        <f>S59*O59/R59*N59/L59</f>
        <v>0.10917030567685589</v>
      </c>
      <c r="U59" s="13">
        <f>E59*N59/L59*O59/R59*4</f>
        <v>302393.12227074231</v>
      </c>
      <c r="V59" s="3">
        <f t="shared" ref="V59:V62" si="24">LOG10(U59)</f>
        <v>5.4805719092040608</v>
      </c>
      <c r="W59" s="3"/>
      <c r="X59" s="21"/>
    </row>
    <row r="60" spans="1:24" x14ac:dyDescent="0.35">
      <c r="A60" t="s">
        <v>115</v>
      </c>
      <c r="B60" s="20">
        <v>44831</v>
      </c>
      <c r="C60" s="2" t="s">
        <v>51</v>
      </c>
      <c r="D60" s="2" t="s">
        <v>52</v>
      </c>
      <c r="E60" s="3">
        <v>3145114.25</v>
      </c>
      <c r="F60" s="3"/>
      <c r="G60" s="3"/>
      <c r="H60" s="2" t="s">
        <v>17</v>
      </c>
      <c r="I60" s="2"/>
      <c r="J60" s="4">
        <v>9.8000000000000007</v>
      </c>
      <c r="K60" s="4">
        <v>1.25</v>
      </c>
      <c r="L60" s="4">
        <v>20</v>
      </c>
      <c r="M60" s="5">
        <f>L60-N60</f>
        <v>17.448979591836736</v>
      </c>
      <c r="N60" s="5">
        <f>K60*L60/J60</f>
        <v>2.5510204081632653</v>
      </c>
      <c r="O60" s="6">
        <f>R60*0.25/K60</f>
        <v>4.8</v>
      </c>
      <c r="P60" s="6">
        <f t="shared" si="19"/>
        <v>15.649704142011831</v>
      </c>
      <c r="Q60" s="6">
        <f t="shared" si="23"/>
        <v>3.550295857988166</v>
      </c>
      <c r="R60" s="2">
        <v>24</v>
      </c>
      <c r="S60" s="14">
        <v>4</v>
      </c>
      <c r="T60" s="14">
        <f>S60*O60/R60*N60/L60</f>
        <v>0.10204081632653059</v>
      </c>
      <c r="U60" s="13">
        <f>E60*N60/L60*O60/R60*4</f>
        <v>320930.02551020408</v>
      </c>
      <c r="V60" s="3">
        <f t="shared" si="24"/>
        <v>5.5064103506367506</v>
      </c>
      <c r="W60" s="3"/>
      <c r="X60" s="21"/>
    </row>
    <row r="61" spans="1:24" x14ac:dyDescent="0.35">
      <c r="A61" t="s">
        <v>115</v>
      </c>
      <c r="B61" s="20">
        <v>44831</v>
      </c>
      <c r="C61" s="2" t="s">
        <v>53</v>
      </c>
      <c r="D61" s="2" t="s">
        <v>54</v>
      </c>
      <c r="E61" s="3">
        <v>7378686.5</v>
      </c>
      <c r="F61" s="3"/>
      <c r="G61" s="3"/>
      <c r="H61" s="2" t="s">
        <v>17</v>
      </c>
      <c r="I61" s="2"/>
      <c r="J61" s="4">
        <v>13.2</v>
      </c>
      <c r="K61" s="4">
        <v>1.25</v>
      </c>
      <c r="L61" s="4">
        <v>20</v>
      </c>
      <c r="M61" s="5">
        <f>L61-N61</f>
        <v>18.106060606060606</v>
      </c>
      <c r="N61" s="5">
        <f>K61*L61/J61</f>
        <v>1.893939393939394</v>
      </c>
      <c r="O61" s="6">
        <f>R61*0.25/K61</f>
        <v>4.8</v>
      </c>
      <c r="P61" s="6">
        <f t="shared" si="19"/>
        <v>15.649704142011831</v>
      </c>
      <c r="Q61" s="6">
        <f t="shared" si="23"/>
        <v>3.550295857988166</v>
      </c>
      <c r="R61" s="2">
        <v>24</v>
      </c>
      <c r="S61" s="14">
        <v>4</v>
      </c>
      <c r="T61" s="14">
        <f>S61*O61/R61*N61/L61</f>
        <v>7.575757575757576E-2</v>
      </c>
      <c r="U61" s="13">
        <f>E61*N61/L61*O61/R61*4</f>
        <v>558991.40151515149</v>
      </c>
      <c r="V61" s="3">
        <f t="shared" si="24"/>
        <v>5.7474051275586184</v>
      </c>
      <c r="W61" s="13">
        <f>U61/4*R61/O61*L61/N61</f>
        <v>7378686.5</v>
      </c>
      <c r="X61" s="21"/>
    </row>
    <row r="62" spans="1:24" x14ac:dyDescent="0.35">
      <c r="A62" t="s">
        <v>115</v>
      </c>
      <c r="B62" s="20">
        <v>44831</v>
      </c>
      <c r="C62" s="2" t="s">
        <v>55</v>
      </c>
      <c r="D62" s="2" t="s">
        <v>56</v>
      </c>
      <c r="E62" s="3">
        <v>5524195</v>
      </c>
      <c r="F62" s="3"/>
      <c r="G62" s="3"/>
      <c r="H62" s="2" t="s">
        <v>17</v>
      </c>
      <c r="I62" s="2"/>
      <c r="J62" s="4">
        <v>4.8600000000000003</v>
      </c>
      <c r="K62" s="8" t="s">
        <v>18</v>
      </c>
      <c r="L62" s="8" t="s">
        <v>18</v>
      </c>
      <c r="M62" s="9" t="s">
        <v>18</v>
      </c>
      <c r="N62" s="10" t="s">
        <v>18</v>
      </c>
      <c r="O62" s="6">
        <f>R62*0.25/J62</f>
        <v>1.2345679012345678</v>
      </c>
      <c r="P62" s="6">
        <f t="shared" si="19"/>
        <v>19.215136240777266</v>
      </c>
      <c r="Q62" s="6">
        <f t="shared" si="23"/>
        <v>3.550295857988166</v>
      </c>
      <c r="R62" s="2">
        <v>24</v>
      </c>
      <c r="S62" s="14">
        <v>4</v>
      </c>
      <c r="T62" s="14">
        <f>S62*O62/R62</f>
        <v>0.20576131687242796</v>
      </c>
      <c r="U62" s="13">
        <f>E62*O62/R62*4</f>
        <v>1136665.6378600823</v>
      </c>
      <c r="V62" s="3">
        <f t="shared" si="24"/>
        <v>6.0556327311890596</v>
      </c>
      <c r="W62" s="3"/>
      <c r="X62" s="21"/>
    </row>
    <row r="63" spans="1:24" x14ac:dyDescent="0.35">
      <c r="A63" t="s">
        <v>115</v>
      </c>
      <c r="B63" s="20">
        <v>44831</v>
      </c>
      <c r="C63" s="2" t="s">
        <v>19</v>
      </c>
      <c r="D63" s="2" t="s">
        <v>20</v>
      </c>
      <c r="E63" s="3">
        <v>5684949</v>
      </c>
      <c r="F63" s="3"/>
      <c r="G63" s="3"/>
      <c r="H63" s="2" t="s">
        <v>17</v>
      </c>
      <c r="I63" s="2"/>
      <c r="J63" s="4">
        <v>5.84</v>
      </c>
      <c r="K63" s="4">
        <v>1.25</v>
      </c>
      <c r="L63" s="4">
        <v>10</v>
      </c>
      <c r="M63" s="5">
        <f>L63-N63</f>
        <v>7.8595890410958908</v>
      </c>
      <c r="N63" s="5">
        <f>K63*L63/J63</f>
        <v>2.1404109589041096</v>
      </c>
      <c r="O63" s="6">
        <f>R63*0.25/K63</f>
        <v>4.8</v>
      </c>
      <c r="P63" s="6">
        <f t="shared" si="19"/>
        <v>15.649704142011831</v>
      </c>
      <c r="Q63" s="6">
        <f t="shared" si="23"/>
        <v>3.550295857988166</v>
      </c>
      <c r="R63" s="2">
        <v>24</v>
      </c>
      <c r="S63" s="14">
        <v>4</v>
      </c>
      <c r="T63" s="14">
        <f>S63*O63/R63*N63/L63</f>
        <v>0.17123287671232876</v>
      </c>
      <c r="U63" s="13">
        <f>E63*N63/L63*O63/R63*4</f>
        <v>973450.17123287672</v>
      </c>
      <c r="V63" s="3">
        <f t="shared" ref="V63:V65" si="25">LOG10(U63)</f>
        <v>5.9883137258483945</v>
      </c>
      <c r="W63" s="3"/>
      <c r="X63" s="21"/>
    </row>
    <row r="64" spans="1:24" x14ac:dyDescent="0.35">
      <c r="A64" t="s">
        <v>115</v>
      </c>
      <c r="B64" s="20">
        <v>44831</v>
      </c>
      <c r="C64" s="2" t="s">
        <v>26</v>
      </c>
      <c r="D64" s="2" t="s">
        <v>27</v>
      </c>
      <c r="E64" s="3">
        <v>54.4</v>
      </c>
      <c r="F64" s="3"/>
      <c r="G64" s="3"/>
      <c r="H64" s="2" t="s">
        <v>17</v>
      </c>
      <c r="I64" s="2"/>
      <c r="J64" s="4">
        <v>100</v>
      </c>
      <c r="K64" s="4">
        <v>2.5</v>
      </c>
      <c r="L64" s="11">
        <v>80</v>
      </c>
      <c r="M64" s="5">
        <f>L64-N64</f>
        <v>78</v>
      </c>
      <c r="N64" s="5">
        <f>K64*L64/J64</f>
        <v>2</v>
      </c>
      <c r="O64" s="6">
        <f>R64*0.25/K64</f>
        <v>2.4</v>
      </c>
      <c r="P64" s="6">
        <f t="shared" si="19"/>
        <v>18.049704142011834</v>
      </c>
      <c r="Q64" s="6">
        <f t="shared" si="23"/>
        <v>3.550295857988166</v>
      </c>
      <c r="R64" s="2">
        <v>24</v>
      </c>
      <c r="S64" s="14">
        <v>4</v>
      </c>
      <c r="T64" s="14">
        <f>S64*O64/R64*N64/L64</f>
        <v>9.9999999999999985E-3</v>
      </c>
      <c r="U64" s="13">
        <f>E64*N64/L64*O64/R64*4</f>
        <v>0.54399999999999993</v>
      </c>
      <c r="V64" s="3">
        <f t="shared" si="25"/>
        <v>-0.26440110030182018</v>
      </c>
      <c r="W64" s="3"/>
      <c r="X64" s="21"/>
    </row>
    <row r="65" spans="1:24" x14ac:dyDescent="0.35">
      <c r="A65" t="s">
        <v>115</v>
      </c>
      <c r="B65" s="20">
        <v>44831</v>
      </c>
      <c r="C65" s="37" t="s">
        <v>44</v>
      </c>
      <c r="D65" s="37" t="s">
        <v>45</v>
      </c>
      <c r="E65" s="38">
        <v>6992533</v>
      </c>
      <c r="F65" s="38"/>
      <c r="G65" s="38"/>
      <c r="H65" s="37" t="s">
        <v>17</v>
      </c>
      <c r="I65" s="37"/>
      <c r="J65" s="39">
        <v>8.68</v>
      </c>
      <c r="K65" s="39">
        <v>1.5</v>
      </c>
      <c r="L65" s="40">
        <v>12</v>
      </c>
      <c r="M65" s="41">
        <f>10-2.07</f>
        <v>7.93</v>
      </c>
      <c r="N65" s="40">
        <f>K65*L65/J65</f>
        <v>2.0737327188940093</v>
      </c>
      <c r="O65" s="42">
        <f>R65*0.25/K65</f>
        <v>4</v>
      </c>
      <c r="P65" s="42">
        <f t="shared" si="19"/>
        <v>16.449704142011832</v>
      </c>
      <c r="Q65" s="42">
        <f t="shared" si="23"/>
        <v>3.550295857988166</v>
      </c>
      <c r="R65" s="37">
        <v>24</v>
      </c>
      <c r="S65" s="14">
        <v>4</v>
      </c>
      <c r="T65" s="14">
        <f>S65*O65/R65*N65/10</f>
        <v>0.13824884792626729</v>
      </c>
      <c r="U65" s="54">
        <f>E65*N65/L65*O65/R65*4</f>
        <v>805591.35944700474</v>
      </c>
      <c r="V65" s="38">
        <f t="shared" si="25"/>
        <v>5.9061147994464918</v>
      </c>
      <c r="W65" s="38"/>
      <c r="X65" s="43"/>
    </row>
  </sheetData>
  <sortState xmlns:xlrd2="http://schemas.microsoft.com/office/spreadsheetml/2017/richdata2" ref="B3:X38">
    <sortCondition ref="D3:D38"/>
  </sortState>
  <phoneticPr fontId="6" type="noConversion"/>
  <pageMargins left="0.7" right="0.7" top="0.75" bottom="0.75" header="0.3" footer="0.3"/>
  <pageSetup scale="4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Shelly Trigg</dc:creator>
  <cp:lastModifiedBy>Shelly Trigg</cp:lastModifiedBy>
  <cp:lastPrinted>2022-09-16T17:30:59Z</cp:lastPrinted>
  <dcterms:created xsi:type="dcterms:W3CDTF">2022-04-14T15:01:34Z</dcterms:created>
  <dcterms:modified xsi:type="dcterms:W3CDTF">2022-10-31T21:18:16Z</dcterms:modified>
</cp:coreProperties>
</file>