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trigg\Box\Science\Fisheries\Projects\SHERLOCK Disease diagnostics\SAT-experiments\analyses\2022-06-20_TSV_analysis\"/>
    </mc:Choice>
  </mc:AlternateContent>
  <xr:revisionPtr revIDLastSave="0" documentId="8_{C29701BB-91C1-46BA-8B77-4529CE968370}" xr6:coauthVersionLast="47" xr6:coauthVersionMax="47" xr10:uidLastSave="{00000000-0000-0000-0000-000000000000}"/>
  <bookViews>
    <workbookView xWindow="380" yWindow="380" windowWidth="15980" windowHeight="8490" firstSheet="4" activeTab="5" xr2:uid="{F76707BF-A462-4413-B2E4-435CEC3579E0}"/>
  </bookViews>
  <sheets>
    <sheet name="Inventory" sheetId="1" r:id="rId1"/>
    <sheet name="SHERLOCK Pred. clean (drc-ll.4)" sheetId="5" r:id="rId2"/>
    <sheet name="SHERLOCK Prediction (drc-ll.4)" sheetId="3" r:id="rId3"/>
    <sheet name="SHERLOCK Pred. clean (CT-BC)" sheetId="6" r:id="rId4"/>
    <sheet name="SHERLOCK Prediction (CT-BC)" sheetId="4" r:id="rId5"/>
    <sheet name="Tech Rep Data - AD"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5" l="1"/>
  <c r="P2" i="5"/>
  <c r="R6" i="5"/>
  <c r="L2" i="6"/>
  <c r="Q4" i="3"/>
  <c r="M7" i="6"/>
  <c r="L25" i="6"/>
  <c r="K25" i="6"/>
  <c r="L24" i="6"/>
  <c r="K24" i="6"/>
  <c r="L23" i="6"/>
  <c r="K23" i="6"/>
  <c r="L22" i="6"/>
  <c r="K22" i="6"/>
  <c r="L21" i="6"/>
  <c r="K21" i="6"/>
  <c r="L20" i="6"/>
  <c r="K20" i="6"/>
  <c r="L19" i="6"/>
  <c r="K19" i="6"/>
  <c r="M19" i="6" s="1"/>
  <c r="L18" i="6"/>
  <c r="K18" i="6"/>
  <c r="L17" i="6"/>
  <c r="K17" i="6"/>
  <c r="L16" i="6"/>
  <c r="K16" i="6"/>
  <c r="L15" i="6"/>
  <c r="K15" i="6"/>
  <c r="M15" i="6" s="1"/>
  <c r="L14" i="6"/>
  <c r="K14" i="6"/>
  <c r="L13" i="6"/>
  <c r="K13" i="6"/>
  <c r="L12" i="6"/>
  <c r="K12" i="6"/>
  <c r="L11" i="6"/>
  <c r="K11" i="6"/>
  <c r="L10" i="6"/>
  <c r="K10" i="6"/>
  <c r="L9" i="6"/>
  <c r="K9" i="6"/>
  <c r="L8" i="6"/>
  <c r="K8" i="6"/>
  <c r="L7" i="6"/>
  <c r="K7" i="6"/>
  <c r="L6" i="6"/>
  <c r="K6" i="6"/>
  <c r="L5" i="6"/>
  <c r="K5" i="6"/>
  <c r="L4" i="6"/>
  <c r="K4" i="6"/>
  <c r="L3" i="6"/>
  <c r="K3" i="6"/>
  <c r="K2" i="6"/>
  <c r="L26" i="5"/>
  <c r="L3" i="5"/>
  <c r="L4" i="5"/>
  <c r="L5" i="5"/>
  <c r="L6" i="5"/>
  <c r="L7" i="5"/>
  <c r="L8" i="5"/>
  <c r="L9" i="5"/>
  <c r="L10" i="5"/>
  <c r="L11" i="5"/>
  <c r="L12" i="5"/>
  <c r="L13" i="5"/>
  <c r="L14" i="5"/>
  <c r="L15" i="5"/>
  <c r="L16" i="5"/>
  <c r="L17" i="5"/>
  <c r="L18" i="5"/>
  <c r="L19" i="5"/>
  <c r="L20" i="5"/>
  <c r="L21" i="5"/>
  <c r="L22" i="5"/>
  <c r="L23" i="5"/>
  <c r="L24" i="5"/>
  <c r="L25" i="5"/>
  <c r="L2" i="5"/>
  <c r="Q25" i="5"/>
  <c r="P25" i="5"/>
  <c r="N25" i="5"/>
  <c r="Q24" i="5"/>
  <c r="P24" i="5"/>
  <c r="N24" i="5"/>
  <c r="Q23" i="5"/>
  <c r="P23" i="5"/>
  <c r="N23" i="5"/>
  <c r="Q22" i="5"/>
  <c r="P22" i="5"/>
  <c r="N22" i="5"/>
  <c r="Q21" i="5"/>
  <c r="P21" i="5"/>
  <c r="N21" i="5"/>
  <c r="Q20" i="5"/>
  <c r="R20" i="5" s="1"/>
  <c r="P20" i="5"/>
  <c r="N20" i="5"/>
  <c r="Q19" i="5"/>
  <c r="P19" i="5"/>
  <c r="N19" i="5"/>
  <c r="Q18" i="5"/>
  <c r="P18" i="5"/>
  <c r="N18" i="5"/>
  <c r="Q17" i="5"/>
  <c r="P17" i="5"/>
  <c r="N17" i="5"/>
  <c r="Q16" i="5"/>
  <c r="P16" i="5"/>
  <c r="N16" i="5"/>
  <c r="Q15" i="5"/>
  <c r="P15" i="5"/>
  <c r="N15" i="5"/>
  <c r="Q14" i="5"/>
  <c r="P14" i="5"/>
  <c r="N14" i="5"/>
  <c r="Q13" i="5"/>
  <c r="P13" i="5"/>
  <c r="N13" i="5"/>
  <c r="Q12" i="5"/>
  <c r="P12" i="5"/>
  <c r="N12" i="5"/>
  <c r="Q11" i="5"/>
  <c r="P11" i="5"/>
  <c r="N11" i="5"/>
  <c r="Q10" i="5"/>
  <c r="P10" i="5"/>
  <c r="N10" i="5"/>
  <c r="Q9" i="5"/>
  <c r="P9" i="5"/>
  <c r="N9" i="5"/>
  <c r="Q8" i="5"/>
  <c r="P8" i="5"/>
  <c r="N8" i="5"/>
  <c r="Q7" i="5"/>
  <c r="P7" i="5"/>
  <c r="N7" i="5"/>
  <c r="Q6" i="5"/>
  <c r="P6" i="5"/>
  <c r="N6" i="5"/>
  <c r="Q5" i="5"/>
  <c r="P5" i="5"/>
  <c r="N5" i="5"/>
  <c r="Q4" i="5"/>
  <c r="R4" i="5" s="1"/>
  <c r="P4" i="5"/>
  <c r="N4" i="5"/>
  <c r="Q3" i="5"/>
  <c r="P3" i="5"/>
  <c r="N3" i="5"/>
  <c r="K26" i="5"/>
  <c r="N2" i="5"/>
  <c r="O2" i="3"/>
  <c r="M26" i="4"/>
  <c r="M27" i="4"/>
  <c r="M5" i="4"/>
  <c r="M9" i="4"/>
  <c r="M28" i="4"/>
  <c r="N36" i="4"/>
  <c r="M36" i="4"/>
  <c r="K36" i="4"/>
  <c r="N35" i="4"/>
  <c r="M35" i="4"/>
  <c r="K35" i="4"/>
  <c r="N32" i="4"/>
  <c r="M32" i="4"/>
  <c r="K32" i="4"/>
  <c r="N31" i="4"/>
  <c r="M31" i="4"/>
  <c r="K31" i="4"/>
  <c r="N30" i="4"/>
  <c r="M30" i="4"/>
  <c r="K30" i="4"/>
  <c r="N29" i="4"/>
  <c r="M29" i="4"/>
  <c r="K29" i="4"/>
  <c r="N28" i="4"/>
  <c r="K28" i="4"/>
  <c r="N27" i="4"/>
  <c r="K27" i="4"/>
  <c r="N26" i="4"/>
  <c r="K26" i="4"/>
  <c r="N25" i="4"/>
  <c r="M25" i="4"/>
  <c r="K25" i="4"/>
  <c r="N24" i="4"/>
  <c r="M24" i="4"/>
  <c r="K24" i="4"/>
  <c r="N23" i="4"/>
  <c r="M23" i="4"/>
  <c r="K23" i="4"/>
  <c r="N22" i="4"/>
  <c r="M22" i="4"/>
  <c r="K22" i="4"/>
  <c r="N21" i="4"/>
  <c r="M21" i="4"/>
  <c r="K21" i="4"/>
  <c r="N20" i="4"/>
  <c r="M20" i="4"/>
  <c r="K20" i="4"/>
  <c r="N19" i="4"/>
  <c r="M19" i="4"/>
  <c r="K19" i="4"/>
  <c r="N18" i="4"/>
  <c r="M18" i="4"/>
  <c r="K18" i="4"/>
  <c r="N17" i="4"/>
  <c r="M17" i="4"/>
  <c r="K17" i="4"/>
  <c r="N16" i="4"/>
  <c r="M16" i="4"/>
  <c r="K16" i="4"/>
  <c r="N15" i="4"/>
  <c r="M15" i="4"/>
  <c r="K15" i="4"/>
  <c r="N14" i="4"/>
  <c r="M14" i="4"/>
  <c r="K14" i="4"/>
  <c r="N10" i="4"/>
  <c r="M10" i="4"/>
  <c r="K10" i="4"/>
  <c r="N9" i="4"/>
  <c r="K9" i="4"/>
  <c r="N8" i="4"/>
  <c r="M8" i="4"/>
  <c r="K8" i="4"/>
  <c r="N7" i="4"/>
  <c r="M7" i="4"/>
  <c r="K7" i="4"/>
  <c r="N6" i="4"/>
  <c r="M6" i="4"/>
  <c r="K6" i="4"/>
  <c r="N5" i="4"/>
  <c r="K5" i="4"/>
  <c r="N4" i="4"/>
  <c r="M4" i="4"/>
  <c r="K4" i="4"/>
  <c r="N2" i="4"/>
  <c r="M2" i="4"/>
  <c r="K2" i="4"/>
  <c r="P36" i="3"/>
  <c r="Q36" i="3" s="1"/>
  <c r="O36" i="3"/>
  <c r="P35" i="3"/>
  <c r="Q35" i="3" s="1"/>
  <c r="O35" i="3"/>
  <c r="P32" i="3"/>
  <c r="Q32" i="3" s="1"/>
  <c r="O32" i="3"/>
  <c r="P31" i="3"/>
  <c r="Q31" i="3" s="1"/>
  <c r="O31" i="3"/>
  <c r="P30" i="3"/>
  <c r="O30" i="3"/>
  <c r="Q30" i="3" s="1"/>
  <c r="P29" i="3"/>
  <c r="Q29" i="3" s="1"/>
  <c r="O29" i="3"/>
  <c r="P28" i="3"/>
  <c r="O28" i="3"/>
  <c r="P27" i="3"/>
  <c r="Q27" i="3" s="1"/>
  <c r="O27" i="3"/>
  <c r="P26" i="3"/>
  <c r="O26" i="3"/>
  <c r="P25" i="3"/>
  <c r="Q25" i="3" s="1"/>
  <c r="O25" i="3"/>
  <c r="P24" i="3"/>
  <c r="Q24" i="3" s="1"/>
  <c r="O24" i="3"/>
  <c r="P23" i="3"/>
  <c r="Q23" i="3" s="1"/>
  <c r="O23" i="3"/>
  <c r="P22" i="3"/>
  <c r="O22" i="3"/>
  <c r="Q22" i="3" s="1"/>
  <c r="P21" i="3"/>
  <c r="Q21" i="3" s="1"/>
  <c r="O21" i="3"/>
  <c r="P20" i="3"/>
  <c r="Q20" i="3" s="1"/>
  <c r="O20" i="3"/>
  <c r="P19" i="3"/>
  <c r="Q19" i="3" s="1"/>
  <c r="O19" i="3"/>
  <c r="P18" i="3"/>
  <c r="Q18" i="3" s="1"/>
  <c r="O18" i="3"/>
  <c r="P17" i="3"/>
  <c r="Q17" i="3" s="1"/>
  <c r="O17" i="3"/>
  <c r="P16" i="3"/>
  <c r="Q16" i="3" s="1"/>
  <c r="O16" i="3"/>
  <c r="P15" i="3"/>
  <c r="Q15" i="3" s="1"/>
  <c r="O15" i="3"/>
  <c r="P14" i="3"/>
  <c r="O14" i="3"/>
  <c r="Q14" i="3" s="1"/>
  <c r="P10" i="3"/>
  <c r="Q10" i="3" s="1"/>
  <c r="O10" i="3"/>
  <c r="P9" i="3"/>
  <c r="O9" i="3"/>
  <c r="P8" i="3"/>
  <c r="Q8" i="3" s="1"/>
  <c r="O8" i="3"/>
  <c r="P7" i="3"/>
  <c r="Q7" i="3" s="1"/>
  <c r="O7" i="3"/>
  <c r="P6" i="3"/>
  <c r="O6" i="3"/>
  <c r="Q6" i="3" s="1"/>
  <c r="P5" i="3"/>
  <c r="O5" i="3"/>
  <c r="L39" i="3" s="1"/>
  <c r="P4" i="3"/>
  <c r="O4" i="3"/>
  <c r="P2" i="3"/>
  <c r="Q2" i="3" s="1"/>
  <c r="M4" i="3"/>
  <c r="M5" i="3"/>
  <c r="M6" i="3"/>
  <c r="M7" i="3"/>
  <c r="M8" i="3"/>
  <c r="M9" i="3"/>
  <c r="M10" i="3"/>
  <c r="M14" i="3"/>
  <c r="M15" i="3"/>
  <c r="M16" i="3"/>
  <c r="M17" i="3"/>
  <c r="M18" i="3"/>
  <c r="M19" i="3"/>
  <c r="M20" i="3"/>
  <c r="M21" i="3"/>
  <c r="M22" i="3"/>
  <c r="M23" i="3"/>
  <c r="M24" i="3"/>
  <c r="M25" i="3"/>
  <c r="M26" i="3"/>
  <c r="M27" i="3"/>
  <c r="M28" i="3"/>
  <c r="M29" i="3"/>
  <c r="M30" i="3"/>
  <c r="M31" i="3"/>
  <c r="M32" i="3"/>
  <c r="M35" i="3"/>
  <c r="M36" i="3"/>
  <c r="M2" i="3"/>
  <c r="Z4" i="1"/>
  <c r="M5" i="1"/>
  <c r="M4" i="1"/>
  <c r="N35" i="1"/>
  <c r="Q42" i="1"/>
  <c r="M19" i="1"/>
  <c r="P4" i="1"/>
  <c r="M2" i="6" l="1"/>
  <c r="M3" i="6"/>
  <c r="M9" i="6"/>
  <c r="M17" i="6"/>
  <c r="M11" i="6"/>
  <c r="M4" i="6"/>
  <c r="M20" i="6"/>
  <c r="M14" i="6"/>
  <c r="M8" i="6"/>
  <c r="M16" i="6"/>
  <c r="M18" i="6"/>
  <c r="M22" i="6"/>
  <c r="M5" i="6"/>
  <c r="M23" i="6"/>
  <c r="M6" i="6"/>
  <c r="M12" i="6"/>
  <c r="M24" i="6"/>
  <c r="M13" i="6"/>
  <c r="M10" i="6"/>
  <c r="M21" i="6"/>
  <c r="M25" i="6"/>
  <c r="R7" i="5"/>
  <c r="R15" i="5"/>
  <c r="R24" i="5"/>
  <c r="R11" i="5"/>
  <c r="R19" i="5"/>
  <c r="R10" i="5"/>
  <c r="R18" i="5"/>
  <c r="R23" i="5"/>
  <c r="R13" i="5"/>
  <c r="R2" i="5"/>
  <c r="R8" i="5"/>
  <c r="R16" i="5"/>
  <c r="R21" i="5"/>
  <c r="R14" i="5"/>
  <c r="R3" i="5"/>
  <c r="R9" i="5"/>
  <c r="R17" i="5"/>
  <c r="R22" i="5"/>
  <c r="R5" i="5"/>
  <c r="R12" i="5"/>
  <c r="R25" i="5"/>
  <c r="Q28" i="3"/>
  <c r="Q26" i="3"/>
  <c r="Q5" i="3"/>
  <c r="Q9" i="3"/>
  <c r="O9" i="4"/>
  <c r="O20" i="4"/>
  <c r="O28" i="4"/>
  <c r="O8" i="4"/>
  <c r="O19" i="4"/>
  <c r="O27" i="4"/>
  <c r="O35" i="4"/>
  <c r="O23" i="4"/>
  <c r="O31" i="4"/>
  <c r="O29" i="4"/>
  <c r="O5" i="4"/>
  <c r="O16" i="4"/>
  <c r="O24" i="4"/>
  <c r="O32" i="4"/>
  <c r="O26" i="4"/>
  <c r="O21" i="4"/>
  <c r="O2" i="4"/>
  <c r="O14" i="4"/>
  <c r="O22" i="4"/>
  <c r="O30" i="4"/>
  <c r="O4" i="4"/>
  <c r="O15" i="4"/>
  <c r="O7" i="4"/>
  <c r="O18" i="4"/>
  <c r="O36" i="4"/>
  <c r="O10" i="4"/>
  <c r="O6" i="4"/>
  <c r="O17" i="4"/>
  <c r="O25" i="4"/>
  <c r="AA4" i="1"/>
  <c r="AA19" i="1"/>
  <c r="AJ5" i="1"/>
  <c r="AH5" i="1" s="1"/>
  <c r="AI5" i="1" s="1"/>
  <c r="AJ6" i="1"/>
  <c r="AH6" i="1" s="1"/>
  <c r="AI6" i="1" s="1"/>
  <c r="AJ7" i="1"/>
  <c r="AH7" i="1" s="1"/>
  <c r="AI7" i="1" s="1"/>
  <c r="AJ8" i="1"/>
  <c r="AH8" i="1" s="1"/>
  <c r="AI8" i="1" s="1"/>
  <c r="AJ9" i="1"/>
  <c r="AH9" i="1" s="1"/>
  <c r="AI9" i="1" s="1"/>
  <c r="AJ10" i="1"/>
  <c r="AH10" i="1" s="1"/>
  <c r="AI10" i="1" s="1"/>
  <c r="AJ11" i="1"/>
  <c r="AH11" i="1" s="1"/>
  <c r="AI11" i="1" s="1"/>
  <c r="AJ12" i="1"/>
  <c r="AJ13" i="1"/>
  <c r="AH13" i="1" s="1"/>
  <c r="AI13" i="1" s="1"/>
  <c r="AJ14" i="1"/>
  <c r="AH14" i="1" s="1"/>
  <c r="AI14" i="1" s="1"/>
  <c r="AJ15" i="1"/>
  <c r="AH15" i="1" s="1"/>
  <c r="AI15" i="1" s="1"/>
  <c r="AJ16" i="1"/>
  <c r="AH16" i="1" s="1"/>
  <c r="AI16" i="1" s="1"/>
  <c r="AJ17" i="1"/>
  <c r="AH17" i="1" s="1"/>
  <c r="AI17" i="1" s="1"/>
  <c r="AJ18" i="1"/>
  <c r="AH18" i="1" s="1"/>
  <c r="AI18" i="1" s="1"/>
  <c r="AJ19" i="1"/>
  <c r="AH19" i="1" s="1"/>
  <c r="AI19" i="1" s="1"/>
  <c r="AJ20" i="1"/>
  <c r="AH20" i="1" s="1"/>
  <c r="AI20" i="1" s="1"/>
  <c r="AJ21" i="1"/>
  <c r="AH21" i="1" s="1"/>
  <c r="AI21" i="1" s="1"/>
  <c r="AJ22" i="1"/>
  <c r="AH22" i="1" s="1"/>
  <c r="AI22" i="1" s="1"/>
  <c r="AJ23" i="1"/>
  <c r="AH23" i="1" s="1"/>
  <c r="AI23" i="1" s="1"/>
  <c r="AJ24" i="1"/>
  <c r="AH24" i="1" s="1"/>
  <c r="AI24" i="1" s="1"/>
  <c r="AJ25" i="1"/>
  <c r="AH25" i="1" s="1"/>
  <c r="AI25" i="1" s="1"/>
  <c r="AJ26" i="1"/>
  <c r="AH26" i="1" s="1"/>
  <c r="AI26" i="1" s="1"/>
  <c r="AJ27" i="1"/>
  <c r="AH27" i="1" s="1"/>
  <c r="AI27" i="1" s="1"/>
  <c r="AJ28" i="1"/>
  <c r="AH28" i="1" s="1"/>
  <c r="AI28" i="1" s="1"/>
  <c r="AJ29" i="1"/>
  <c r="AH29" i="1" s="1"/>
  <c r="AI29" i="1" s="1"/>
  <c r="AJ30" i="1"/>
  <c r="AH30" i="1" s="1"/>
  <c r="AI30" i="1" s="1"/>
  <c r="AJ31" i="1"/>
  <c r="AH31" i="1" s="1"/>
  <c r="AI31" i="1" s="1"/>
  <c r="AJ32" i="1"/>
  <c r="AH32" i="1" s="1"/>
  <c r="AI32" i="1" s="1"/>
  <c r="AJ33" i="1"/>
  <c r="AH33" i="1" s="1"/>
  <c r="AI33" i="1" s="1"/>
  <c r="AJ34" i="1"/>
  <c r="AH34" i="1" s="1"/>
  <c r="AI34" i="1" s="1"/>
  <c r="AJ35" i="1"/>
  <c r="AH35" i="1" s="1"/>
  <c r="AI35" i="1" s="1"/>
  <c r="AJ36" i="1"/>
  <c r="AJ37" i="1"/>
  <c r="AH37" i="1" s="1"/>
  <c r="AI37" i="1" s="1"/>
  <c r="AJ38" i="1"/>
  <c r="AH38" i="1" s="1"/>
  <c r="AI38" i="1" s="1"/>
  <c r="AJ4" i="1"/>
  <c r="AH4" i="1" s="1"/>
  <c r="Q43" i="1"/>
  <c r="Q44" i="1"/>
  <c r="Q46" i="1"/>
  <c r="Q45" i="1"/>
  <c r="N4" i="1"/>
  <c r="AI4" i="1" l="1"/>
  <c r="AH36" i="1"/>
  <c r="AI36" i="1" s="1"/>
  <c r="AH12" i="1"/>
  <c r="AI12" i="1" s="1"/>
  <c r="O42" i="1"/>
  <c r="R42" i="1" s="1"/>
  <c r="O43" i="1"/>
  <c r="P43" i="1" s="1"/>
  <c r="O44" i="1"/>
  <c r="P44" i="1" s="1"/>
  <c r="O45" i="1"/>
  <c r="R45" i="1" s="1"/>
  <c r="O46" i="1"/>
  <c r="R46" i="1" s="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6" i="1"/>
  <c r="N37" i="1"/>
  <c r="N38" i="1"/>
  <c r="AM4" i="1"/>
  <c r="AO4" i="1" s="1"/>
  <c r="R6" i="1"/>
  <c r="AA5" i="1"/>
  <c r="M6" i="1"/>
  <c r="AA6" i="1" s="1"/>
  <c r="M7" i="1"/>
  <c r="AA7" i="1" s="1"/>
  <c r="M8" i="1"/>
  <c r="AA8" i="1" s="1"/>
  <c r="M9" i="1"/>
  <c r="AA9" i="1" s="1"/>
  <c r="M10" i="1"/>
  <c r="AA10" i="1" s="1"/>
  <c r="M11" i="1"/>
  <c r="AA11" i="1" s="1"/>
  <c r="M12" i="1"/>
  <c r="AA12" i="1" s="1"/>
  <c r="M13" i="1"/>
  <c r="AA13" i="1" s="1"/>
  <c r="M14" i="1"/>
  <c r="AA14" i="1" s="1"/>
  <c r="M15" i="1"/>
  <c r="AA15" i="1" s="1"/>
  <c r="M16" i="1"/>
  <c r="AA16" i="1" s="1"/>
  <c r="M17" i="1"/>
  <c r="AA17" i="1" s="1"/>
  <c r="M18" i="1"/>
  <c r="AA18" i="1" s="1"/>
  <c r="M20" i="1"/>
  <c r="AA20" i="1" s="1"/>
  <c r="M21" i="1"/>
  <c r="AA21" i="1" s="1"/>
  <c r="M22" i="1"/>
  <c r="AA22" i="1" s="1"/>
  <c r="M23" i="1"/>
  <c r="AA23" i="1" s="1"/>
  <c r="M24" i="1"/>
  <c r="AA24" i="1" s="1"/>
  <c r="M25" i="1"/>
  <c r="AA25" i="1" s="1"/>
  <c r="M26" i="1"/>
  <c r="AA26" i="1" s="1"/>
  <c r="M27" i="1"/>
  <c r="AA27" i="1" s="1"/>
  <c r="M28" i="1"/>
  <c r="AA28" i="1" s="1"/>
  <c r="M29" i="1"/>
  <c r="AA29" i="1" s="1"/>
  <c r="M30" i="1"/>
  <c r="AA30" i="1" s="1"/>
  <c r="M31" i="1"/>
  <c r="AA31" i="1" s="1"/>
  <c r="M32" i="1"/>
  <c r="AA32" i="1" s="1"/>
  <c r="M33" i="1"/>
  <c r="AA33" i="1" s="1"/>
  <c r="M34" i="1"/>
  <c r="AA34" i="1" s="1"/>
  <c r="M35" i="1"/>
  <c r="AA35" i="1" s="1"/>
  <c r="M36" i="1"/>
  <c r="AA36" i="1" s="1"/>
  <c r="M37" i="1"/>
  <c r="AA37" i="1" s="1"/>
  <c r="M38" i="1"/>
  <c r="AA38" i="1" s="1"/>
  <c r="Q4" i="1"/>
  <c r="R4" i="1" s="1"/>
  <c r="S4" i="1" s="1"/>
  <c r="R9" i="1"/>
  <c r="Q11" i="1"/>
  <c r="R11" i="1" s="1"/>
  <c r="Q10" i="1"/>
  <c r="R10" i="1" s="1"/>
  <c r="Q8" i="1"/>
  <c r="R8" i="1" s="1"/>
  <c r="Q7" i="1"/>
  <c r="R7" i="1" s="1"/>
  <c r="S7" i="1" s="1"/>
  <c r="T7" i="1" s="1"/>
  <c r="Q5" i="1"/>
  <c r="R5" i="1" s="1"/>
  <c r="P45" i="1" l="1"/>
  <c r="P46" i="1"/>
  <c r="O4" i="1"/>
  <c r="O38" i="1"/>
  <c r="O37" i="1"/>
  <c r="O30" i="1"/>
  <c r="O36" i="1"/>
  <c r="O35" i="1"/>
  <c r="O28" i="1"/>
  <c r="O22" i="1"/>
  <c r="O20" i="1"/>
  <c r="O14" i="1"/>
  <c r="O12" i="1"/>
  <c r="AM6" i="1"/>
  <c r="AO6" i="1" s="1"/>
  <c r="O6" i="1"/>
  <c r="O29" i="1"/>
  <c r="O21" i="1"/>
  <c r="O13" i="1"/>
  <c r="AM5" i="1"/>
  <c r="AO5" i="1" s="1"/>
  <c r="O5" i="1"/>
  <c r="O27" i="1"/>
  <c r="O19" i="1"/>
  <c r="AM11" i="1"/>
  <c r="AO11" i="1" s="1"/>
  <c r="O11" i="1"/>
  <c r="O34" i="1"/>
  <c r="O26" i="1"/>
  <c r="O18" i="1"/>
  <c r="AM10" i="1"/>
  <c r="AO10" i="1" s="1"/>
  <c r="O10" i="1"/>
  <c r="O33" i="1"/>
  <c r="O25" i="1"/>
  <c r="O17" i="1"/>
  <c r="AM9" i="1"/>
  <c r="AO9" i="1" s="1"/>
  <c r="O9" i="1"/>
  <c r="O32" i="1"/>
  <c r="O24" i="1"/>
  <c r="O16" i="1"/>
  <c r="AM8" i="1"/>
  <c r="AO8" i="1" s="1"/>
  <c r="O8" i="1"/>
  <c r="O31" i="1"/>
  <c r="O23" i="1"/>
  <c r="O15" i="1"/>
  <c r="AM7" i="1"/>
  <c r="AO7" i="1" s="1"/>
  <c r="O7" i="1"/>
  <c r="P42" i="1"/>
  <c r="R43" i="1"/>
  <c r="R44" i="1"/>
  <c r="X23" i="1"/>
  <c r="Z23" i="1"/>
  <c r="U23" i="1"/>
  <c r="V23" i="1"/>
  <c r="W23" i="1"/>
  <c r="Y23" i="1"/>
  <c r="Y26" i="1"/>
  <c r="Z26" i="1"/>
  <c r="U26" i="1"/>
  <c r="V26" i="1"/>
  <c r="W26" i="1"/>
  <c r="X26" i="1"/>
  <c r="Y18" i="1"/>
  <c r="U18" i="1"/>
  <c r="V18" i="1"/>
  <c r="W18" i="1"/>
  <c r="X18" i="1"/>
  <c r="Z18" i="1"/>
  <c r="W9" i="1"/>
  <c r="U9" i="1"/>
  <c r="X9" i="1"/>
  <c r="Y9" i="1"/>
  <c r="Z9" i="1"/>
  <c r="V9" i="1"/>
  <c r="W31" i="1"/>
  <c r="X31" i="1"/>
  <c r="Y31" i="1"/>
  <c r="Z31" i="1"/>
  <c r="U31" i="1"/>
  <c r="V31" i="1"/>
  <c r="U36" i="1"/>
  <c r="Z36" i="1"/>
  <c r="V36" i="1"/>
  <c r="Y36" i="1"/>
  <c r="W36" i="1"/>
  <c r="X36" i="1"/>
  <c r="W35" i="1"/>
  <c r="Z35" i="1"/>
  <c r="X35" i="1"/>
  <c r="U35" i="1"/>
  <c r="V35" i="1"/>
  <c r="Y35" i="1"/>
  <c r="Y27" i="1"/>
  <c r="W27" i="1"/>
  <c r="Z27" i="1"/>
  <c r="U27" i="1"/>
  <c r="V27" i="1"/>
  <c r="X27" i="1"/>
  <c r="W19" i="1"/>
  <c r="X19" i="1"/>
  <c r="Y19" i="1"/>
  <c r="Z19" i="1"/>
  <c r="U19" i="1"/>
  <c r="V19" i="1"/>
  <c r="X11" i="1"/>
  <c r="Y11" i="1"/>
  <c r="Z11" i="1"/>
  <c r="U11" i="1"/>
  <c r="V11" i="1"/>
  <c r="W11" i="1"/>
  <c r="Y4" i="1"/>
  <c r="V4" i="1"/>
  <c r="W4" i="1"/>
  <c r="X4" i="1"/>
  <c r="U4" i="1"/>
  <c r="Y34" i="1"/>
  <c r="W34" i="1"/>
  <c r="Z34" i="1"/>
  <c r="U34" i="1"/>
  <c r="X34" i="1"/>
  <c r="V34" i="1"/>
  <c r="Y10" i="1"/>
  <c r="Z10" i="1"/>
  <c r="W10" i="1"/>
  <c r="X10" i="1"/>
  <c r="U10" i="1"/>
  <c r="V10" i="1"/>
  <c r="W33" i="1"/>
  <c r="X33" i="1"/>
  <c r="U33" i="1"/>
  <c r="Y33" i="1"/>
  <c r="Z33" i="1"/>
  <c r="V33" i="1"/>
  <c r="W25" i="1"/>
  <c r="U25" i="1"/>
  <c r="V25" i="1"/>
  <c r="X25" i="1"/>
  <c r="Y25" i="1"/>
  <c r="Z25" i="1"/>
  <c r="W17" i="1"/>
  <c r="X17" i="1"/>
  <c r="V17" i="1"/>
  <c r="Y17" i="1"/>
  <c r="Z17" i="1"/>
  <c r="U17" i="1"/>
  <c r="U32" i="1"/>
  <c r="V32" i="1"/>
  <c r="Z32" i="1"/>
  <c r="W32" i="1"/>
  <c r="X32" i="1"/>
  <c r="Y32" i="1"/>
  <c r="U24" i="1"/>
  <c r="Y24" i="1"/>
  <c r="Z24" i="1"/>
  <c r="V24" i="1"/>
  <c r="W24" i="1"/>
  <c r="X24" i="1"/>
  <c r="U16" i="1"/>
  <c r="V16" i="1"/>
  <c r="W16" i="1"/>
  <c r="X16" i="1"/>
  <c r="Y16" i="1"/>
  <c r="Z16" i="1"/>
  <c r="U8" i="1"/>
  <c r="Y8" i="1"/>
  <c r="V8" i="1"/>
  <c r="W8" i="1"/>
  <c r="X8" i="1"/>
  <c r="Z8" i="1"/>
  <c r="X7" i="1"/>
  <c r="W7" i="1"/>
  <c r="Z7" i="1"/>
  <c r="U7" i="1"/>
  <c r="V7" i="1"/>
  <c r="Y7" i="1"/>
  <c r="X15" i="1"/>
  <c r="W15" i="1"/>
  <c r="Y15" i="1"/>
  <c r="U15" i="1"/>
  <c r="V15" i="1"/>
  <c r="Z15" i="1"/>
  <c r="Y38" i="1"/>
  <c r="U38" i="1"/>
  <c r="W38" i="1"/>
  <c r="X38" i="1"/>
  <c r="Z38" i="1"/>
  <c r="V38" i="1"/>
  <c r="Y30" i="1"/>
  <c r="Z30" i="1"/>
  <c r="U30" i="1"/>
  <c r="V30" i="1"/>
  <c r="X30" i="1"/>
  <c r="W30" i="1"/>
  <c r="Y22" i="1"/>
  <c r="V22" i="1"/>
  <c r="X22" i="1"/>
  <c r="Z22" i="1"/>
  <c r="U22" i="1"/>
  <c r="W22" i="1"/>
  <c r="Y14" i="1"/>
  <c r="W14" i="1"/>
  <c r="X14" i="1"/>
  <c r="Z14" i="1"/>
  <c r="V14" i="1"/>
  <c r="U14" i="1"/>
  <c r="Y6" i="1"/>
  <c r="W6" i="1"/>
  <c r="X6" i="1"/>
  <c r="Z6" i="1"/>
  <c r="V6" i="1"/>
  <c r="U6" i="1"/>
  <c r="W29" i="1"/>
  <c r="V29" i="1"/>
  <c r="X29" i="1"/>
  <c r="U29" i="1"/>
  <c r="Y29" i="1"/>
  <c r="Z29" i="1"/>
  <c r="W21" i="1"/>
  <c r="U21" i="1"/>
  <c r="X21" i="1"/>
  <c r="Y21" i="1"/>
  <c r="Z21" i="1"/>
  <c r="V21" i="1"/>
  <c r="W13" i="1"/>
  <c r="X13" i="1"/>
  <c r="U13" i="1"/>
  <c r="V13" i="1"/>
  <c r="Y13" i="1"/>
  <c r="Z13" i="1"/>
  <c r="V5" i="1"/>
  <c r="W5" i="1"/>
  <c r="X5" i="1"/>
  <c r="U5" i="1"/>
  <c r="Y5" i="1"/>
  <c r="Z5" i="1"/>
  <c r="W37" i="1"/>
  <c r="X37" i="1"/>
  <c r="U37" i="1"/>
  <c r="V37" i="1"/>
  <c r="Y37" i="1"/>
  <c r="Z37" i="1"/>
  <c r="U28" i="1"/>
  <c r="Y28" i="1"/>
  <c r="Z28" i="1"/>
  <c r="V28" i="1"/>
  <c r="W28" i="1"/>
  <c r="X28" i="1"/>
  <c r="U20" i="1"/>
  <c r="Y20" i="1"/>
  <c r="V20" i="1"/>
  <c r="W20" i="1"/>
  <c r="X20" i="1"/>
  <c r="Z20" i="1"/>
  <c r="U12" i="1"/>
  <c r="Y12" i="1"/>
  <c r="V12" i="1"/>
  <c r="W12" i="1"/>
  <c r="X12" i="1"/>
  <c r="Z12" i="1"/>
  <c r="AD23" i="1"/>
  <c r="AD38" i="1"/>
  <c r="AD22" i="1"/>
  <c r="P37" i="1"/>
  <c r="AD37" i="1"/>
  <c r="P36" i="1"/>
  <c r="AD36" i="1"/>
  <c r="AD35" i="1"/>
  <c r="P27" i="1"/>
  <c r="AD27" i="1"/>
  <c r="AD19" i="1"/>
  <c r="P11" i="1"/>
  <c r="AD11" i="1"/>
  <c r="AD4" i="1"/>
  <c r="AD34" i="1"/>
  <c r="AD26" i="1"/>
  <c r="AD18" i="1"/>
  <c r="AD10" i="1"/>
  <c r="P31" i="1"/>
  <c r="AD31" i="1"/>
  <c r="AD15" i="1"/>
  <c r="AD30" i="1"/>
  <c r="AD17" i="1"/>
  <c r="AD9" i="1"/>
  <c r="AD33" i="1"/>
  <c r="AD25" i="1"/>
  <c r="P32" i="1"/>
  <c r="AD32" i="1"/>
  <c r="P24" i="1"/>
  <c r="AD24" i="1"/>
  <c r="P16" i="1"/>
  <c r="AD16" i="1"/>
  <c r="P8" i="1"/>
  <c r="AD8" i="1"/>
  <c r="P7" i="1"/>
  <c r="AK7" i="1" s="1"/>
  <c r="AL7" i="1" s="1"/>
  <c r="AD7" i="1"/>
  <c r="P14" i="1"/>
  <c r="AD14" i="1"/>
  <c r="P6" i="1"/>
  <c r="AD6" i="1"/>
  <c r="AD29" i="1"/>
  <c r="P21" i="1"/>
  <c r="AD21" i="1"/>
  <c r="P13" i="1"/>
  <c r="AD13" i="1"/>
  <c r="P5" i="1"/>
  <c r="AD5" i="1"/>
  <c r="AD28" i="1"/>
  <c r="P20" i="1"/>
  <c r="AD20" i="1"/>
  <c r="P12" i="1"/>
  <c r="AD12" i="1"/>
  <c r="AE23" i="1"/>
  <c r="AF23" i="1"/>
  <c r="AB23" i="1"/>
  <c r="AG23" i="1"/>
  <c r="AC23" i="1"/>
  <c r="AF15" i="1"/>
  <c r="AB15" i="1"/>
  <c r="AE15" i="1"/>
  <c r="AG15" i="1"/>
  <c r="AC15" i="1"/>
  <c r="AF38" i="1"/>
  <c r="AG38" i="1"/>
  <c r="AC38" i="1"/>
  <c r="AE38" i="1"/>
  <c r="AB38" i="1"/>
  <c r="AF22" i="1"/>
  <c r="AG22" i="1"/>
  <c r="AC22" i="1"/>
  <c r="AB22" i="1"/>
  <c r="AE22" i="1"/>
  <c r="AB29" i="1"/>
  <c r="AC29" i="1"/>
  <c r="AE29" i="1"/>
  <c r="AG29" i="1"/>
  <c r="AF29" i="1"/>
  <c r="AB21" i="1"/>
  <c r="AC21" i="1"/>
  <c r="AG21" i="1"/>
  <c r="AE21" i="1"/>
  <c r="AF21" i="1"/>
  <c r="AB13" i="1"/>
  <c r="AC13" i="1"/>
  <c r="AE13" i="1"/>
  <c r="AF13" i="1"/>
  <c r="AG13" i="1"/>
  <c r="AB5" i="1"/>
  <c r="AC5" i="1"/>
  <c r="AE5" i="1"/>
  <c r="AF5" i="1"/>
  <c r="AG5" i="1"/>
  <c r="P23" i="1"/>
  <c r="P15" i="1"/>
  <c r="AF31" i="1"/>
  <c r="AG31" i="1"/>
  <c r="AE31" i="1"/>
  <c r="AB31" i="1"/>
  <c r="AC31" i="1"/>
  <c r="AF30" i="1"/>
  <c r="AG30" i="1"/>
  <c r="AB30" i="1"/>
  <c r="AC30" i="1"/>
  <c r="AE30" i="1"/>
  <c r="AC28" i="1"/>
  <c r="AE28" i="1"/>
  <c r="AF28" i="1"/>
  <c r="AB28" i="1"/>
  <c r="AG28" i="1"/>
  <c r="P38" i="1"/>
  <c r="P22" i="1"/>
  <c r="AE35" i="1"/>
  <c r="AF35" i="1"/>
  <c r="AB35" i="1"/>
  <c r="AC35" i="1"/>
  <c r="AG35" i="1"/>
  <c r="AB34" i="1"/>
  <c r="AC34" i="1"/>
  <c r="AF34" i="1"/>
  <c r="AG34" i="1"/>
  <c r="AE34" i="1"/>
  <c r="AB26" i="1"/>
  <c r="AC26" i="1"/>
  <c r="AE26" i="1"/>
  <c r="AF26" i="1"/>
  <c r="AG26" i="1"/>
  <c r="AB18" i="1"/>
  <c r="AC18" i="1"/>
  <c r="AE18" i="1"/>
  <c r="AF18" i="1"/>
  <c r="AG18" i="1"/>
  <c r="AB10" i="1"/>
  <c r="AC10" i="1"/>
  <c r="AF10" i="1"/>
  <c r="AE10" i="1"/>
  <c r="AG10" i="1"/>
  <c r="P28" i="1"/>
  <c r="AB4" i="1"/>
  <c r="AE4" i="1"/>
  <c r="AF4" i="1"/>
  <c r="AG4" i="1"/>
  <c r="AC4" i="1"/>
  <c r="AG20" i="1"/>
  <c r="AC20" i="1"/>
  <c r="AE20" i="1"/>
  <c r="AF20" i="1"/>
  <c r="AB20" i="1"/>
  <c r="P30" i="1"/>
  <c r="AE19" i="1"/>
  <c r="AF19" i="1"/>
  <c r="AB19" i="1"/>
  <c r="AG19" i="1"/>
  <c r="AC19" i="1"/>
  <c r="AG33" i="1"/>
  <c r="AF33" i="1"/>
  <c r="AE33" i="1"/>
  <c r="AB33" i="1"/>
  <c r="AC33" i="1"/>
  <c r="AG25" i="1"/>
  <c r="AE25" i="1"/>
  <c r="AB25" i="1"/>
  <c r="AC25" i="1"/>
  <c r="AF25" i="1"/>
  <c r="AG17" i="1"/>
  <c r="AE17" i="1"/>
  <c r="AB17" i="1"/>
  <c r="AC17" i="1"/>
  <c r="AF17" i="1"/>
  <c r="AG9" i="1"/>
  <c r="AB9" i="1"/>
  <c r="AE9" i="1"/>
  <c r="AC9" i="1"/>
  <c r="AF9" i="1"/>
  <c r="P35" i="1"/>
  <c r="P19" i="1"/>
  <c r="AF14" i="1"/>
  <c r="AG14" i="1"/>
  <c r="AC14" i="1"/>
  <c r="AE14" i="1"/>
  <c r="AB14" i="1"/>
  <c r="AF6" i="1"/>
  <c r="AG6" i="1"/>
  <c r="AB6" i="1"/>
  <c r="AE6" i="1"/>
  <c r="AC6" i="1"/>
  <c r="AB37" i="1"/>
  <c r="AC37" i="1"/>
  <c r="AE37" i="1"/>
  <c r="AG37" i="1"/>
  <c r="AF37" i="1"/>
  <c r="AC36" i="1"/>
  <c r="AE36" i="1"/>
  <c r="AB36" i="1"/>
  <c r="AF36" i="1"/>
  <c r="AG36" i="1"/>
  <c r="AF12" i="1"/>
  <c r="AC12" i="1"/>
  <c r="AG12" i="1"/>
  <c r="AB12" i="1"/>
  <c r="AE12" i="1"/>
  <c r="AE27" i="1"/>
  <c r="AF27" i="1"/>
  <c r="AC27" i="1"/>
  <c r="AG27" i="1"/>
  <c r="AB27" i="1"/>
  <c r="AE11" i="1"/>
  <c r="AC11" i="1"/>
  <c r="AF11" i="1"/>
  <c r="AG11" i="1"/>
  <c r="AB11" i="1"/>
  <c r="P29" i="1"/>
  <c r="AC32" i="1"/>
  <c r="AE32" i="1"/>
  <c r="AF32" i="1"/>
  <c r="AB32" i="1"/>
  <c r="AG32" i="1"/>
  <c r="AC24" i="1"/>
  <c r="AB24" i="1"/>
  <c r="AE24" i="1"/>
  <c r="AF24" i="1"/>
  <c r="AG24" i="1"/>
  <c r="AC16" i="1"/>
  <c r="AB16" i="1"/>
  <c r="AE16" i="1"/>
  <c r="AF16" i="1"/>
  <c r="AG16" i="1"/>
  <c r="AC8" i="1"/>
  <c r="AE8" i="1"/>
  <c r="AB8" i="1"/>
  <c r="AF8" i="1"/>
  <c r="AG8" i="1"/>
  <c r="P34" i="1"/>
  <c r="P26" i="1"/>
  <c r="P18" i="1"/>
  <c r="P10" i="1"/>
  <c r="AF7" i="1"/>
  <c r="AB7" i="1"/>
  <c r="AE7" i="1"/>
  <c r="AG7" i="1"/>
  <c r="AC7" i="1"/>
  <c r="P33" i="1"/>
  <c r="P25" i="1"/>
  <c r="P17" i="1"/>
  <c r="P9" i="1"/>
  <c r="S6" i="1"/>
  <c r="T6" i="1" s="1"/>
  <c r="S9" i="1"/>
  <c r="T9" i="1" s="1"/>
  <c r="S10" i="1"/>
  <c r="T10" i="1" s="1"/>
  <c r="T4" i="1"/>
  <c r="S5" i="1"/>
  <c r="T5" i="1" s="1"/>
  <c r="S8" i="1"/>
  <c r="T8" i="1" s="1"/>
  <c r="S11" i="1"/>
  <c r="T11" i="1" s="1"/>
  <c r="AK11" i="1" l="1"/>
  <c r="AL11" i="1" s="1"/>
  <c r="AK8" i="1"/>
  <c r="AL8" i="1" s="1"/>
  <c r="AK4" i="1"/>
  <c r="AL4" i="1" s="1"/>
  <c r="AK6" i="1"/>
  <c r="AL6" i="1" s="1"/>
  <c r="AK5" i="1"/>
  <c r="AL5" i="1" s="1"/>
  <c r="AK9" i="1"/>
  <c r="AL9" i="1" s="1"/>
  <c r="AK10" i="1"/>
  <c r="AL10" i="1" s="1"/>
</calcChain>
</file>

<file path=xl/sharedStrings.xml><?xml version="1.0" encoding="utf-8"?>
<sst xmlns="http://schemas.openxmlformats.org/spreadsheetml/2006/main" count="431" uniqueCount="161">
  <si>
    <t>Arun Dhar</t>
  </si>
  <si>
    <t>Rec'd 20201124</t>
  </si>
  <si>
    <t>stored in respectively named box at -80°C in freezer #2</t>
  </si>
  <si>
    <t>Tube Side Label</t>
  </si>
  <si>
    <t>TSV 1 R (2)</t>
  </si>
  <si>
    <t>TSV 2 R (2)</t>
  </si>
  <si>
    <t>TSV 3 R (2)</t>
  </si>
  <si>
    <t>Lid Label</t>
  </si>
  <si>
    <t>TSV 4 R (2)</t>
  </si>
  <si>
    <t>TSV 5 R (2)</t>
  </si>
  <si>
    <t>9.10.20 SL</t>
  </si>
  <si>
    <t>290.4 ng/µL 10.21.20 SL</t>
  </si>
  <si>
    <t>479.7 ng/µL 10.21.20 SL</t>
  </si>
  <si>
    <t>370.4 ng/µL 10.21.20 SL</t>
  </si>
  <si>
    <t>294.3 ng/µL 10.21.20 SL</t>
  </si>
  <si>
    <t>408.9 ng/µL 9.20.20 SL</t>
  </si>
  <si>
    <t>318 ng/µL 11.20.20 SL</t>
  </si>
  <si>
    <t>333 ng/µL 11.20.20 SL</t>
  </si>
  <si>
    <t>421 ng/µL 11.20.20 SL</t>
  </si>
  <si>
    <t>607 ng/µL 11.20.20 SL</t>
  </si>
  <si>
    <t>251.2 ng/ µL 10.27.20 SL</t>
  </si>
  <si>
    <t>Sample</t>
  </si>
  <si>
    <t>Concentration (ng/μL)</t>
  </si>
  <si>
    <t>Target</t>
  </si>
  <si>
    <t>Quantity (Mean)</t>
  </si>
  <si>
    <t>Quantity (Std Dev)</t>
  </si>
  <si>
    <t>CT (Mean)</t>
  </si>
  <si>
    <t>CT (Std Dev)</t>
  </si>
  <si>
    <t>20-588 B01</t>
  </si>
  <si>
    <t>TSV</t>
  </si>
  <si>
    <t>20-588 B02</t>
  </si>
  <si>
    <t>20-588 B03</t>
  </si>
  <si>
    <t>20-588 B04</t>
  </si>
  <si>
    <t>Undetermined</t>
  </si>
  <si>
    <t>20-588 B05</t>
  </si>
  <si>
    <t>20-588 B06</t>
  </si>
  <si>
    <t>20-588 B07</t>
  </si>
  <si>
    <t>20-588 B08</t>
  </si>
  <si>
    <t>20-588 B09</t>
  </si>
  <si>
    <t>20-588 B10</t>
  </si>
  <si>
    <t>20-588 B11</t>
  </si>
  <si>
    <t>20-588 B12</t>
  </si>
  <si>
    <t>20-588 B13</t>
  </si>
  <si>
    <t>20-588 B14</t>
  </si>
  <si>
    <t>20-588 B15</t>
  </si>
  <si>
    <t>20-588 B16</t>
  </si>
  <si>
    <t>20-588 B17</t>
  </si>
  <si>
    <t>20-588 B18</t>
  </si>
  <si>
    <t>20-588 B19</t>
  </si>
  <si>
    <t>20-588 B20</t>
  </si>
  <si>
    <t>20-588 B21</t>
  </si>
  <si>
    <t>20-588 B22</t>
  </si>
  <si>
    <t>20-588 B23</t>
  </si>
  <si>
    <t>20-588 B24</t>
  </si>
  <si>
    <t>20-588 B25</t>
  </si>
  <si>
    <t>20-588 B26</t>
  </si>
  <si>
    <t>20-588 B27</t>
  </si>
  <si>
    <t>20-588 B28</t>
  </si>
  <si>
    <t>20-588 B29</t>
  </si>
  <si>
    <t>20-588 B30</t>
  </si>
  <si>
    <t>94-144-1R</t>
  </si>
  <si>
    <t>94-144-2R</t>
  </si>
  <si>
    <t>87994.18.57</t>
  </si>
  <si>
    <t>94-144-3 R</t>
  </si>
  <si>
    <t>66131.21.73</t>
  </si>
  <si>
    <t>94-144-4 R</t>
  </si>
  <si>
    <t>94-144-5 R</t>
  </si>
  <si>
    <t>2479077.75.00</t>
  </si>
  <si>
    <r>
      <rPr>
        <b/>
        <sz val="9"/>
        <color theme="1"/>
        <rFont val="Calibri"/>
        <family val="2"/>
        <scheme val="minor"/>
      </rPr>
      <t>Table 1.</t>
    </r>
    <r>
      <rPr>
        <sz val="9"/>
        <color theme="1"/>
        <rFont val="Calibri"/>
        <family val="2"/>
        <scheme val="minor"/>
      </rPr>
      <t xml:space="preserve"> The summary of the quantitation data for the 35 P. vannamei samples experimentally infected with TSV. The samples ID, concentration, mean quantity, quantity standard deviation, mean Ct and the Ct standard deviation are shown. Four samples showed no detectable signal.</t>
    </r>
  </si>
  <si>
    <t>Data provided below originated from Arun Dhar's technical report "Technical Report- TSV Quantification 11-04-2020.pdf"</t>
  </si>
  <si>
    <t>1 µL added (30 ng in quantification)</t>
  </si>
  <si>
    <t>copies/ng</t>
  </si>
  <si>
    <t>Copies/µL</t>
  </si>
  <si>
    <t>TSV RNA</t>
  </si>
  <si>
    <t xml:space="preserve">Volume used in Qubit RNA HS </t>
  </si>
  <si>
    <t>GMGI Qubit 1:10 (1/26/2022)</t>
  </si>
  <si>
    <t>N.A (ng/uL) (AD)</t>
  </si>
  <si>
    <t>ng/µL in sample</t>
  </si>
  <si>
    <t>Use 5µL in Qubit</t>
  </si>
  <si>
    <t>Use 20µL in Qubit</t>
  </si>
  <si>
    <t>too low</t>
  </si>
  <si>
    <t>Quant Data</t>
  </si>
  <si>
    <t>~30 µL Sample</t>
  </si>
  <si>
    <t>Vol Shrimp RNA</t>
  </si>
  <si>
    <t>Water</t>
  </si>
  <si>
    <t>Dilute Shrimp RNA to</t>
  </si>
  <si>
    <t>Total Volume</t>
  </si>
  <si>
    <t>ng/µL</t>
  </si>
  <si>
    <t>µL</t>
  </si>
  <si>
    <t>1:20 pre dilution</t>
  </si>
  <si>
    <t>1:10 pre-dilution</t>
  </si>
  <si>
    <t>Total Copies in Rxn</t>
  </si>
  <si>
    <t>Copies in X ng of Sample RNA</t>
  </si>
  <si>
    <t>sd</t>
  </si>
  <si>
    <t>Experiment (auc_l)</t>
  </si>
  <si>
    <t>Experiment (greatest diff)</t>
  </si>
  <si>
    <t>NA</t>
  </si>
  <si>
    <t>Copies/µL in RXN</t>
  </si>
  <si>
    <t>Copies/µL in X ng of Sample RNA in 20µL RXN</t>
  </si>
  <si>
    <t>Log.Pred.Cp.ul</t>
  </si>
  <si>
    <t>Log.Cp.ul</t>
  </si>
  <si>
    <t>St.Dev/ng</t>
  </si>
  <si>
    <t>St.Dev/µL</t>
  </si>
  <si>
    <t>Log St.Dev/µL</t>
  </si>
  <si>
    <t>~Total Volume (5 µL aliquots)</t>
  </si>
  <si>
    <t>% deviation</t>
  </si>
  <si>
    <t>Dilution to get 10 ng of Sample in 5 µL</t>
  </si>
  <si>
    <t>Volume of 1 ng/µL SPF RNA</t>
  </si>
  <si>
    <t>Final Volume</t>
  </si>
  <si>
    <t>Conditional formatting key</t>
  </si>
  <si>
    <t>&lt; 10 copies/µL with 10 ng in 20 µL rxn</t>
  </si>
  <si>
    <t>too little volume to make 5 replicates</t>
  </si>
  <si>
    <t>&lt; 10 copies/µL and too little volume</t>
  </si>
  <si>
    <t>Date of Validation</t>
  </si>
  <si>
    <t>Total Copies in 10 ng</t>
  </si>
  <si>
    <t>Cp.ul</t>
  </si>
  <si>
    <t>Dhar.Dev.ul</t>
  </si>
  <si>
    <t>N</t>
  </si>
  <si>
    <t>Pred.Cp.ul</t>
  </si>
  <si>
    <t>se</t>
  </si>
  <si>
    <t>ci</t>
  </si>
  <si>
    <t>Copies/µL in 10 ng reaction</t>
  </si>
  <si>
    <t>% qPCR Deviation</t>
  </si>
  <si>
    <t>Pred.Cp.ul (log10)</t>
  </si>
  <si>
    <t>sd (Log10)</t>
  </si>
  <si>
    <t>Mass/qPCR (ng)</t>
  </si>
  <si>
    <t>Sample Concentration</t>
  </si>
  <si>
    <t>Calculated Copies/µL</t>
  </si>
  <si>
    <t>SHERLOCK Copies/µL</t>
  </si>
  <si>
    <t>Calculated St.Dev/µL</t>
  </si>
  <si>
    <t>Standard Deviation</t>
  </si>
  <si>
    <t>% SHERLOCK Deviation</t>
  </si>
  <si>
    <t>Cp.ul (log10)</t>
  </si>
  <si>
    <t>Sample.Name.x</t>
  </si>
  <si>
    <t>log.copy</t>
  </si>
  <si>
    <t>Val.1</t>
  </si>
  <si>
    <t>Val.13</t>
  </si>
  <si>
    <t>Val.14</t>
  </si>
  <si>
    <t>Val.15</t>
  </si>
  <si>
    <t>Val.16</t>
  </si>
  <si>
    <t>Val.17</t>
  </si>
  <si>
    <t>Val.18</t>
  </si>
  <si>
    <t>Val.19</t>
  </si>
  <si>
    <t>Val.20</t>
  </si>
  <si>
    <t>Val.21</t>
  </si>
  <si>
    <t>Val.22</t>
  </si>
  <si>
    <t>Val.23</t>
  </si>
  <si>
    <t>Val.24</t>
  </si>
  <si>
    <t>Val.26</t>
  </si>
  <si>
    <t>Val.28</t>
  </si>
  <si>
    <t>Val.29</t>
  </si>
  <si>
    <t>Val.3</t>
  </si>
  <si>
    <t>Val.30</t>
  </si>
  <si>
    <t>Val.31</t>
  </si>
  <si>
    <t>Val.34</t>
  </si>
  <si>
    <t>Val.35</t>
  </si>
  <si>
    <t>Val.4</t>
  </si>
  <si>
    <t>Val.5</t>
  </si>
  <si>
    <t>Val.6</t>
  </si>
  <si>
    <t>Val.7</t>
  </si>
  <si>
    <t>Val.9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</si>
</sst>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11"/>
      <color rgb="FF000000"/>
      <name val="Calibri"/>
      <family val="2"/>
      <scheme val="minor"/>
    </font>
    <font>
      <b/>
      <sz val="11"/>
      <color rgb="FF000000"/>
      <name val="Calibri"/>
      <family val="2"/>
      <scheme val="minor"/>
    </font>
    <font>
      <b/>
      <sz val="11"/>
      <color rgb="FFFF0000"/>
      <name val="Calibri"/>
      <family val="2"/>
      <scheme val="minor"/>
    </font>
    <font>
      <b/>
      <sz val="11"/>
      <color rgb="FFFFFFFF"/>
      <name val="Calibri"/>
      <family val="2"/>
      <scheme val="minor"/>
    </font>
    <font>
      <sz val="11"/>
      <color rgb="FF4472C4"/>
      <name val="Calibri"/>
      <family val="2"/>
      <scheme val="minor"/>
    </font>
    <font>
      <sz val="11"/>
      <color rgb="FFFFFFFF"/>
      <name val="Calibri"/>
      <family val="2"/>
      <scheme val="minor"/>
    </font>
    <font>
      <b/>
      <sz val="11"/>
      <color rgb="FFC00000"/>
      <name val="Calibri"/>
      <family val="2"/>
      <scheme val="minor"/>
    </font>
    <font>
      <b/>
      <sz val="11"/>
      <color rgb="FF0070C0"/>
      <name val="Calibri"/>
      <family val="2"/>
      <scheme val="minor"/>
    </font>
    <font>
      <b/>
      <sz val="11"/>
      <color theme="0"/>
      <name val="Calibri"/>
      <family val="2"/>
      <scheme val="minor"/>
    </font>
    <font>
      <sz val="11"/>
      <name val="Calibri"/>
      <family val="2"/>
      <scheme val="minor"/>
    </font>
    <font>
      <sz val="11"/>
      <color theme="1"/>
      <name val="Calibri"/>
      <family val="2"/>
      <scheme val="minor"/>
    </font>
    <font>
      <b/>
      <i/>
      <u val="double"/>
      <sz val="11"/>
      <color rgb="FFFF0000"/>
      <name val="Calibri"/>
      <family val="2"/>
      <scheme val="minor"/>
    </font>
    <font>
      <b/>
      <i/>
      <u val="double"/>
      <sz val="11"/>
      <color rgb="FFFFFF00"/>
      <name val="Calibri"/>
      <family val="2"/>
      <scheme val="minor"/>
    </font>
    <font>
      <b/>
      <sz val="11"/>
      <name val="Calibri"/>
      <family val="2"/>
      <scheme val="minor"/>
    </font>
  </fonts>
  <fills count="19">
    <fill>
      <patternFill patternType="none"/>
    </fill>
    <fill>
      <patternFill patternType="gray125"/>
    </fill>
    <fill>
      <patternFill patternType="solid">
        <fgColor theme="6" tint="0.39997558519241921"/>
        <bgColor indexed="64"/>
      </patternFill>
    </fill>
    <fill>
      <patternFill patternType="solid">
        <fgColor rgb="FFC9C9C9"/>
        <bgColor rgb="FF000000"/>
      </patternFill>
    </fill>
    <fill>
      <patternFill patternType="solid">
        <fgColor rgb="FF4472C4"/>
        <bgColor rgb="FF000000"/>
      </patternFill>
    </fill>
    <fill>
      <patternFill patternType="solid">
        <fgColor rgb="FF00B0F0"/>
        <bgColor indexed="64"/>
      </patternFill>
    </fill>
    <fill>
      <patternFill patternType="solid">
        <fgColor theme="6" tint="0.39997558519241921"/>
        <bgColor rgb="FF000000"/>
      </patternFill>
    </fill>
    <fill>
      <patternFill patternType="solid">
        <fgColor theme="4"/>
        <bgColor rgb="FF000000"/>
      </patternFill>
    </fill>
    <fill>
      <patternFill patternType="solid">
        <fgColor theme="4"/>
        <bgColor indexed="64"/>
      </patternFill>
    </fill>
    <fill>
      <patternFill patternType="solid">
        <fgColor rgb="FF0070C0"/>
        <bgColor indexed="64"/>
      </patternFill>
    </fill>
    <fill>
      <patternFill patternType="solid">
        <fgColor rgb="FFFF0000"/>
        <bgColor indexed="64"/>
      </patternFill>
    </fill>
    <fill>
      <gradientFill type="path" left="0.5" right="0.5" top="0.5" bottom="0.5">
        <stop position="0">
          <color theme="0"/>
        </stop>
        <stop position="1">
          <color rgb="FF7030A0"/>
        </stop>
      </gradientFill>
    </fill>
    <fill>
      <patternFill patternType="lightGrid">
        <fgColor rgb="FFFF0000"/>
        <bgColor rgb="FF7030A0"/>
      </patternFill>
    </fill>
    <fill>
      <patternFill patternType="solid">
        <fgColor theme="5" tint="0.59999389629810485"/>
        <bgColor indexed="64"/>
      </patternFill>
    </fill>
    <fill>
      <patternFill patternType="solid">
        <fgColor theme="5" tint="0.59999389629810485"/>
        <bgColor rgb="FF000000"/>
      </patternFill>
    </fill>
    <fill>
      <patternFill patternType="solid">
        <fgColor rgb="FFFF9999"/>
        <bgColor indexed="64"/>
      </patternFill>
    </fill>
    <fill>
      <patternFill patternType="solid">
        <fgColor rgb="FFFFCC99"/>
        <bgColor indexed="64"/>
      </patternFill>
    </fill>
    <fill>
      <patternFill patternType="solid">
        <fgColor rgb="FF00B0F0"/>
        <bgColor rgb="FF000000"/>
      </patternFill>
    </fill>
    <fill>
      <patternFill patternType="solid">
        <fgColor theme="9"/>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9" fontId="15" fillId="0" borderId="0" applyFont="0" applyFill="0" applyBorder="0" applyAlignment="0" applyProtection="0"/>
  </cellStyleXfs>
  <cellXfs count="207">
    <xf numFmtId="0" fontId="0" fillId="0" borderId="0" xfId="0"/>
    <xf numFmtId="0" fontId="1" fillId="0" borderId="0" xfId="0" applyFont="1"/>
    <xf numFmtId="0" fontId="0" fillId="0" borderId="0" xfId="0" applyAlignment="1">
      <alignment horizontal="center" vertical="center"/>
    </xf>
    <xf numFmtId="0" fontId="1" fillId="2" borderId="0" xfId="0" applyFont="1" applyFill="1" applyAlignment="1">
      <alignment horizontal="center" vertical="center"/>
    </xf>
    <xf numFmtId="0" fontId="5" fillId="0" borderId="0" xfId="0" applyFont="1"/>
    <xf numFmtId="0" fontId="4" fillId="0" borderId="0" xfId="0" applyFont="1" applyAlignment="1">
      <alignment horizontal="center"/>
    </xf>
    <xf numFmtId="0" fontId="5" fillId="0" borderId="0" xfId="0" applyFont="1" applyAlignment="1">
      <alignment horizontal="center" vertical="center"/>
    </xf>
    <xf numFmtId="11" fontId="4" fillId="0" borderId="0" xfId="0" applyNumberFormat="1" applyFont="1" applyAlignment="1">
      <alignment horizontal="center" vertical="center"/>
    </xf>
    <xf numFmtId="0" fontId="4" fillId="0" borderId="0" xfId="0" applyFont="1" applyAlignment="1">
      <alignment horizontal="center" vertical="center"/>
    </xf>
    <xf numFmtId="0" fontId="6" fillId="3" borderId="0" xfId="0" applyFont="1" applyFill="1" applyAlignment="1">
      <alignment horizontal="center" vertical="center" wrapText="1"/>
    </xf>
    <xf numFmtId="0" fontId="7" fillId="3" borderId="0" xfId="0" applyFont="1" applyFill="1" applyAlignment="1">
      <alignment horizontal="center" vertical="center" wrapText="1"/>
    </xf>
    <xf numFmtId="0" fontId="6" fillId="0" borderId="0" xfId="0" applyFont="1"/>
    <xf numFmtId="0" fontId="6" fillId="0" borderId="0" xfId="0" applyFont="1" applyAlignment="1">
      <alignment horizontal="center" vertical="center"/>
    </xf>
    <xf numFmtId="0" fontId="6" fillId="3" borderId="0" xfId="0" applyFont="1" applyFill="1"/>
    <xf numFmtId="0" fontId="8" fillId="4" borderId="0" xfId="0" applyFont="1" applyFill="1"/>
    <xf numFmtId="0" fontId="9" fillId="0" borderId="0" xfId="0" applyFont="1"/>
    <xf numFmtId="0" fontId="10" fillId="4" borderId="0" xfId="0" applyFont="1" applyFill="1"/>
    <xf numFmtId="0" fontId="10" fillId="0" borderId="0" xfId="0" applyFont="1"/>
    <xf numFmtId="0" fontId="4" fillId="0" borderId="0" xfId="0" applyFont="1"/>
    <xf numFmtId="0" fontId="6" fillId="3" borderId="0" xfId="0" applyFont="1" applyFill="1" applyAlignment="1">
      <alignment horizontal="center" vertical="center"/>
    </xf>
    <xf numFmtId="0" fontId="6" fillId="5" borderId="0" xfId="0" applyFont="1" applyFill="1"/>
    <xf numFmtId="0" fontId="11" fillId="6" borderId="0" xfId="0" applyFont="1" applyFill="1"/>
    <xf numFmtId="0" fontId="5" fillId="0" borderId="7" xfId="0" applyFont="1" applyBorder="1"/>
    <xf numFmtId="0" fontId="5" fillId="0" borderId="0" xfId="0" applyFont="1" applyBorder="1"/>
    <xf numFmtId="0" fontId="10" fillId="4" borderId="0" xfId="0" applyFont="1" applyFill="1" applyBorder="1"/>
    <xf numFmtId="0" fontId="6" fillId="0" borderId="0" xfId="0" applyFont="1" applyBorder="1"/>
    <xf numFmtId="0" fontId="6" fillId="5" borderId="1" xfId="0" applyFont="1" applyFill="1" applyBorder="1"/>
    <xf numFmtId="0" fontId="6" fillId="5" borderId="2" xfId="0" applyFont="1" applyFill="1" applyBorder="1"/>
    <xf numFmtId="0" fontId="6" fillId="5" borderId="3" xfId="0" applyFont="1" applyFill="1" applyBorder="1"/>
    <xf numFmtId="2" fontId="5" fillId="0" borderId="7" xfId="0" applyNumberFormat="1" applyFont="1" applyBorder="1"/>
    <xf numFmtId="0" fontId="12" fillId="2" borderId="0" xfId="0" applyFont="1" applyFill="1"/>
    <xf numFmtId="0" fontId="12" fillId="2" borderId="0" xfId="0" applyFont="1" applyFill="1" applyBorder="1"/>
    <xf numFmtId="2" fontId="5" fillId="0" borderId="0" xfId="0" applyNumberFormat="1" applyFont="1" applyBorder="1"/>
    <xf numFmtId="2" fontId="5" fillId="0" borderId="8" xfId="0" applyNumberFormat="1" applyFont="1" applyBorder="1"/>
    <xf numFmtId="11" fontId="0" fillId="0" borderId="0" xfId="0" applyNumberFormat="1"/>
    <xf numFmtId="11" fontId="14" fillId="0" borderId="0" xfId="0" applyNumberFormat="1" applyFont="1" applyAlignment="1">
      <alignment horizontal="center" vertical="center"/>
    </xf>
    <xf numFmtId="0" fontId="13" fillId="4" borderId="0" xfId="0" applyFont="1" applyFill="1" applyAlignment="1">
      <alignment horizontal="center" vertical="center" wrapText="1"/>
    </xf>
    <xf numFmtId="0" fontId="13" fillId="7" borderId="0" xfId="0" applyFont="1" applyFill="1" applyAlignment="1">
      <alignment horizontal="center" vertical="center" wrapText="1"/>
    </xf>
    <xf numFmtId="2" fontId="5" fillId="0" borderId="0" xfId="0" applyNumberFormat="1" applyFont="1"/>
    <xf numFmtId="2" fontId="5" fillId="0" borderId="0" xfId="0" applyNumberFormat="1" applyFont="1" applyAlignment="1">
      <alignment horizontal="right" vertical="center"/>
    </xf>
    <xf numFmtId="0" fontId="1" fillId="9" borderId="7" xfId="0" applyFont="1" applyFill="1" applyBorder="1"/>
    <xf numFmtId="0" fontId="1" fillId="9" borderId="0" xfId="0" applyFont="1" applyFill="1" applyBorder="1"/>
    <xf numFmtId="0" fontId="1" fillId="9" borderId="8" xfId="0" applyFont="1" applyFill="1" applyBorder="1"/>
    <xf numFmtId="2" fontId="0" fillId="0" borderId="7" xfId="0" applyNumberFormat="1" applyBorder="1"/>
    <xf numFmtId="2" fontId="0" fillId="0" borderId="0" xfId="0" applyNumberFormat="1" applyBorder="1"/>
    <xf numFmtId="2" fontId="0" fillId="0" borderId="8" xfId="0" applyNumberFormat="1" applyBorder="1"/>
    <xf numFmtId="2" fontId="0" fillId="0" borderId="4" xfId="0" applyNumberFormat="1" applyBorder="1"/>
    <xf numFmtId="2" fontId="0" fillId="0" borderId="5" xfId="0" applyNumberFormat="1" applyBorder="1"/>
    <xf numFmtId="2" fontId="0" fillId="0" borderId="6" xfId="0" applyNumberFormat="1" applyBorder="1"/>
    <xf numFmtId="0" fontId="1" fillId="5" borderId="0" xfId="0" applyFont="1" applyFill="1" applyBorder="1"/>
    <xf numFmtId="0" fontId="1" fillId="5" borderId="8" xfId="0" applyFont="1" applyFill="1" applyBorder="1"/>
    <xf numFmtId="2" fontId="5" fillId="0" borderId="0" xfId="0" applyNumberFormat="1" applyFont="1" applyAlignment="1">
      <alignment horizontal="center" vertical="center"/>
    </xf>
    <xf numFmtId="164" fontId="5" fillId="0" borderId="0" xfId="0" applyNumberFormat="1" applyFont="1" applyAlignment="1">
      <alignment horizontal="center" vertical="center"/>
    </xf>
    <xf numFmtId="2" fontId="6" fillId="0" borderId="0" xfId="0" applyNumberFormat="1" applyFont="1" applyBorder="1"/>
    <xf numFmtId="2" fontId="6" fillId="0" borderId="0" xfId="0" applyNumberFormat="1" applyFont="1"/>
    <xf numFmtId="2" fontId="9" fillId="0" borderId="0" xfId="0" applyNumberFormat="1" applyFont="1"/>
    <xf numFmtId="0" fontId="8" fillId="4" borderId="0" xfId="0" applyFont="1" applyFill="1" applyAlignment="1">
      <alignment horizontal="center" vertical="center"/>
    </xf>
    <xf numFmtId="9" fontId="0" fillId="0" borderId="0" xfId="1" applyFont="1"/>
    <xf numFmtId="9" fontId="5" fillId="0" borderId="0" xfId="1" applyFont="1"/>
    <xf numFmtId="0" fontId="1" fillId="9" borderId="0" xfId="0" applyFont="1" applyFill="1" applyBorder="1" applyAlignment="1">
      <alignment horizontal="center"/>
    </xf>
    <xf numFmtId="0" fontId="1" fillId="5" borderId="0" xfId="0" applyFont="1" applyFill="1" applyBorder="1" applyAlignment="1">
      <alignment horizontal="center" vertical="center" wrapText="1"/>
    </xf>
    <xf numFmtId="0" fontId="1" fillId="0" borderId="1" xfId="0" applyFont="1" applyBorder="1"/>
    <xf numFmtId="0" fontId="1" fillId="0" borderId="2" xfId="0" applyFont="1" applyBorder="1"/>
    <xf numFmtId="0" fontId="1" fillId="0" borderId="3" xfId="0" applyFont="1" applyBorder="1"/>
    <xf numFmtId="0" fontId="13" fillId="8" borderId="7" xfId="0" applyFont="1" applyFill="1" applyBorder="1"/>
    <xf numFmtId="0" fontId="13" fillId="8" borderId="0" xfId="0" applyFont="1" applyFill="1" applyBorder="1"/>
    <xf numFmtId="0" fontId="13" fillId="10" borderId="0" xfId="0" applyFont="1" applyFill="1" applyBorder="1"/>
    <xf numFmtId="0" fontId="0" fillId="0" borderId="8" xfId="0" applyBorder="1"/>
    <xf numFmtId="11" fontId="0" fillId="0" borderId="7" xfId="0" applyNumberFormat="1" applyBorder="1"/>
    <xf numFmtId="0" fontId="0" fillId="0" borderId="7" xfId="0" applyNumberFormat="1" applyBorder="1"/>
    <xf numFmtId="0" fontId="0" fillId="0" borderId="7" xfId="0" applyBorder="1"/>
    <xf numFmtId="0" fontId="0" fillId="0" borderId="0" xfId="0" applyBorder="1"/>
    <xf numFmtId="0" fontId="0" fillId="0" borderId="4" xfId="0" applyBorder="1"/>
    <xf numFmtId="0" fontId="0" fillId="0" borderId="5" xfId="0" applyBorder="1"/>
    <xf numFmtId="0" fontId="0" fillId="0" borderId="6" xfId="0" applyBorder="1"/>
    <xf numFmtId="0" fontId="16" fillId="0" borderId="4" xfId="0" applyFont="1" applyBorder="1" applyAlignment="1">
      <alignment wrapText="1"/>
    </xf>
    <xf numFmtId="0" fontId="1" fillId="11" borderId="5" xfId="0" applyFont="1" applyFill="1" applyBorder="1" applyAlignment="1">
      <alignment wrapText="1"/>
    </xf>
    <xf numFmtId="0" fontId="17" fillId="12" borderId="6" xfId="0" applyFont="1" applyFill="1" applyBorder="1" applyAlignment="1">
      <alignment wrapText="1"/>
    </xf>
    <xf numFmtId="2" fontId="1" fillId="0" borderId="0" xfId="0" applyNumberFormat="1" applyFont="1" applyBorder="1"/>
    <xf numFmtId="2" fontId="1" fillId="0" borderId="5" xfId="0" applyNumberFormat="1" applyFont="1" applyBorder="1"/>
    <xf numFmtId="2" fontId="0" fillId="0" borderId="8" xfId="0" applyNumberFormat="1" applyFont="1" applyBorder="1"/>
    <xf numFmtId="2" fontId="0" fillId="0" borderId="6" xfId="0" applyNumberFormat="1" applyFont="1" applyBorder="1"/>
    <xf numFmtId="0" fontId="9" fillId="13" borderId="1" xfId="0" applyFont="1" applyFill="1" applyBorder="1"/>
    <xf numFmtId="2" fontId="6" fillId="13" borderId="2" xfId="0" applyNumberFormat="1" applyFont="1" applyFill="1" applyBorder="1"/>
    <xf numFmtId="0" fontId="9" fillId="13" borderId="2" xfId="0" applyFont="1" applyFill="1" applyBorder="1"/>
    <xf numFmtId="2" fontId="9" fillId="13" borderId="2" xfId="0" applyNumberFormat="1" applyFont="1" applyFill="1" applyBorder="1"/>
    <xf numFmtId="0" fontId="10" fillId="14" borderId="2" xfId="0" applyFont="1" applyFill="1" applyBorder="1"/>
    <xf numFmtId="2" fontId="5" fillId="13" borderId="2" xfId="0" applyNumberFormat="1" applyFont="1" applyFill="1" applyBorder="1"/>
    <xf numFmtId="0" fontId="5" fillId="13" borderId="0" xfId="0" applyFont="1" applyFill="1" applyAlignment="1">
      <alignment horizontal="center" vertical="center"/>
    </xf>
    <xf numFmtId="164" fontId="5" fillId="13" borderId="0" xfId="0" applyNumberFormat="1" applyFont="1" applyFill="1" applyAlignment="1">
      <alignment horizontal="center" vertical="center"/>
    </xf>
    <xf numFmtId="2" fontId="5" fillId="13" borderId="0" xfId="0" applyNumberFormat="1" applyFont="1" applyFill="1" applyAlignment="1">
      <alignment horizontal="center" vertical="center"/>
    </xf>
    <xf numFmtId="2" fontId="5" fillId="13" borderId="0" xfId="0" applyNumberFormat="1" applyFont="1" applyFill="1"/>
    <xf numFmtId="9" fontId="5" fillId="13" borderId="0" xfId="1" applyFont="1" applyFill="1"/>
    <xf numFmtId="11" fontId="14" fillId="13" borderId="0" xfId="0" applyNumberFormat="1" applyFont="1" applyFill="1" applyAlignment="1">
      <alignment horizontal="center" vertical="center"/>
    </xf>
    <xf numFmtId="0" fontId="11" fillId="13" borderId="2" xfId="0" applyFont="1" applyFill="1" applyBorder="1"/>
    <xf numFmtId="2" fontId="5" fillId="13" borderId="1" xfId="0" applyNumberFormat="1" applyFont="1" applyFill="1" applyBorder="1"/>
    <xf numFmtId="2" fontId="5" fillId="13" borderId="3" xfId="0" applyNumberFormat="1" applyFont="1" applyFill="1" applyBorder="1"/>
    <xf numFmtId="2" fontId="0" fillId="13" borderId="7" xfId="0" applyNumberFormat="1" applyFill="1" applyBorder="1"/>
    <xf numFmtId="2" fontId="0" fillId="13" borderId="0" xfId="0" applyNumberFormat="1" applyFill="1" applyBorder="1"/>
    <xf numFmtId="2" fontId="1" fillId="13" borderId="0" xfId="0" applyNumberFormat="1" applyFont="1" applyFill="1" applyBorder="1"/>
    <xf numFmtId="2" fontId="0" fillId="13" borderId="8" xfId="0" applyNumberFormat="1" applyFont="1" applyFill="1" applyBorder="1"/>
    <xf numFmtId="2" fontId="0" fillId="13" borderId="8" xfId="0" applyNumberFormat="1" applyFill="1" applyBorder="1"/>
    <xf numFmtId="11" fontId="0" fillId="13" borderId="7" xfId="0" applyNumberFormat="1" applyFill="1" applyBorder="1"/>
    <xf numFmtId="0" fontId="0" fillId="13" borderId="0" xfId="0" applyFill="1"/>
    <xf numFmtId="0" fontId="5" fillId="13" borderId="7" xfId="0" applyFont="1" applyFill="1" applyBorder="1"/>
    <xf numFmtId="2" fontId="6" fillId="13" borderId="0" xfId="0" applyNumberFormat="1" applyFont="1" applyFill="1" applyBorder="1"/>
    <xf numFmtId="0" fontId="5" fillId="13" borderId="0" xfId="0" applyFont="1" applyFill="1" applyBorder="1"/>
    <xf numFmtId="2" fontId="5" fillId="13" borderId="0" xfId="0" applyNumberFormat="1" applyFont="1" applyFill="1" applyBorder="1"/>
    <xf numFmtId="0" fontId="10" fillId="14" borderId="0" xfId="0" applyFont="1" applyFill="1" applyBorder="1"/>
    <xf numFmtId="0" fontId="12" fillId="13" borderId="0" xfId="0" applyFont="1" applyFill="1" applyBorder="1"/>
    <xf numFmtId="2" fontId="5" fillId="13" borderId="7" xfId="0" applyNumberFormat="1" applyFont="1" applyFill="1" applyBorder="1"/>
    <xf numFmtId="2" fontId="5" fillId="13" borderId="8" xfId="0" applyNumberFormat="1" applyFont="1" applyFill="1" applyBorder="1"/>
    <xf numFmtId="0" fontId="5" fillId="13" borderId="4" xfId="0" applyFont="1" applyFill="1" applyBorder="1"/>
    <xf numFmtId="2" fontId="6" fillId="13" borderId="5" xfId="0" applyNumberFormat="1" applyFont="1" applyFill="1" applyBorder="1"/>
    <xf numFmtId="0" fontId="5" fillId="13" borderId="5" xfId="0" applyFont="1" applyFill="1" applyBorder="1"/>
    <xf numFmtId="2" fontId="5" fillId="13" borderId="5" xfId="0" applyNumberFormat="1" applyFont="1" applyFill="1" applyBorder="1"/>
    <xf numFmtId="0" fontId="10" fillId="14" borderId="5" xfId="0" applyFont="1" applyFill="1" applyBorder="1"/>
    <xf numFmtId="0" fontId="12" fillId="13" borderId="5" xfId="0" applyFont="1" applyFill="1" applyBorder="1"/>
    <xf numFmtId="2" fontId="5" fillId="13" borderId="4" xfId="0" applyNumberFormat="1" applyFont="1" applyFill="1" applyBorder="1"/>
    <xf numFmtId="2" fontId="5" fillId="13" borderId="6" xfId="0" applyNumberFormat="1" applyFont="1" applyFill="1" applyBorder="1"/>
    <xf numFmtId="0" fontId="5" fillId="13" borderId="0" xfId="0" applyFont="1" applyFill="1"/>
    <xf numFmtId="2" fontId="6" fillId="13" borderId="0" xfId="0" applyNumberFormat="1" applyFont="1" applyFill="1"/>
    <xf numFmtId="0" fontId="10" fillId="14" borderId="0" xfId="0" applyFont="1" applyFill="1"/>
    <xf numFmtId="0" fontId="0" fillId="13" borderId="7" xfId="0" applyFill="1" applyBorder="1"/>
    <xf numFmtId="0" fontId="0" fillId="13" borderId="0" xfId="0" applyFill="1" applyBorder="1"/>
    <xf numFmtId="0" fontId="0" fillId="13" borderId="8" xfId="0" applyFill="1" applyBorder="1"/>
    <xf numFmtId="0" fontId="9" fillId="13" borderId="0" xfId="0" applyFont="1" applyFill="1"/>
    <xf numFmtId="2" fontId="9" fillId="13" borderId="0" xfId="0" applyNumberFormat="1" applyFont="1" applyFill="1"/>
    <xf numFmtId="14" fontId="0" fillId="13" borderId="0" xfId="0" applyNumberFormat="1" applyFill="1"/>
    <xf numFmtId="0" fontId="6" fillId="13" borderId="0" xfId="0" applyFont="1" applyFill="1" applyBorder="1"/>
    <xf numFmtId="0" fontId="1" fillId="9" borderId="0" xfId="0" applyFont="1" applyFill="1" applyBorder="1" applyAlignment="1">
      <alignment wrapText="1"/>
    </xf>
    <xf numFmtId="2" fontId="14" fillId="0" borderId="0" xfId="0" applyNumberFormat="1" applyFont="1" applyFill="1" applyAlignment="1">
      <alignment horizontal="center" vertical="center"/>
    </xf>
    <xf numFmtId="0" fontId="14" fillId="0" borderId="0" xfId="0" applyFont="1" applyFill="1" applyAlignment="1">
      <alignment horizontal="center" vertical="center"/>
    </xf>
    <xf numFmtId="2" fontId="14" fillId="0" borderId="0" xfId="0" applyNumberFormat="1" applyFont="1" applyFill="1"/>
    <xf numFmtId="9" fontId="14" fillId="0" borderId="0" xfId="1" applyFont="1" applyFill="1"/>
    <xf numFmtId="14" fontId="14" fillId="0" borderId="0" xfId="0" applyNumberFormat="1" applyFont="1" applyFill="1"/>
    <xf numFmtId="0" fontId="14" fillId="0" borderId="1" xfId="0" applyFont="1" applyFill="1" applyBorder="1"/>
    <xf numFmtId="2" fontId="14" fillId="0" borderId="8" xfId="0" applyNumberFormat="1" applyFont="1" applyFill="1" applyBorder="1"/>
    <xf numFmtId="0" fontId="14" fillId="0" borderId="0" xfId="0" applyFont="1" applyFill="1"/>
    <xf numFmtId="0" fontId="14" fillId="0" borderId="7" xfId="0" applyFont="1" applyFill="1" applyBorder="1"/>
    <xf numFmtId="2" fontId="14" fillId="0" borderId="6" xfId="0" applyNumberFormat="1" applyFont="1" applyFill="1" applyBorder="1"/>
    <xf numFmtId="2" fontId="14" fillId="0" borderId="2" xfId="0" applyNumberFormat="1" applyFont="1" applyFill="1" applyBorder="1"/>
    <xf numFmtId="2" fontId="14" fillId="0" borderId="0" xfId="0" applyNumberFormat="1" applyFont="1" applyFill="1" applyBorder="1"/>
    <xf numFmtId="2" fontId="14" fillId="0" borderId="5" xfId="0" applyNumberFormat="1" applyFont="1" applyFill="1" applyBorder="1"/>
    <xf numFmtId="14" fontId="14" fillId="15" borderId="0" xfId="0" applyNumberFormat="1" applyFont="1" applyFill="1"/>
    <xf numFmtId="0" fontId="14" fillId="15" borderId="0" xfId="0" applyFont="1" applyFill="1"/>
    <xf numFmtId="2" fontId="14" fillId="15" borderId="0" xfId="0" applyNumberFormat="1" applyFont="1" applyFill="1"/>
    <xf numFmtId="2" fontId="14" fillId="15" borderId="0" xfId="0" applyNumberFormat="1" applyFont="1" applyFill="1" applyAlignment="1">
      <alignment horizontal="center" vertical="center"/>
    </xf>
    <xf numFmtId="0" fontId="14" fillId="15" borderId="0" xfId="0" applyFont="1" applyFill="1" applyAlignment="1">
      <alignment horizontal="center" vertical="center"/>
    </xf>
    <xf numFmtId="9" fontId="14" fillId="15" borderId="0" xfId="1" applyFont="1" applyFill="1"/>
    <xf numFmtId="2" fontId="14" fillId="15" borderId="0" xfId="0" applyNumberFormat="1" applyFont="1" applyFill="1" applyBorder="1"/>
    <xf numFmtId="2" fontId="14" fillId="15" borderId="8" xfId="0" applyNumberFormat="1" applyFont="1" applyFill="1" applyBorder="1"/>
    <xf numFmtId="0" fontId="14" fillId="15" borderId="7" xfId="0" applyFont="1" applyFill="1" applyBorder="1"/>
    <xf numFmtId="0" fontId="12" fillId="15" borderId="0" xfId="0" applyFont="1" applyFill="1"/>
    <xf numFmtId="9" fontId="12" fillId="15" borderId="0" xfId="1" applyFont="1" applyFill="1"/>
    <xf numFmtId="14" fontId="14" fillId="10" borderId="0" xfId="0" applyNumberFormat="1" applyFont="1" applyFill="1"/>
    <xf numFmtId="0" fontId="14" fillId="10" borderId="0" xfId="0" applyFont="1" applyFill="1"/>
    <xf numFmtId="2" fontId="14" fillId="10" borderId="0" xfId="0" applyNumberFormat="1" applyFont="1" applyFill="1"/>
    <xf numFmtId="2" fontId="14" fillId="10" borderId="0" xfId="0" applyNumberFormat="1" applyFont="1" applyFill="1" applyAlignment="1">
      <alignment horizontal="center" vertical="center"/>
    </xf>
    <xf numFmtId="0" fontId="14" fillId="10" borderId="0" xfId="0" applyFont="1" applyFill="1" applyAlignment="1">
      <alignment horizontal="center" vertical="center"/>
    </xf>
    <xf numFmtId="9" fontId="14" fillId="10" borderId="0" xfId="1" applyFont="1" applyFill="1"/>
    <xf numFmtId="2" fontId="14" fillId="10" borderId="0" xfId="0" applyNumberFormat="1" applyFont="1" applyFill="1" applyBorder="1"/>
    <xf numFmtId="2" fontId="14" fillId="10" borderId="8" xfId="0" applyNumberFormat="1" applyFont="1" applyFill="1" applyBorder="1"/>
    <xf numFmtId="0" fontId="14" fillId="10" borderId="7" xfId="0" applyFont="1" applyFill="1" applyBorder="1"/>
    <xf numFmtId="14" fontId="14" fillId="16" borderId="0" xfId="0" applyNumberFormat="1" applyFont="1" applyFill="1"/>
    <xf numFmtId="0" fontId="14" fillId="16" borderId="0" xfId="0" applyFont="1" applyFill="1"/>
    <xf numFmtId="2" fontId="14" fillId="16" borderId="0" xfId="0" applyNumberFormat="1" applyFont="1" applyFill="1"/>
    <xf numFmtId="2" fontId="14" fillId="16" borderId="0" xfId="0" applyNumberFormat="1" applyFont="1" applyFill="1" applyAlignment="1">
      <alignment horizontal="center" vertical="center"/>
    </xf>
    <xf numFmtId="0" fontId="14" fillId="16" borderId="0" xfId="0" applyFont="1" applyFill="1" applyAlignment="1">
      <alignment horizontal="center" vertical="center"/>
    </xf>
    <xf numFmtId="9" fontId="14" fillId="16" borderId="0" xfId="1" applyFont="1" applyFill="1"/>
    <xf numFmtId="2" fontId="14" fillId="16" borderId="0" xfId="0" applyNumberFormat="1" applyFont="1" applyFill="1" applyBorder="1"/>
    <xf numFmtId="2" fontId="14" fillId="16" borderId="8" xfId="0" applyNumberFormat="1" applyFont="1" applyFill="1" applyBorder="1"/>
    <xf numFmtId="0" fontId="14" fillId="16" borderId="4" xfId="0" applyFont="1" applyFill="1" applyBorder="1"/>
    <xf numFmtId="2" fontId="14" fillId="16" borderId="5" xfId="0" applyNumberFormat="1" applyFont="1" applyFill="1" applyBorder="1"/>
    <xf numFmtId="11" fontId="12" fillId="15" borderId="0" xfId="0" applyNumberFormat="1" applyFont="1" applyFill="1"/>
    <xf numFmtId="11" fontId="18" fillId="0" borderId="0" xfId="0" applyNumberFormat="1" applyFont="1" applyFill="1"/>
    <xf numFmtId="11" fontId="18" fillId="10" borderId="0" xfId="0" applyNumberFormat="1" applyFont="1" applyFill="1"/>
    <xf numFmtId="11" fontId="18" fillId="16" borderId="0" xfId="0" applyNumberFormat="1" applyFont="1" applyFill="1"/>
    <xf numFmtId="11" fontId="18" fillId="15" borderId="0" xfId="0" applyNumberFormat="1" applyFont="1" applyFill="1"/>
    <xf numFmtId="0" fontId="18" fillId="6" borderId="0" xfId="0" applyFont="1" applyFill="1" applyAlignment="1">
      <alignment horizontal="center" vertical="center" wrapText="1"/>
    </xf>
    <xf numFmtId="0" fontId="6" fillId="3" borderId="0" xfId="0" applyFont="1" applyFill="1" applyAlignment="1">
      <alignment wrapText="1"/>
    </xf>
    <xf numFmtId="0" fontId="1" fillId="2" borderId="0" xfId="0" applyFont="1" applyFill="1" applyAlignment="1">
      <alignment horizontal="center" vertical="center" wrapText="1"/>
    </xf>
    <xf numFmtId="0" fontId="18" fillId="17" borderId="0" xfId="0" applyFont="1" applyFill="1" applyAlignment="1">
      <alignment wrapText="1"/>
    </xf>
    <xf numFmtId="0" fontId="1" fillId="0" borderId="0" xfId="0" applyFont="1" applyAlignment="1">
      <alignment wrapText="1"/>
    </xf>
    <xf numFmtId="0" fontId="0" fillId="0" borderId="0" xfId="0" applyAlignment="1">
      <alignment wrapText="1"/>
    </xf>
    <xf numFmtId="2" fontId="18" fillId="0" borderId="0" xfId="0" applyNumberFormat="1" applyFont="1" applyFill="1"/>
    <xf numFmtId="9" fontId="14" fillId="5" borderId="0" xfId="1" applyFont="1" applyFill="1"/>
    <xf numFmtId="9" fontId="14" fillId="18" borderId="0" xfId="1" applyFont="1" applyFill="1"/>
    <xf numFmtId="0" fontId="0" fillId="10" borderId="0" xfId="0" applyFill="1" applyAlignment="1">
      <alignment horizontal="center" vertical="center"/>
    </xf>
    <xf numFmtId="0" fontId="8" fillId="4" borderId="0" xfId="0" applyFont="1" applyFill="1" applyAlignment="1">
      <alignment horizontal="center" wrapText="1"/>
    </xf>
    <xf numFmtId="14" fontId="0" fillId="0" borderId="8" xfId="0" applyNumberFormat="1" applyBorder="1" applyAlignment="1">
      <alignment horizontal="center" vertical="center" textRotation="180"/>
    </xf>
    <xf numFmtId="11" fontId="0" fillId="0" borderId="8" xfId="0" applyNumberFormat="1" applyBorder="1" applyAlignment="1">
      <alignment horizontal="center" vertical="center" textRotation="180"/>
    </xf>
    <xf numFmtId="0" fontId="1" fillId="0" borderId="2"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1" fillId="9" borderId="2" xfId="0" applyFont="1" applyFill="1" applyBorder="1" applyAlignment="1">
      <alignment horizontal="center"/>
    </xf>
    <xf numFmtId="0" fontId="1" fillId="9" borderId="3" xfId="0" applyFont="1" applyFill="1" applyBorder="1" applyAlignment="1">
      <alignment horizontal="center"/>
    </xf>
    <xf numFmtId="0" fontId="1" fillId="5" borderId="1" xfId="0"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5" xfId="0" applyBorder="1" applyAlignment="1">
      <alignment horizontal="center" vertical="center" wrapText="1"/>
    </xf>
  </cellXfs>
  <cellStyles count="2">
    <cellStyle name="Normal" xfId="0" builtinId="0"/>
    <cellStyle name="Percent" xfId="1" builtinId="5"/>
  </cellStyles>
  <dxfs count="3">
    <dxf>
      <fill>
        <gradientFill type="path" left="0.5" right="0.5" top="0.5" bottom="0.5">
          <stop position="0">
            <color theme="0"/>
          </stop>
          <stop position="1">
            <color rgb="FF7030A0"/>
          </stop>
        </gradientFill>
      </fill>
    </dxf>
    <dxf>
      <font>
        <b/>
        <i/>
        <u val="double"/>
        <color rgb="FFFF0000"/>
      </font>
      <fill>
        <patternFill patternType="none">
          <fgColor auto="1"/>
          <bgColor auto="1"/>
        </patternFill>
      </fill>
    </dxf>
    <dxf>
      <font>
        <b/>
        <i/>
        <u val="double"/>
        <color rgb="FFFFFF00"/>
      </font>
      <fill>
        <patternFill patternType="lightGrid">
          <fgColor rgb="FFFF0000"/>
          <bgColor rgb="FF7030A0"/>
        </patternFill>
      </fill>
    </dxf>
  </dxfs>
  <tableStyles count="0" defaultTableStyle="TableStyleMedium2" defaultPivotStyle="PivotStyleLight16"/>
  <colors>
    <mruColors>
      <color rgb="FFFFCC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D2D50-CDC4-4AF5-87F6-E587ED2E9D6B}">
  <sheetPr>
    <pageSetUpPr fitToPage="1"/>
  </sheetPr>
  <dimension ref="A1:AT46"/>
  <sheetViews>
    <sheetView workbookViewId="0">
      <pane xSplit="3" ySplit="3" topLeftCell="Z4" activePane="bottomRight" state="frozen"/>
      <selection pane="topRight" activeCell="C1" sqref="C1"/>
      <selection pane="bottomLeft" activeCell="A4" sqref="A4"/>
      <selection pane="bottomRight" activeCell="Z4" sqref="Z4:Z38"/>
    </sheetView>
  </sheetViews>
  <sheetFormatPr defaultRowHeight="14.5" x14ac:dyDescent="0.35"/>
  <cols>
    <col min="1" max="1" width="9.81640625" bestFit="1" customWidth="1"/>
    <col min="2" max="2" width="10.54296875" customWidth="1"/>
    <col min="3" max="3" width="17.453125" customWidth="1"/>
    <col min="4" max="4" width="21.7265625" customWidth="1"/>
    <col min="5" max="5" width="14.54296875" customWidth="1"/>
    <col min="6" max="6" width="18.7265625" customWidth="1"/>
    <col min="7" max="7" width="12.26953125" customWidth="1"/>
    <col min="8" max="8" width="17.453125" customWidth="1"/>
    <col min="9" max="9" width="15.453125" customWidth="1"/>
    <col min="10" max="10" width="18" customWidth="1"/>
    <col min="11" max="12" width="17.54296875" bestFit="1" customWidth="1"/>
    <col min="13" max="13" width="9.7265625" bestFit="1" customWidth="1"/>
    <col min="14" max="14" width="10.1796875" bestFit="1" customWidth="1"/>
    <col min="15" max="15" width="15.81640625" bestFit="1" customWidth="1"/>
    <col min="16" max="16" width="12" bestFit="1" customWidth="1"/>
    <col min="17" max="17" width="9.81640625" bestFit="1" customWidth="1"/>
    <col min="18" max="18" width="8.81640625" bestFit="1" customWidth="1"/>
    <col min="19" max="19" width="18" bestFit="1" customWidth="1"/>
    <col min="20" max="20" width="18" customWidth="1"/>
    <col min="21" max="24" width="9.81640625" bestFit="1" customWidth="1"/>
    <col min="25" max="25" width="10.81640625" bestFit="1" customWidth="1"/>
    <col min="26" max="26" width="10.81640625" customWidth="1"/>
    <col min="27" max="33" width="10.81640625" bestFit="1" customWidth="1"/>
    <col min="34" max="36" width="18.54296875" customWidth="1"/>
    <col min="37" max="39" width="18" customWidth="1"/>
    <col min="40" max="41" width="12.453125" bestFit="1" customWidth="1"/>
    <col min="42" max="43" width="12.453125" customWidth="1"/>
    <col min="45" max="45" width="8.81640625" bestFit="1" customWidth="1"/>
    <col min="46" max="46" width="9.81640625" bestFit="1" customWidth="1"/>
  </cols>
  <sheetData>
    <row r="1" spans="1:46" s="1" customFormat="1" ht="15" thickBot="1" x14ac:dyDescent="0.4">
      <c r="B1" s="11" t="s">
        <v>73</v>
      </c>
      <c r="C1" s="11"/>
      <c r="D1" s="11" t="s">
        <v>0</v>
      </c>
      <c r="E1" s="11" t="s">
        <v>1</v>
      </c>
      <c r="F1" s="11" t="s">
        <v>2</v>
      </c>
      <c r="G1" s="11"/>
      <c r="J1" s="193" t="s">
        <v>109</v>
      </c>
      <c r="K1" s="192"/>
      <c r="L1" s="194"/>
      <c r="M1" s="11"/>
      <c r="N1" s="11"/>
      <c r="O1" s="11"/>
      <c r="P1" s="12"/>
      <c r="R1" s="20" t="s">
        <v>85</v>
      </c>
      <c r="S1" s="20">
        <v>0.5</v>
      </c>
      <c r="T1" s="20" t="s">
        <v>87</v>
      </c>
      <c r="AH1" s="1">
        <v>30</v>
      </c>
      <c r="AI1" s="1" t="s">
        <v>88</v>
      </c>
    </row>
    <row r="2" spans="1:46" s="1" customFormat="1" ht="30" customHeight="1" thickBot="1" x14ac:dyDescent="0.4">
      <c r="B2" s="11"/>
      <c r="C2" s="11"/>
      <c r="D2" s="11"/>
      <c r="E2" s="11"/>
      <c r="F2" s="189" t="s">
        <v>74</v>
      </c>
      <c r="G2" s="189" t="s">
        <v>75</v>
      </c>
      <c r="J2" s="75" t="s">
        <v>110</v>
      </c>
      <c r="K2" s="76" t="s">
        <v>111</v>
      </c>
      <c r="L2" s="77" t="s">
        <v>112</v>
      </c>
      <c r="M2" s="11"/>
      <c r="N2" s="11"/>
      <c r="O2" s="11"/>
      <c r="P2" s="12"/>
      <c r="Q2" s="21" t="s">
        <v>89</v>
      </c>
      <c r="R2" s="20" t="s">
        <v>86</v>
      </c>
      <c r="S2" s="20">
        <v>30</v>
      </c>
      <c r="T2" s="20" t="s">
        <v>88</v>
      </c>
      <c r="U2" s="197" t="s">
        <v>98</v>
      </c>
      <c r="V2" s="198"/>
      <c r="W2" s="198"/>
      <c r="X2" s="198"/>
      <c r="Y2" s="198"/>
      <c r="Z2" s="198"/>
      <c r="AA2" s="199"/>
      <c r="AB2" s="195" t="s">
        <v>92</v>
      </c>
      <c r="AC2" s="195"/>
      <c r="AD2" s="195"/>
      <c r="AE2" s="195"/>
      <c r="AF2" s="195"/>
      <c r="AG2" s="196"/>
      <c r="AH2" s="59">
        <v>2</v>
      </c>
      <c r="AI2" s="1" t="s">
        <v>87</v>
      </c>
      <c r="AJ2" s="59"/>
      <c r="AK2" s="61"/>
      <c r="AL2" s="62"/>
      <c r="AM2" s="62"/>
      <c r="AN2" s="62"/>
      <c r="AO2" s="62"/>
      <c r="AP2" s="192" t="s">
        <v>94</v>
      </c>
      <c r="AQ2" s="192"/>
      <c r="AR2" s="192" t="s">
        <v>95</v>
      </c>
      <c r="AS2" s="192"/>
      <c r="AT2" s="63"/>
    </row>
    <row r="3" spans="1:46" ht="29.5" thickBot="1" x14ac:dyDescent="0.4">
      <c r="A3" t="s">
        <v>113</v>
      </c>
      <c r="B3" s="13" t="s">
        <v>7</v>
      </c>
      <c r="C3" s="14" t="s">
        <v>77</v>
      </c>
      <c r="D3" s="13" t="s">
        <v>3</v>
      </c>
      <c r="E3" s="13" t="s">
        <v>76</v>
      </c>
      <c r="F3" s="189"/>
      <c r="G3" s="189"/>
      <c r="H3" s="19" t="s">
        <v>21</v>
      </c>
      <c r="I3" s="10" t="s">
        <v>104</v>
      </c>
      <c r="J3" s="9" t="s">
        <v>22</v>
      </c>
      <c r="K3" s="19" t="s">
        <v>24</v>
      </c>
      <c r="L3" s="19" t="s">
        <v>25</v>
      </c>
      <c r="M3" s="36" t="s">
        <v>71</v>
      </c>
      <c r="N3" s="36" t="s">
        <v>101</v>
      </c>
      <c r="O3" s="36" t="s">
        <v>105</v>
      </c>
      <c r="P3" s="36" t="s">
        <v>72</v>
      </c>
      <c r="Q3" s="30" t="s">
        <v>90</v>
      </c>
      <c r="R3" s="26" t="s">
        <v>83</v>
      </c>
      <c r="S3" s="27" t="s">
        <v>84</v>
      </c>
      <c r="T3" s="28"/>
      <c r="U3" s="40">
        <v>2</v>
      </c>
      <c r="V3" s="41">
        <v>4</v>
      </c>
      <c r="W3" s="41">
        <v>5</v>
      </c>
      <c r="X3" s="41">
        <v>6</v>
      </c>
      <c r="Y3" s="41">
        <v>8</v>
      </c>
      <c r="Z3" s="41">
        <v>10</v>
      </c>
      <c r="AA3" s="42">
        <v>12</v>
      </c>
      <c r="AB3" s="49">
        <v>2</v>
      </c>
      <c r="AC3" s="49">
        <v>4</v>
      </c>
      <c r="AD3" s="49">
        <v>5</v>
      </c>
      <c r="AE3" s="49">
        <v>6</v>
      </c>
      <c r="AF3" s="49">
        <v>8</v>
      </c>
      <c r="AG3" s="50">
        <v>10</v>
      </c>
      <c r="AH3" s="60" t="s">
        <v>106</v>
      </c>
      <c r="AI3" s="60" t="s">
        <v>107</v>
      </c>
      <c r="AJ3" s="60" t="s">
        <v>108</v>
      </c>
      <c r="AK3" s="64" t="s">
        <v>91</v>
      </c>
      <c r="AL3" s="65" t="s">
        <v>97</v>
      </c>
      <c r="AM3" s="65" t="s">
        <v>102</v>
      </c>
      <c r="AN3" s="65" t="s">
        <v>100</v>
      </c>
      <c r="AO3" s="65" t="s">
        <v>103</v>
      </c>
      <c r="AP3" s="66" t="s">
        <v>99</v>
      </c>
      <c r="AQ3" s="66" t="s">
        <v>93</v>
      </c>
      <c r="AR3" s="66" t="s">
        <v>99</v>
      </c>
      <c r="AS3" s="66" t="s">
        <v>93</v>
      </c>
      <c r="AT3" s="67"/>
    </row>
    <row r="4" spans="1:46" s="103" customFormat="1" x14ac:dyDescent="0.35">
      <c r="A4" s="128">
        <v>44652</v>
      </c>
      <c r="B4" s="82">
        <v>1</v>
      </c>
      <c r="C4" s="83">
        <v>200</v>
      </c>
      <c r="D4" s="84" t="s">
        <v>20</v>
      </c>
      <c r="E4" s="85">
        <v>251.11</v>
      </c>
      <c r="F4" s="86" t="s">
        <v>78</v>
      </c>
      <c r="G4" s="87">
        <v>20</v>
      </c>
      <c r="H4" s="88" t="s">
        <v>28</v>
      </c>
      <c r="I4" s="88">
        <v>25</v>
      </c>
      <c r="J4" s="89">
        <v>24</v>
      </c>
      <c r="K4" s="90">
        <v>2006.65</v>
      </c>
      <c r="L4" s="88">
        <v>1202.8800000000001</v>
      </c>
      <c r="M4" s="91">
        <f>K4/J4</f>
        <v>83.610416666666666</v>
      </c>
      <c r="N4" s="91">
        <f>L4/J4</f>
        <v>50.120000000000005</v>
      </c>
      <c r="O4" s="92">
        <f>N4/M4</f>
        <v>0.59944683925946229</v>
      </c>
      <c r="P4" s="93">
        <f t="shared" ref="P4:P38" si="0">M4*C4</f>
        <v>16722.083333333332</v>
      </c>
      <c r="Q4" s="94">
        <f>C4/20</f>
        <v>10</v>
      </c>
      <c r="R4" s="95">
        <f>$S$2*$S$1/Q4</f>
        <v>1.5</v>
      </c>
      <c r="S4" s="87">
        <f t="shared" ref="S4:S11" si="1">$S$2-R4</f>
        <v>28.5</v>
      </c>
      <c r="T4" s="96">
        <f>SUM(R4,S4)</f>
        <v>30</v>
      </c>
      <c r="U4" s="97">
        <f t="shared" ref="U4:Y13" si="2">($M4*U$3)/20</f>
        <v>8.3610416666666669</v>
      </c>
      <c r="V4" s="98">
        <f t="shared" si="2"/>
        <v>16.722083333333334</v>
      </c>
      <c r="W4" s="98">
        <f t="shared" si="2"/>
        <v>20.902604166666666</v>
      </c>
      <c r="X4" s="98">
        <f t="shared" si="2"/>
        <v>25.083125000000003</v>
      </c>
      <c r="Y4" s="98">
        <f t="shared" si="2"/>
        <v>33.444166666666668</v>
      </c>
      <c r="Z4" s="99">
        <f>($M4*Z$3)/20</f>
        <v>41.805208333333333</v>
      </c>
      <c r="AA4" s="100">
        <f t="shared" ref="Z4:AA23" si="3">($M4*AA$3)/20</f>
        <v>50.166250000000005</v>
      </c>
      <c r="AB4" s="98">
        <f t="shared" ref="AB4:AG13" si="4">$M4*AB$3</f>
        <v>167.22083333333333</v>
      </c>
      <c r="AC4" s="98">
        <f t="shared" si="4"/>
        <v>334.44166666666666</v>
      </c>
      <c r="AD4" s="98">
        <f t="shared" si="4"/>
        <v>418.05208333333331</v>
      </c>
      <c r="AE4" s="98">
        <f t="shared" si="4"/>
        <v>501.66250000000002</v>
      </c>
      <c r="AF4" s="98">
        <f t="shared" si="4"/>
        <v>668.88333333333333</v>
      </c>
      <c r="AG4" s="101">
        <f t="shared" si="4"/>
        <v>836.10416666666663</v>
      </c>
      <c r="AH4" s="98">
        <f>AJ4*$AH$2/C4</f>
        <v>0.3</v>
      </c>
      <c r="AI4" s="98">
        <f>AJ4-AH4</f>
        <v>29.7</v>
      </c>
      <c r="AJ4" s="98">
        <f>$AH$1</f>
        <v>30</v>
      </c>
      <c r="AK4" s="102">
        <f>(((P4*(2/40)*R4)/T4)*4)</f>
        <v>167.22083333333333</v>
      </c>
      <c r="AL4" s="98">
        <f>AK4/20</f>
        <v>8.3610416666666669</v>
      </c>
      <c r="AM4" s="98">
        <f t="shared" ref="AM4:AM11" si="5">(N4*2)/20</f>
        <v>5.0120000000000005</v>
      </c>
      <c r="AN4" s="98">
        <v>0.92226038771455099</v>
      </c>
      <c r="AO4" s="98">
        <f>LOG10(AM4)</f>
        <v>0.70001106232211241</v>
      </c>
      <c r="AP4" s="98">
        <v>5.0958704374105004</v>
      </c>
      <c r="AQ4" s="98">
        <v>0.37709266168241801</v>
      </c>
      <c r="AR4" s="98">
        <v>3.3408883723867202</v>
      </c>
      <c r="AS4" s="98">
        <v>0.36011502643093102</v>
      </c>
      <c r="AT4" s="190">
        <v>44596</v>
      </c>
    </row>
    <row r="5" spans="1:46" s="103" customFormat="1" x14ac:dyDescent="0.35">
      <c r="A5" s="128">
        <v>44652</v>
      </c>
      <c r="B5" s="104">
        <v>2</v>
      </c>
      <c r="C5" s="105">
        <v>27.2</v>
      </c>
      <c r="D5" s="106"/>
      <c r="E5" s="107">
        <v>33.200000000000003</v>
      </c>
      <c r="F5" s="108" t="s">
        <v>79</v>
      </c>
      <c r="G5" s="107">
        <v>2.72</v>
      </c>
      <c r="H5" s="88" t="s">
        <v>30</v>
      </c>
      <c r="I5" s="88">
        <v>25</v>
      </c>
      <c r="J5" s="89">
        <v>25.4</v>
      </c>
      <c r="K5" s="90">
        <v>116491.73</v>
      </c>
      <c r="L5" s="88">
        <v>36158.949999999997</v>
      </c>
      <c r="M5" s="91">
        <f>K5/J5</f>
        <v>4586.2885826771653</v>
      </c>
      <c r="N5" s="91">
        <f t="shared" ref="N5:N38" si="6">L5/J5</f>
        <v>1423.5807086614172</v>
      </c>
      <c r="O5" s="92">
        <f t="shared" ref="O5:O38" si="7">N5/M5</f>
        <v>0.31039928757174434</v>
      </c>
      <c r="P5" s="93">
        <f t="shared" si="0"/>
        <v>124747.0494488189</v>
      </c>
      <c r="Q5" s="109">
        <f>C5/10</f>
        <v>2.7199999999999998</v>
      </c>
      <c r="R5" s="110">
        <f>$S$2*$S$1/Q5</f>
        <v>5.514705882352942</v>
      </c>
      <c r="S5" s="107">
        <f t="shared" si="1"/>
        <v>24.485294117647058</v>
      </c>
      <c r="T5" s="111">
        <f t="shared" ref="T5:T11" si="8">SUM(R5,S5)</f>
        <v>30</v>
      </c>
      <c r="U5" s="97">
        <f t="shared" si="2"/>
        <v>458.62885826771651</v>
      </c>
      <c r="V5" s="98">
        <f t="shared" si="2"/>
        <v>917.25771653543302</v>
      </c>
      <c r="W5" s="98">
        <f t="shared" si="2"/>
        <v>1146.5721456692913</v>
      </c>
      <c r="X5" s="98">
        <f t="shared" si="2"/>
        <v>1375.8865748031496</v>
      </c>
      <c r="Y5" s="98">
        <f t="shared" si="2"/>
        <v>1834.515433070866</v>
      </c>
      <c r="Z5" s="99">
        <f t="shared" si="3"/>
        <v>2293.1442913385827</v>
      </c>
      <c r="AA5" s="100">
        <f t="shared" si="3"/>
        <v>2751.7731496062993</v>
      </c>
      <c r="AB5" s="98">
        <f t="shared" si="4"/>
        <v>9172.5771653543306</v>
      </c>
      <c r="AC5" s="98">
        <f t="shared" si="4"/>
        <v>18345.154330708661</v>
      </c>
      <c r="AD5" s="98">
        <f t="shared" si="4"/>
        <v>22931.442913385828</v>
      </c>
      <c r="AE5" s="98">
        <f t="shared" si="4"/>
        <v>27517.731496062992</v>
      </c>
      <c r="AF5" s="98">
        <f t="shared" si="4"/>
        <v>36690.308661417323</v>
      </c>
      <c r="AG5" s="101">
        <f t="shared" si="4"/>
        <v>45862.885826771657</v>
      </c>
      <c r="AH5" s="98">
        <f t="shared" ref="AH5:AH38" si="9">AJ5*$AH$2/C5</f>
        <v>2.2058823529411766</v>
      </c>
      <c r="AI5" s="98">
        <f t="shared" ref="AI5:AI38" si="10">AJ5-AH5</f>
        <v>27.794117647058822</v>
      </c>
      <c r="AJ5" s="98">
        <f t="shared" ref="AJ5:AJ38" si="11">$AH$1</f>
        <v>30</v>
      </c>
      <c r="AK5" s="102">
        <f>(((P5*2/20)*R5)/T5)*4</f>
        <v>9172.5771653543325</v>
      </c>
      <c r="AL5" s="98">
        <f t="shared" ref="AL5:AL11" si="12">AK5/20</f>
        <v>458.62885826771662</v>
      </c>
      <c r="AM5" s="98">
        <f t="shared" si="5"/>
        <v>142.35807086614173</v>
      </c>
      <c r="AN5" s="98">
        <v>2.6614613783313601</v>
      </c>
      <c r="AO5" s="98">
        <f t="shared" ref="AO5:AO11" si="13">LOG10(AM5)</f>
        <v>2.1533820941262296</v>
      </c>
      <c r="AP5" s="98">
        <v>-1.36973402114359</v>
      </c>
      <c r="AQ5" s="98">
        <v>0.93937300017644698</v>
      </c>
      <c r="AR5" s="98" t="s">
        <v>96</v>
      </c>
      <c r="AS5" s="98" t="s">
        <v>96</v>
      </c>
      <c r="AT5" s="191"/>
    </row>
    <row r="6" spans="1:46" x14ac:dyDescent="0.35">
      <c r="A6" s="128">
        <v>44662</v>
      </c>
      <c r="B6" s="22">
        <v>3</v>
      </c>
      <c r="C6" s="53">
        <v>2</v>
      </c>
      <c r="D6" s="23"/>
      <c r="E6" s="32">
        <v>6.2</v>
      </c>
      <c r="F6" s="24" t="s">
        <v>79</v>
      </c>
      <c r="G6" s="32">
        <v>0.2</v>
      </c>
      <c r="H6" s="6" t="s">
        <v>31</v>
      </c>
      <c r="I6" s="6">
        <v>30</v>
      </c>
      <c r="J6" s="52">
        <v>28.2</v>
      </c>
      <c r="K6" s="51">
        <v>542.95000000000005</v>
      </c>
      <c r="L6" s="6">
        <v>110.25</v>
      </c>
      <c r="M6" s="38">
        <f t="shared" ref="M6:M38" si="14">K6/J6</f>
        <v>19.253546099290784</v>
      </c>
      <c r="N6" s="38">
        <f t="shared" si="6"/>
        <v>3.9095744680851063</v>
      </c>
      <c r="O6" s="58">
        <f t="shared" si="7"/>
        <v>0.20305737176535588</v>
      </c>
      <c r="P6" s="35">
        <f t="shared" si="0"/>
        <v>38.507092198581567</v>
      </c>
      <c r="Q6" s="25"/>
      <c r="R6" s="29">
        <f>$S$2*$S$1/C6</f>
        <v>7.5</v>
      </c>
      <c r="S6" s="32">
        <f t="shared" si="1"/>
        <v>22.5</v>
      </c>
      <c r="T6" s="33">
        <f t="shared" si="8"/>
        <v>30</v>
      </c>
      <c r="U6" s="43">
        <f t="shared" si="2"/>
        <v>1.9253546099290784</v>
      </c>
      <c r="V6" s="44">
        <f t="shared" si="2"/>
        <v>3.8507092198581567</v>
      </c>
      <c r="W6" s="44">
        <f t="shared" si="2"/>
        <v>4.8133865248226959</v>
      </c>
      <c r="X6" s="44">
        <f t="shared" si="2"/>
        <v>5.7760638297872351</v>
      </c>
      <c r="Y6" s="44">
        <f t="shared" si="2"/>
        <v>7.7014184397163135</v>
      </c>
      <c r="Z6" s="78">
        <f t="shared" si="3"/>
        <v>9.6267730496453918</v>
      </c>
      <c r="AA6" s="80">
        <f t="shared" si="3"/>
        <v>11.55212765957447</v>
      </c>
      <c r="AB6" s="44">
        <f t="shared" si="4"/>
        <v>38.507092198581567</v>
      </c>
      <c r="AC6" s="44">
        <f t="shared" si="4"/>
        <v>77.014184397163135</v>
      </c>
      <c r="AD6" s="44">
        <f t="shared" si="4"/>
        <v>96.267730496453922</v>
      </c>
      <c r="AE6" s="44">
        <f t="shared" si="4"/>
        <v>115.52127659574469</v>
      </c>
      <c r="AF6" s="44">
        <f t="shared" si="4"/>
        <v>154.02836879432627</v>
      </c>
      <c r="AG6" s="45">
        <f t="shared" si="4"/>
        <v>192.53546099290784</v>
      </c>
      <c r="AH6" s="44">
        <f t="shared" si="9"/>
        <v>30</v>
      </c>
      <c r="AI6" s="44">
        <f t="shared" si="10"/>
        <v>0</v>
      </c>
      <c r="AJ6" s="44">
        <f t="shared" si="11"/>
        <v>30</v>
      </c>
      <c r="AK6" s="68">
        <f>(((P6)*R6)/T6)*4</f>
        <v>38.507092198581567</v>
      </c>
      <c r="AL6" s="44">
        <f t="shared" si="12"/>
        <v>1.9253546099290784</v>
      </c>
      <c r="AM6" s="44">
        <f t="shared" si="5"/>
        <v>0.39095744680851063</v>
      </c>
      <c r="AN6" s="44">
        <v>0.284510729144415</v>
      </c>
      <c r="AO6" s="44">
        <f t="shared" si="13"/>
        <v>-0.40787051017948495</v>
      </c>
      <c r="AP6" s="44">
        <v>3.9457234055127701</v>
      </c>
      <c r="AQ6" s="44">
        <v>0.33074692606551898</v>
      </c>
      <c r="AR6" s="44">
        <v>2.7384480533680802</v>
      </c>
      <c r="AS6" s="44">
        <v>0.35054792159883102</v>
      </c>
      <c r="AT6" s="191"/>
    </row>
    <row r="7" spans="1:46" x14ac:dyDescent="0.35">
      <c r="A7" s="128">
        <v>44662</v>
      </c>
      <c r="B7" s="22">
        <v>4</v>
      </c>
      <c r="C7" s="53">
        <v>21.8</v>
      </c>
      <c r="D7" s="23"/>
      <c r="E7" s="32">
        <v>28.8</v>
      </c>
      <c r="F7" s="24" t="s">
        <v>79</v>
      </c>
      <c r="G7" s="32">
        <v>2.1800000000000002</v>
      </c>
      <c r="H7" s="6" t="s">
        <v>32</v>
      </c>
      <c r="I7" s="6">
        <v>35</v>
      </c>
      <c r="J7" s="52">
        <v>28.1</v>
      </c>
      <c r="K7" s="51" t="s">
        <v>33</v>
      </c>
      <c r="L7" s="6" t="s">
        <v>33</v>
      </c>
      <c r="M7" s="38" t="e">
        <f t="shared" si="14"/>
        <v>#VALUE!</v>
      </c>
      <c r="N7" s="38" t="e">
        <f t="shared" si="6"/>
        <v>#VALUE!</v>
      </c>
      <c r="O7" s="58" t="e">
        <f t="shared" si="7"/>
        <v>#VALUE!</v>
      </c>
      <c r="P7" s="35" t="e">
        <f t="shared" si="0"/>
        <v>#VALUE!</v>
      </c>
      <c r="Q7" s="31">
        <f>C7/10</f>
        <v>2.1800000000000002</v>
      </c>
      <c r="R7" s="29">
        <f>$S$2*$S$1/Q7</f>
        <v>6.8807339449541276</v>
      </c>
      <c r="S7" s="32">
        <f t="shared" si="1"/>
        <v>23.119266055045873</v>
      </c>
      <c r="T7" s="33">
        <f t="shared" si="8"/>
        <v>30</v>
      </c>
      <c r="U7" s="43" t="e">
        <f t="shared" si="2"/>
        <v>#VALUE!</v>
      </c>
      <c r="V7" s="44" t="e">
        <f t="shared" si="2"/>
        <v>#VALUE!</v>
      </c>
      <c r="W7" s="44" t="e">
        <f t="shared" si="2"/>
        <v>#VALUE!</v>
      </c>
      <c r="X7" s="44" t="e">
        <f t="shared" si="2"/>
        <v>#VALUE!</v>
      </c>
      <c r="Y7" s="44" t="e">
        <f t="shared" si="2"/>
        <v>#VALUE!</v>
      </c>
      <c r="Z7" s="78" t="e">
        <f t="shared" si="3"/>
        <v>#VALUE!</v>
      </c>
      <c r="AA7" s="80" t="e">
        <f t="shared" si="3"/>
        <v>#VALUE!</v>
      </c>
      <c r="AB7" s="44" t="e">
        <f t="shared" si="4"/>
        <v>#VALUE!</v>
      </c>
      <c r="AC7" s="44" t="e">
        <f t="shared" si="4"/>
        <v>#VALUE!</v>
      </c>
      <c r="AD7" s="44" t="e">
        <f t="shared" si="4"/>
        <v>#VALUE!</v>
      </c>
      <c r="AE7" s="44" t="e">
        <f t="shared" si="4"/>
        <v>#VALUE!</v>
      </c>
      <c r="AF7" s="44" t="e">
        <f t="shared" si="4"/>
        <v>#VALUE!</v>
      </c>
      <c r="AG7" s="45" t="e">
        <f t="shared" si="4"/>
        <v>#VALUE!</v>
      </c>
      <c r="AH7" s="44">
        <f t="shared" si="9"/>
        <v>2.7522935779816513</v>
      </c>
      <c r="AI7" s="44">
        <f t="shared" si="10"/>
        <v>27.24770642201835</v>
      </c>
      <c r="AJ7" s="44">
        <f t="shared" si="11"/>
        <v>30</v>
      </c>
      <c r="AK7" s="69" t="e">
        <f>(((P7*2/20)*R7)/T7)*4</f>
        <v>#VALUE!</v>
      </c>
      <c r="AL7" s="44" t="e">
        <f t="shared" si="12"/>
        <v>#VALUE!</v>
      </c>
      <c r="AM7" s="44" t="e">
        <f t="shared" si="5"/>
        <v>#VALUE!</v>
      </c>
      <c r="AN7" s="44" t="s">
        <v>96</v>
      </c>
      <c r="AO7" s="44" t="e">
        <f t="shared" si="13"/>
        <v>#VALUE!</v>
      </c>
      <c r="AP7" s="44">
        <v>5.86759407947185</v>
      </c>
      <c r="AQ7" s="44">
        <v>0.59469745512634098</v>
      </c>
      <c r="AR7" s="44">
        <v>7.9514795429445702</v>
      </c>
      <c r="AS7" s="44">
        <v>0.90939490364037601</v>
      </c>
      <c r="AT7" s="191"/>
    </row>
    <row r="8" spans="1:46" s="103" customFormat="1" x14ac:dyDescent="0.35">
      <c r="A8" s="128">
        <v>44657</v>
      </c>
      <c r="B8" s="104">
        <v>5</v>
      </c>
      <c r="C8" s="105">
        <v>11</v>
      </c>
      <c r="D8" s="106" t="s">
        <v>10</v>
      </c>
      <c r="E8" s="107">
        <v>16.899999999999999</v>
      </c>
      <c r="F8" s="108" t="s">
        <v>79</v>
      </c>
      <c r="G8" s="107">
        <v>1.1000000000000001</v>
      </c>
      <c r="H8" s="88" t="s">
        <v>34</v>
      </c>
      <c r="I8" s="88">
        <v>60</v>
      </c>
      <c r="J8" s="89">
        <v>23.4</v>
      </c>
      <c r="K8" s="90">
        <v>91.44</v>
      </c>
      <c r="L8" s="88">
        <v>33.340000000000003</v>
      </c>
      <c r="M8" s="91">
        <f t="shared" si="14"/>
        <v>3.907692307692308</v>
      </c>
      <c r="N8" s="91">
        <f t="shared" si="6"/>
        <v>1.4247863247863251</v>
      </c>
      <c r="O8" s="92">
        <f t="shared" si="7"/>
        <v>0.36461067366579181</v>
      </c>
      <c r="P8" s="93">
        <f t="shared" si="0"/>
        <v>42.984615384615388</v>
      </c>
      <c r="Q8" s="109">
        <f>C8/10</f>
        <v>1.1000000000000001</v>
      </c>
      <c r="R8" s="110">
        <f>$S$2*$S$1/Q8</f>
        <v>13.636363636363635</v>
      </c>
      <c r="S8" s="107">
        <f t="shared" si="1"/>
        <v>16.363636363636367</v>
      </c>
      <c r="T8" s="111">
        <f t="shared" si="8"/>
        <v>30</v>
      </c>
      <c r="U8" s="97">
        <f t="shared" si="2"/>
        <v>0.39076923076923081</v>
      </c>
      <c r="V8" s="98">
        <f t="shared" si="2"/>
        <v>0.78153846153846163</v>
      </c>
      <c r="W8" s="98">
        <f t="shared" si="2"/>
        <v>0.97692307692307701</v>
      </c>
      <c r="X8" s="98">
        <f t="shared" si="2"/>
        <v>1.1723076923076925</v>
      </c>
      <c r="Y8" s="98">
        <f t="shared" si="2"/>
        <v>1.5630769230769233</v>
      </c>
      <c r="Z8" s="99">
        <f t="shared" si="3"/>
        <v>1.953846153846154</v>
      </c>
      <c r="AA8" s="100">
        <f t="shared" si="3"/>
        <v>2.344615384615385</v>
      </c>
      <c r="AB8" s="98">
        <f t="shared" si="4"/>
        <v>7.815384615384616</v>
      </c>
      <c r="AC8" s="98">
        <f t="shared" si="4"/>
        <v>15.630769230769232</v>
      </c>
      <c r="AD8" s="98">
        <f t="shared" si="4"/>
        <v>19.53846153846154</v>
      </c>
      <c r="AE8" s="98">
        <f t="shared" si="4"/>
        <v>23.446153846153848</v>
      </c>
      <c r="AF8" s="98">
        <f t="shared" si="4"/>
        <v>31.261538461538464</v>
      </c>
      <c r="AG8" s="101">
        <f t="shared" si="4"/>
        <v>39.07692307692308</v>
      </c>
      <c r="AH8" s="98">
        <f t="shared" si="9"/>
        <v>5.4545454545454541</v>
      </c>
      <c r="AI8" s="98">
        <f t="shared" si="10"/>
        <v>24.545454545454547</v>
      </c>
      <c r="AJ8" s="98">
        <f t="shared" si="11"/>
        <v>30</v>
      </c>
      <c r="AK8" s="102">
        <f>(((P8*2/20)*R8)/T8)*4</f>
        <v>7.8153846153846152</v>
      </c>
      <c r="AL8" s="98">
        <f t="shared" si="12"/>
        <v>0.39076923076923076</v>
      </c>
      <c r="AM8" s="98">
        <f t="shared" si="5"/>
        <v>0.14247863247863252</v>
      </c>
      <c r="AN8" s="98">
        <v>-0.40807964002291802</v>
      </c>
      <c r="AO8" s="98">
        <f t="shared" si="13"/>
        <v>-0.84625026191815622</v>
      </c>
      <c r="AP8" s="98">
        <v>5.2746524222308597</v>
      </c>
      <c r="AQ8" s="98">
        <v>0.35685116597301297</v>
      </c>
      <c r="AR8" s="98">
        <v>5.3150620011725298</v>
      </c>
      <c r="AS8" s="98">
        <v>0.42119462454324003</v>
      </c>
      <c r="AT8" s="191"/>
    </row>
    <row r="9" spans="1:46" s="103" customFormat="1" x14ac:dyDescent="0.35">
      <c r="A9" s="128">
        <v>44657</v>
      </c>
      <c r="B9" s="104">
        <v>6</v>
      </c>
      <c r="C9" s="105">
        <v>6.38</v>
      </c>
      <c r="D9" s="106"/>
      <c r="E9" s="107">
        <v>10.1</v>
      </c>
      <c r="F9" s="108" t="s">
        <v>79</v>
      </c>
      <c r="G9" s="107">
        <v>0.63800000000000001</v>
      </c>
      <c r="H9" s="88" t="s">
        <v>35</v>
      </c>
      <c r="I9" s="88">
        <v>35</v>
      </c>
      <c r="J9" s="89">
        <v>25.7</v>
      </c>
      <c r="K9" s="90">
        <v>157.74</v>
      </c>
      <c r="L9" s="88">
        <v>54.88</v>
      </c>
      <c r="M9" s="91">
        <f t="shared" si="14"/>
        <v>6.137743190661479</v>
      </c>
      <c r="N9" s="91">
        <f t="shared" si="6"/>
        <v>2.135408560311284</v>
      </c>
      <c r="O9" s="92">
        <f t="shared" si="7"/>
        <v>0.34791428933688345</v>
      </c>
      <c r="P9" s="93">
        <f t="shared" si="0"/>
        <v>39.158801556420237</v>
      </c>
      <c r="Q9" s="129"/>
      <c r="R9" s="110">
        <f>$S$2*$S$1/C9</f>
        <v>2.3510971786833856</v>
      </c>
      <c r="S9" s="107">
        <f t="shared" si="1"/>
        <v>27.648902821316614</v>
      </c>
      <c r="T9" s="111">
        <f t="shared" si="8"/>
        <v>30</v>
      </c>
      <c r="U9" s="97">
        <f t="shared" si="2"/>
        <v>0.61377431906614788</v>
      </c>
      <c r="V9" s="98">
        <f t="shared" si="2"/>
        <v>1.2275486381322958</v>
      </c>
      <c r="W9" s="98">
        <f t="shared" si="2"/>
        <v>1.5344357976653697</v>
      </c>
      <c r="X9" s="98">
        <f t="shared" si="2"/>
        <v>1.8413229571984437</v>
      </c>
      <c r="Y9" s="98">
        <f t="shared" si="2"/>
        <v>2.4550972762645915</v>
      </c>
      <c r="Z9" s="99">
        <f t="shared" si="3"/>
        <v>3.0688715953307395</v>
      </c>
      <c r="AA9" s="100">
        <f t="shared" si="3"/>
        <v>3.6826459143968875</v>
      </c>
      <c r="AB9" s="98">
        <f t="shared" si="4"/>
        <v>12.275486381322958</v>
      </c>
      <c r="AC9" s="98">
        <f t="shared" si="4"/>
        <v>24.550972762645916</v>
      </c>
      <c r="AD9" s="98">
        <f t="shared" si="4"/>
        <v>30.688715953307394</v>
      </c>
      <c r="AE9" s="98">
        <f t="shared" si="4"/>
        <v>36.826459143968876</v>
      </c>
      <c r="AF9" s="98">
        <f t="shared" si="4"/>
        <v>49.101945525291832</v>
      </c>
      <c r="AG9" s="101">
        <f t="shared" si="4"/>
        <v>61.377431906614788</v>
      </c>
      <c r="AH9" s="98">
        <f t="shared" si="9"/>
        <v>9.4043887147335425</v>
      </c>
      <c r="AI9" s="98">
        <f t="shared" si="10"/>
        <v>20.595611285266457</v>
      </c>
      <c r="AJ9" s="98">
        <f t="shared" si="11"/>
        <v>30</v>
      </c>
      <c r="AK9" s="102">
        <f>(((P9)*R9)/T9)*4</f>
        <v>12.275486381322958</v>
      </c>
      <c r="AL9" s="98">
        <f t="shared" si="12"/>
        <v>0.61377431906614788</v>
      </c>
      <c r="AM9" s="98">
        <f t="shared" si="5"/>
        <v>0.21354085603112841</v>
      </c>
      <c r="AN9" s="98">
        <v>-0.21199128684128801</v>
      </c>
      <c r="AO9" s="98">
        <f t="shared" si="13"/>
        <v>-0.67051902063259927</v>
      </c>
      <c r="AP9" s="98">
        <v>4.2352061764016096</v>
      </c>
      <c r="AQ9" s="98">
        <v>0.147178725089119</v>
      </c>
      <c r="AR9" s="98">
        <v>2.6061359785143599</v>
      </c>
      <c r="AS9" s="98">
        <v>0.36868430574295802</v>
      </c>
      <c r="AT9" s="191"/>
    </row>
    <row r="10" spans="1:46" s="103" customFormat="1" x14ac:dyDescent="0.35">
      <c r="A10" s="128">
        <v>44657</v>
      </c>
      <c r="B10" s="104">
        <v>7</v>
      </c>
      <c r="C10" s="105">
        <v>14.4</v>
      </c>
      <c r="D10" s="106"/>
      <c r="E10" s="107">
        <v>22.5</v>
      </c>
      <c r="F10" s="108" t="s">
        <v>79</v>
      </c>
      <c r="G10" s="107">
        <v>1.44</v>
      </c>
      <c r="H10" s="88" t="s">
        <v>36</v>
      </c>
      <c r="I10" s="88">
        <v>35</v>
      </c>
      <c r="J10" s="89">
        <v>25.5</v>
      </c>
      <c r="K10" s="90">
        <v>79.25</v>
      </c>
      <c r="L10" s="88">
        <v>76.44</v>
      </c>
      <c r="M10" s="91">
        <f t="shared" si="14"/>
        <v>3.107843137254902</v>
      </c>
      <c r="N10" s="91">
        <f t="shared" si="6"/>
        <v>2.9976470588235293</v>
      </c>
      <c r="O10" s="92">
        <f t="shared" si="7"/>
        <v>0.96454258675078863</v>
      </c>
      <c r="P10" s="93">
        <f t="shared" si="0"/>
        <v>44.752941176470593</v>
      </c>
      <c r="Q10" s="109">
        <f>C10/10</f>
        <v>1.44</v>
      </c>
      <c r="R10" s="110">
        <f>$S$2*$S$1/Q10</f>
        <v>10.416666666666668</v>
      </c>
      <c r="S10" s="107">
        <f t="shared" si="1"/>
        <v>19.583333333333332</v>
      </c>
      <c r="T10" s="111">
        <f t="shared" si="8"/>
        <v>30</v>
      </c>
      <c r="U10" s="97">
        <f t="shared" si="2"/>
        <v>0.3107843137254902</v>
      </c>
      <c r="V10" s="98">
        <f t="shared" si="2"/>
        <v>0.6215686274509804</v>
      </c>
      <c r="W10" s="98">
        <f t="shared" si="2"/>
        <v>0.77696078431372551</v>
      </c>
      <c r="X10" s="98">
        <f t="shared" si="2"/>
        <v>0.93235294117647061</v>
      </c>
      <c r="Y10" s="98">
        <f t="shared" si="2"/>
        <v>1.2431372549019608</v>
      </c>
      <c r="Z10" s="99">
        <f t="shared" si="3"/>
        <v>1.553921568627451</v>
      </c>
      <c r="AA10" s="100">
        <f t="shared" si="3"/>
        <v>1.8647058823529412</v>
      </c>
      <c r="AB10" s="98">
        <f t="shared" si="4"/>
        <v>6.215686274509804</v>
      </c>
      <c r="AC10" s="98">
        <f t="shared" si="4"/>
        <v>12.431372549019608</v>
      </c>
      <c r="AD10" s="98">
        <f t="shared" si="4"/>
        <v>15.53921568627451</v>
      </c>
      <c r="AE10" s="98">
        <f t="shared" si="4"/>
        <v>18.647058823529413</v>
      </c>
      <c r="AF10" s="98">
        <f t="shared" si="4"/>
        <v>24.862745098039216</v>
      </c>
      <c r="AG10" s="101">
        <f t="shared" si="4"/>
        <v>31.078431372549019</v>
      </c>
      <c r="AH10" s="98">
        <f t="shared" si="9"/>
        <v>4.166666666666667</v>
      </c>
      <c r="AI10" s="98">
        <f t="shared" si="10"/>
        <v>25.833333333333332</v>
      </c>
      <c r="AJ10" s="98">
        <f t="shared" si="11"/>
        <v>30</v>
      </c>
      <c r="AK10" s="102">
        <f>(((P10*2/20)*R10)/T10)*4</f>
        <v>6.2156862745098049</v>
      </c>
      <c r="AL10" s="98">
        <f t="shared" si="12"/>
        <v>0.31078431372549026</v>
      </c>
      <c r="AM10" s="98">
        <f t="shared" si="5"/>
        <v>0.29976470588235293</v>
      </c>
      <c r="AN10" s="98">
        <v>-0.50754090954416597</v>
      </c>
      <c r="AO10" s="98">
        <f t="shared" si="13"/>
        <v>-0.52321950205097989</v>
      </c>
      <c r="AP10" s="98">
        <v>0.94407931382666299</v>
      </c>
      <c r="AQ10" s="98">
        <v>2.0555306773630302</v>
      </c>
      <c r="AR10" s="98" t="s">
        <v>96</v>
      </c>
      <c r="AS10" s="98" t="s">
        <v>96</v>
      </c>
      <c r="AT10" s="191"/>
    </row>
    <row r="11" spans="1:46" s="103" customFormat="1" ht="15" thickBot="1" x14ac:dyDescent="0.4">
      <c r="A11" s="128">
        <v>44652</v>
      </c>
      <c r="B11" s="112">
        <v>8</v>
      </c>
      <c r="C11" s="113">
        <v>14.2</v>
      </c>
      <c r="D11" s="114"/>
      <c r="E11" s="115">
        <v>19.8</v>
      </c>
      <c r="F11" s="116" t="s">
        <v>79</v>
      </c>
      <c r="G11" s="115">
        <v>1.42</v>
      </c>
      <c r="H11" s="88" t="s">
        <v>37</v>
      </c>
      <c r="I11" s="88">
        <v>30</v>
      </c>
      <c r="J11" s="89">
        <v>30.3</v>
      </c>
      <c r="K11" s="90">
        <v>2790.39</v>
      </c>
      <c r="L11" s="88">
        <v>712.45</v>
      </c>
      <c r="M11" s="91">
        <f t="shared" si="14"/>
        <v>92.09207920792079</v>
      </c>
      <c r="N11" s="91">
        <f t="shared" si="6"/>
        <v>23.513201320132016</v>
      </c>
      <c r="O11" s="92">
        <f t="shared" si="7"/>
        <v>0.25532273266460964</v>
      </c>
      <c r="P11" s="93">
        <f t="shared" si="0"/>
        <v>1307.7075247524751</v>
      </c>
      <c r="Q11" s="117">
        <f>C11/10</f>
        <v>1.42</v>
      </c>
      <c r="R11" s="118">
        <f>$S$2*$S$1/Q11</f>
        <v>10.563380281690142</v>
      </c>
      <c r="S11" s="115">
        <f t="shared" si="1"/>
        <v>19.436619718309856</v>
      </c>
      <c r="T11" s="119">
        <f t="shared" si="8"/>
        <v>30</v>
      </c>
      <c r="U11" s="97">
        <f t="shared" si="2"/>
        <v>9.2092079207920783</v>
      </c>
      <c r="V11" s="98">
        <f t="shared" si="2"/>
        <v>18.418415841584157</v>
      </c>
      <c r="W11" s="98">
        <f t="shared" si="2"/>
        <v>23.023019801980197</v>
      </c>
      <c r="X11" s="98">
        <f t="shared" si="2"/>
        <v>27.627623762376238</v>
      </c>
      <c r="Y11" s="98">
        <f t="shared" si="2"/>
        <v>36.836831683168313</v>
      </c>
      <c r="Z11" s="99">
        <f t="shared" si="3"/>
        <v>46.046039603960395</v>
      </c>
      <c r="AA11" s="100">
        <f t="shared" si="3"/>
        <v>55.255247524752477</v>
      </c>
      <c r="AB11" s="98">
        <f t="shared" si="4"/>
        <v>184.18415841584158</v>
      </c>
      <c r="AC11" s="98">
        <f t="shared" si="4"/>
        <v>368.36831683168316</v>
      </c>
      <c r="AD11" s="98">
        <f t="shared" si="4"/>
        <v>460.46039603960395</v>
      </c>
      <c r="AE11" s="98">
        <f t="shared" si="4"/>
        <v>552.55247524752474</v>
      </c>
      <c r="AF11" s="98">
        <f t="shared" si="4"/>
        <v>736.73663366336632</v>
      </c>
      <c r="AG11" s="101">
        <f t="shared" si="4"/>
        <v>920.9207920792079</v>
      </c>
      <c r="AH11" s="98">
        <f t="shared" si="9"/>
        <v>4.2253521126760569</v>
      </c>
      <c r="AI11" s="98">
        <f t="shared" si="10"/>
        <v>25.774647887323944</v>
      </c>
      <c r="AJ11" s="98">
        <f t="shared" si="11"/>
        <v>30</v>
      </c>
      <c r="AK11" s="102">
        <f>(((P11*2/20)*R11)/T11)*4</f>
        <v>184.18415841584158</v>
      </c>
      <c r="AL11" s="98">
        <f t="shared" si="12"/>
        <v>9.2092079207920783</v>
      </c>
      <c r="AM11" s="98">
        <f t="shared" si="5"/>
        <v>2.3513201320132016</v>
      </c>
      <c r="AN11" s="98">
        <v>0.96422227835947105</v>
      </c>
      <c r="AO11" s="98">
        <f t="shared" si="13"/>
        <v>0.3713117623030836</v>
      </c>
      <c r="AP11" s="98">
        <v>2.0438298580296701</v>
      </c>
      <c r="AQ11" s="98">
        <v>2.0865946967369098</v>
      </c>
      <c r="AR11" s="98" t="s">
        <v>96</v>
      </c>
      <c r="AS11" s="98" t="s">
        <v>96</v>
      </c>
      <c r="AT11" s="191"/>
    </row>
    <row r="12" spans="1:46" s="103" customFormat="1" x14ac:dyDescent="0.35">
      <c r="A12" s="128">
        <v>44657</v>
      </c>
      <c r="B12" s="120">
        <v>9</v>
      </c>
      <c r="C12" s="121">
        <v>4.8899999999999997</v>
      </c>
      <c r="D12" s="120" t="s">
        <v>10</v>
      </c>
      <c r="E12" s="91">
        <v>7.8</v>
      </c>
      <c r="F12" s="122" t="s">
        <v>79</v>
      </c>
      <c r="G12" s="91">
        <v>0.48899999999999999</v>
      </c>
      <c r="H12" s="88" t="s">
        <v>38</v>
      </c>
      <c r="I12" s="88">
        <v>40</v>
      </c>
      <c r="J12" s="89">
        <v>29.1</v>
      </c>
      <c r="K12" s="90">
        <v>443.5</v>
      </c>
      <c r="L12" s="88">
        <v>143.91</v>
      </c>
      <c r="M12" s="91">
        <f t="shared" si="14"/>
        <v>15.240549828178693</v>
      </c>
      <c r="N12" s="91">
        <f t="shared" si="6"/>
        <v>4.9453608247422673</v>
      </c>
      <c r="O12" s="92">
        <f t="shared" si="7"/>
        <v>0.32448703494926717</v>
      </c>
      <c r="P12" s="93">
        <f t="shared" si="0"/>
        <v>74.526288659793806</v>
      </c>
      <c r="Q12" s="120"/>
      <c r="R12" s="120"/>
      <c r="U12" s="97">
        <f t="shared" si="2"/>
        <v>1.5240549828178693</v>
      </c>
      <c r="V12" s="98">
        <f t="shared" si="2"/>
        <v>3.0481099656357387</v>
      </c>
      <c r="W12" s="98">
        <f t="shared" si="2"/>
        <v>3.8101374570446738</v>
      </c>
      <c r="X12" s="98">
        <f t="shared" si="2"/>
        <v>4.572164948453608</v>
      </c>
      <c r="Y12" s="98">
        <f t="shared" si="2"/>
        <v>6.0962199312714773</v>
      </c>
      <c r="Z12" s="99">
        <f t="shared" si="3"/>
        <v>7.6202749140893475</v>
      </c>
      <c r="AA12" s="100">
        <f t="shared" si="3"/>
        <v>9.144329896907216</v>
      </c>
      <c r="AB12" s="98">
        <f t="shared" si="4"/>
        <v>30.481099656357387</v>
      </c>
      <c r="AC12" s="98">
        <f t="shared" si="4"/>
        <v>60.962199312714773</v>
      </c>
      <c r="AD12" s="98">
        <f t="shared" si="4"/>
        <v>76.202749140893474</v>
      </c>
      <c r="AE12" s="98">
        <f t="shared" si="4"/>
        <v>91.44329896907216</v>
      </c>
      <c r="AF12" s="98">
        <f t="shared" si="4"/>
        <v>121.92439862542955</v>
      </c>
      <c r="AG12" s="101">
        <f t="shared" si="4"/>
        <v>152.40549828178695</v>
      </c>
      <c r="AH12" s="98">
        <f t="shared" si="9"/>
        <v>12.269938650306749</v>
      </c>
      <c r="AI12" s="98">
        <f t="shared" si="10"/>
        <v>17.730061349693251</v>
      </c>
      <c r="AJ12" s="98">
        <f t="shared" si="11"/>
        <v>30</v>
      </c>
      <c r="AK12" s="123"/>
      <c r="AL12" s="124"/>
      <c r="AM12" s="124"/>
      <c r="AN12" s="124"/>
      <c r="AO12" s="124"/>
      <c r="AP12" s="124"/>
      <c r="AQ12" s="124"/>
      <c r="AR12" s="124"/>
      <c r="AS12" s="124"/>
      <c r="AT12" s="125"/>
    </row>
    <row r="13" spans="1:46" s="103" customFormat="1" x14ac:dyDescent="0.35">
      <c r="A13" s="128">
        <v>44657</v>
      </c>
      <c r="B13" s="120">
        <v>10</v>
      </c>
      <c r="C13" s="121">
        <v>32.1</v>
      </c>
      <c r="D13" s="120"/>
      <c r="E13" s="91">
        <v>45.6</v>
      </c>
      <c r="F13" s="122" t="s">
        <v>79</v>
      </c>
      <c r="G13" s="91">
        <v>3.21</v>
      </c>
      <c r="H13" s="88" t="s">
        <v>39</v>
      </c>
      <c r="I13" s="88">
        <v>40</v>
      </c>
      <c r="J13" s="89">
        <v>29</v>
      </c>
      <c r="K13" s="90">
        <v>507.41</v>
      </c>
      <c r="L13" s="88">
        <v>139.54</v>
      </c>
      <c r="M13" s="91">
        <f t="shared" si="14"/>
        <v>17.496896551724138</v>
      </c>
      <c r="N13" s="91">
        <f t="shared" si="6"/>
        <v>4.8117241379310345</v>
      </c>
      <c r="O13" s="92">
        <f t="shared" si="7"/>
        <v>0.27500443428391241</v>
      </c>
      <c r="P13" s="93">
        <f t="shared" si="0"/>
        <v>561.65037931034487</v>
      </c>
      <c r="Q13" s="120"/>
      <c r="R13" s="120"/>
      <c r="U13" s="97">
        <f t="shared" si="2"/>
        <v>1.7496896551724137</v>
      </c>
      <c r="V13" s="98">
        <f t="shared" si="2"/>
        <v>3.4993793103448274</v>
      </c>
      <c r="W13" s="98">
        <f t="shared" si="2"/>
        <v>4.3742241379310345</v>
      </c>
      <c r="X13" s="98">
        <f t="shared" si="2"/>
        <v>5.2490689655172416</v>
      </c>
      <c r="Y13" s="98">
        <f t="shared" si="2"/>
        <v>6.9987586206896548</v>
      </c>
      <c r="Z13" s="99">
        <f t="shared" si="3"/>
        <v>8.748448275862069</v>
      </c>
      <c r="AA13" s="100">
        <f t="shared" si="3"/>
        <v>10.498137931034483</v>
      </c>
      <c r="AB13" s="98">
        <f t="shared" si="4"/>
        <v>34.993793103448276</v>
      </c>
      <c r="AC13" s="98">
        <f t="shared" si="4"/>
        <v>69.987586206896552</v>
      </c>
      <c r="AD13" s="98">
        <f t="shared" si="4"/>
        <v>87.484482758620686</v>
      </c>
      <c r="AE13" s="98">
        <f t="shared" si="4"/>
        <v>104.98137931034483</v>
      </c>
      <c r="AF13" s="98">
        <f t="shared" si="4"/>
        <v>139.9751724137931</v>
      </c>
      <c r="AG13" s="101">
        <f t="shared" si="4"/>
        <v>174.96896551724137</v>
      </c>
      <c r="AH13" s="98">
        <f t="shared" si="9"/>
        <v>1.8691588785046729</v>
      </c>
      <c r="AI13" s="98">
        <f t="shared" si="10"/>
        <v>28.130841121495326</v>
      </c>
      <c r="AJ13" s="98">
        <f t="shared" si="11"/>
        <v>30</v>
      </c>
      <c r="AK13" s="123"/>
      <c r="AL13" s="124"/>
      <c r="AM13" s="124"/>
      <c r="AN13" s="124"/>
      <c r="AO13" s="124"/>
      <c r="AP13" s="124"/>
      <c r="AQ13" s="124"/>
      <c r="AR13" s="124"/>
      <c r="AS13" s="124"/>
      <c r="AT13" s="125"/>
    </row>
    <row r="14" spans="1:46" x14ac:dyDescent="0.35">
      <c r="A14" s="128">
        <v>44673</v>
      </c>
      <c r="B14" s="4">
        <v>11</v>
      </c>
      <c r="C14" s="54">
        <v>2</v>
      </c>
      <c r="D14" s="4"/>
      <c r="E14" s="38">
        <v>7.1</v>
      </c>
      <c r="F14" s="16" t="s">
        <v>79</v>
      </c>
      <c r="G14" s="38">
        <v>0.2</v>
      </c>
      <c r="H14" s="6" t="s">
        <v>40</v>
      </c>
      <c r="I14" s="6">
        <v>40</v>
      </c>
      <c r="J14" s="52">
        <v>25.5</v>
      </c>
      <c r="K14" s="51" t="s">
        <v>33</v>
      </c>
      <c r="L14" s="6" t="s">
        <v>33</v>
      </c>
      <c r="M14" s="38" t="e">
        <f t="shared" si="14"/>
        <v>#VALUE!</v>
      </c>
      <c r="N14" s="38" t="e">
        <f t="shared" si="6"/>
        <v>#VALUE!</v>
      </c>
      <c r="O14" s="58" t="e">
        <f t="shared" si="7"/>
        <v>#VALUE!</v>
      </c>
      <c r="P14" s="35" t="e">
        <f t="shared" si="0"/>
        <v>#VALUE!</v>
      </c>
      <c r="Q14" s="4"/>
      <c r="R14" s="4"/>
      <c r="U14" s="43" t="e">
        <f t="shared" ref="U14:Y23" si="15">($M14*U$3)/20</f>
        <v>#VALUE!</v>
      </c>
      <c r="V14" s="44" t="e">
        <f t="shared" si="15"/>
        <v>#VALUE!</v>
      </c>
      <c r="W14" s="44" t="e">
        <f t="shared" si="15"/>
        <v>#VALUE!</v>
      </c>
      <c r="X14" s="44" t="e">
        <f t="shared" si="15"/>
        <v>#VALUE!</v>
      </c>
      <c r="Y14" s="44" t="e">
        <f t="shared" si="15"/>
        <v>#VALUE!</v>
      </c>
      <c r="Z14" s="78" t="e">
        <f t="shared" si="3"/>
        <v>#VALUE!</v>
      </c>
      <c r="AA14" s="80" t="e">
        <f t="shared" si="3"/>
        <v>#VALUE!</v>
      </c>
      <c r="AB14" s="44" t="e">
        <f t="shared" ref="AB14:AG23" si="16">$M14*AB$3</f>
        <v>#VALUE!</v>
      </c>
      <c r="AC14" s="44" t="e">
        <f t="shared" si="16"/>
        <v>#VALUE!</v>
      </c>
      <c r="AD14" s="44" t="e">
        <f t="shared" si="16"/>
        <v>#VALUE!</v>
      </c>
      <c r="AE14" s="44" t="e">
        <f t="shared" si="16"/>
        <v>#VALUE!</v>
      </c>
      <c r="AF14" s="44" t="e">
        <f t="shared" si="16"/>
        <v>#VALUE!</v>
      </c>
      <c r="AG14" s="45" t="e">
        <f t="shared" si="16"/>
        <v>#VALUE!</v>
      </c>
      <c r="AH14" s="44">
        <f t="shared" si="9"/>
        <v>30</v>
      </c>
      <c r="AI14" s="44">
        <f t="shared" si="10"/>
        <v>0</v>
      </c>
      <c r="AJ14" s="44">
        <f t="shared" si="11"/>
        <v>30</v>
      </c>
      <c r="AK14" s="70"/>
      <c r="AL14" s="71"/>
      <c r="AM14" s="71"/>
      <c r="AN14" s="71"/>
      <c r="AO14" s="71"/>
      <c r="AP14" s="71"/>
      <c r="AQ14" s="71"/>
      <c r="AR14" s="71"/>
      <c r="AS14" s="71"/>
      <c r="AT14" s="67"/>
    </row>
    <row r="15" spans="1:46" s="103" customFormat="1" x14ac:dyDescent="0.35">
      <c r="A15" s="128">
        <v>44657</v>
      </c>
      <c r="B15" s="120">
        <v>12</v>
      </c>
      <c r="C15" s="121">
        <v>4.92</v>
      </c>
      <c r="D15" s="120"/>
      <c r="E15" s="91">
        <v>7</v>
      </c>
      <c r="F15" s="122" t="s">
        <v>79</v>
      </c>
      <c r="G15" s="91">
        <v>0.49199999999999999</v>
      </c>
      <c r="H15" s="88" t="s">
        <v>41</v>
      </c>
      <c r="I15" s="88">
        <v>40</v>
      </c>
      <c r="J15" s="89">
        <v>28.4</v>
      </c>
      <c r="K15" s="90">
        <v>394.74</v>
      </c>
      <c r="L15" s="88">
        <v>66.260000000000005</v>
      </c>
      <c r="M15" s="91">
        <f t="shared" si="14"/>
        <v>13.899295774647888</v>
      </c>
      <c r="N15" s="91">
        <f t="shared" si="6"/>
        <v>2.3330985915492959</v>
      </c>
      <c r="O15" s="92">
        <f t="shared" si="7"/>
        <v>0.16785732380807622</v>
      </c>
      <c r="P15" s="93">
        <f t="shared" si="0"/>
        <v>68.384535211267604</v>
      </c>
      <c r="Q15" s="120"/>
      <c r="R15" s="120"/>
      <c r="U15" s="97">
        <f t="shared" si="15"/>
        <v>1.3899295774647888</v>
      </c>
      <c r="V15" s="98">
        <f t="shared" si="15"/>
        <v>2.7798591549295777</v>
      </c>
      <c r="W15" s="98">
        <f t="shared" si="15"/>
        <v>3.4748239436619719</v>
      </c>
      <c r="X15" s="98">
        <f t="shared" si="15"/>
        <v>4.1697887323943661</v>
      </c>
      <c r="Y15" s="98">
        <f t="shared" si="15"/>
        <v>5.5597183098591554</v>
      </c>
      <c r="Z15" s="99">
        <f t="shared" si="3"/>
        <v>6.9496478873239438</v>
      </c>
      <c r="AA15" s="100">
        <f t="shared" si="3"/>
        <v>8.3395774647887322</v>
      </c>
      <c r="AB15" s="98">
        <f t="shared" si="16"/>
        <v>27.798591549295775</v>
      </c>
      <c r="AC15" s="98">
        <f t="shared" si="16"/>
        <v>55.59718309859155</v>
      </c>
      <c r="AD15" s="98">
        <f t="shared" si="16"/>
        <v>69.49647887323944</v>
      </c>
      <c r="AE15" s="98">
        <f t="shared" si="16"/>
        <v>83.395774647887322</v>
      </c>
      <c r="AF15" s="98">
        <f t="shared" si="16"/>
        <v>111.1943661971831</v>
      </c>
      <c r="AG15" s="101">
        <f t="shared" si="16"/>
        <v>138.99295774647888</v>
      </c>
      <c r="AH15" s="98">
        <f t="shared" si="9"/>
        <v>12.195121951219512</v>
      </c>
      <c r="AI15" s="98">
        <f t="shared" si="10"/>
        <v>17.804878048780488</v>
      </c>
      <c r="AJ15" s="98">
        <f t="shared" si="11"/>
        <v>30</v>
      </c>
      <c r="AK15" s="123"/>
      <c r="AL15" s="124"/>
      <c r="AM15" s="124"/>
      <c r="AN15" s="124"/>
      <c r="AO15" s="124"/>
      <c r="AP15" s="124"/>
      <c r="AQ15" s="124"/>
      <c r="AR15" s="124"/>
      <c r="AS15" s="124"/>
      <c r="AT15" s="125"/>
    </row>
    <row r="16" spans="1:46" s="103" customFormat="1" x14ac:dyDescent="0.35">
      <c r="A16" s="128">
        <v>44657</v>
      </c>
      <c r="B16" s="120">
        <v>13</v>
      </c>
      <c r="C16" s="121">
        <v>4.91</v>
      </c>
      <c r="D16" s="120" t="s">
        <v>10</v>
      </c>
      <c r="E16" s="91">
        <v>8</v>
      </c>
      <c r="F16" s="122" t="s">
        <v>79</v>
      </c>
      <c r="G16" s="91">
        <v>0.49099999999999999</v>
      </c>
      <c r="H16" s="88" t="s">
        <v>42</v>
      </c>
      <c r="I16" s="88">
        <v>65</v>
      </c>
      <c r="J16" s="89">
        <v>25.4</v>
      </c>
      <c r="K16" s="90">
        <v>94466.6</v>
      </c>
      <c r="L16" s="88">
        <v>59792.68</v>
      </c>
      <c r="M16" s="91">
        <f t="shared" si="14"/>
        <v>3719.157480314961</v>
      </c>
      <c r="N16" s="91">
        <f t="shared" si="6"/>
        <v>2354.0425196850397</v>
      </c>
      <c r="O16" s="92">
        <f t="shared" si="7"/>
        <v>0.6329504819692886</v>
      </c>
      <c r="P16" s="93">
        <f t="shared" si="0"/>
        <v>18261.063228346458</v>
      </c>
      <c r="Q16" s="120"/>
      <c r="R16" s="120"/>
      <c r="U16" s="97">
        <f t="shared" si="15"/>
        <v>371.91574803149609</v>
      </c>
      <c r="V16" s="98">
        <f t="shared" si="15"/>
        <v>743.83149606299219</v>
      </c>
      <c r="W16" s="98">
        <f t="shared" si="15"/>
        <v>929.78937007874026</v>
      </c>
      <c r="X16" s="98">
        <f t="shared" si="15"/>
        <v>1115.7472440944882</v>
      </c>
      <c r="Y16" s="98">
        <f t="shared" si="15"/>
        <v>1487.6629921259844</v>
      </c>
      <c r="Z16" s="99">
        <f t="shared" si="3"/>
        <v>1859.5787401574805</v>
      </c>
      <c r="AA16" s="100">
        <f t="shared" si="3"/>
        <v>2231.4944881889764</v>
      </c>
      <c r="AB16" s="98">
        <f t="shared" si="16"/>
        <v>7438.3149606299221</v>
      </c>
      <c r="AC16" s="98">
        <f t="shared" si="16"/>
        <v>14876.629921259844</v>
      </c>
      <c r="AD16" s="98">
        <f t="shared" si="16"/>
        <v>18595.787401574806</v>
      </c>
      <c r="AE16" s="98">
        <f t="shared" si="16"/>
        <v>22314.944881889765</v>
      </c>
      <c r="AF16" s="98">
        <f t="shared" si="16"/>
        <v>29753.259842519688</v>
      </c>
      <c r="AG16" s="101">
        <f t="shared" si="16"/>
        <v>37191.574803149611</v>
      </c>
      <c r="AH16" s="98">
        <f t="shared" si="9"/>
        <v>12.219959266802444</v>
      </c>
      <c r="AI16" s="98">
        <f t="shared" si="10"/>
        <v>17.780040733197556</v>
      </c>
      <c r="AJ16" s="98">
        <f t="shared" si="11"/>
        <v>30</v>
      </c>
      <c r="AK16" s="123"/>
      <c r="AL16" s="124"/>
      <c r="AM16" s="124"/>
      <c r="AN16" s="124"/>
      <c r="AO16" s="124"/>
      <c r="AP16" s="124"/>
      <c r="AQ16" s="124"/>
      <c r="AR16" s="124"/>
      <c r="AS16" s="124"/>
      <c r="AT16" s="125"/>
    </row>
    <row r="17" spans="1:46" x14ac:dyDescent="0.35">
      <c r="A17" s="128">
        <v>44659</v>
      </c>
      <c r="B17" s="120">
        <v>14</v>
      </c>
      <c r="C17" s="54">
        <v>4.42</v>
      </c>
      <c r="D17" s="4"/>
      <c r="E17" s="38">
        <v>9.1999999999999993</v>
      </c>
      <c r="F17" s="16" t="s">
        <v>79</v>
      </c>
      <c r="G17" s="38">
        <v>0.442</v>
      </c>
      <c r="H17" s="6" t="s">
        <v>43</v>
      </c>
      <c r="I17" s="6">
        <v>40</v>
      </c>
      <c r="J17" s="52">
        <v>21.3</v>
      </c>
      <c r="K17" s="51">
        <v>150.44999999999999</v>
      </c>
      <c r="L17" s="6">
        <v>9.8800000000000008</v>
      </c>
      <c r="M17" s="38">
        <f t="shared" si="14"/>
        <v>7.0633802816901401</v>
      </c>
      <c r="N17" s="38">
        <f t="shared" si="6"/>
        <v>0.46384976525821597</v>
      </c>
      <c r="O17" s="58">
        <f t="shared" si="7"/>
        <v>6.5669657693585917E-2</v>
      </c>
      <c r="P17" s="35">
        <f t="shared" si="0"/>
        <v>31.220140845070418</v>
      </c>
      <c r="Q17" s="4"/>
      <c r="R17" s="4"/>
      <c r="U17" s="43">
        <f t="shared" si="15"/>
        <v>0.70633802816901403</v>
      </c>
      <c r="V17" s="44">
        <f t="shared" si="15"/>
        <v>1.4126760563380281</v>
      </c>
      <c r="W17" s="44">
        <f t="shared" si="15"/>
        <v>1.7658450704225352</v>
      </c>
      <c r="X17" s="44">
        <f t="shared" si="15"/>
        <v>2.1190140845070422</v>
      </c>
      <c r="Y17" s="44">
        <f t="shared" si="15"/>
        <v>2.8253521126760561</v>
      </c>
      <c r="Z17" s="78">
        <f t="shared" si="3"/>
        <v>3.5316901408450705</v>
      </c>
      <c r="AA17" s="80">
        <f t="shared" si="3"/>
        <v>4.2380281690140844</v>
      </c>
      <c r="AB17" s="44">
        <f t="shared" si="16"/>
        <v>14.12676056338028</v>
      </c>
      <c r="AC17" s="44">
        <f t="shared" si="16"/>
        <v>28.25352112676056</v>
      </c>
      <c r="AD17" s="44">
        <f t="shared" si="16"/>
        <v>35.316901408450704</v>
      </c>
      <c r="AE17" s="44">
        <f t="shared" si="16"/>
        <v>42.380281690140841</v>
      </c>
      <c r="AF17" s="44">
        <f t="shared" si="16"/>
        <v>56.507042253521121</v>
      </c>
      <c r="AG17" s="45">
        <f t="shared" si="16"/>
        <v>70.633802816901408</v>
      </c>
      <c r="AH17" s="44">
        <f t="shared" si="9"/>
        <v>13.574660633484163</v>
      </c>
      <c r="AI17" s="44">
        <f t="shared" si="10"/>
        <v>16.425339366515836</v>
      </c>
      <c r="AJ17" s="44">
        <f t="shared" si="11"/>
        <v>30</v>
      </c>
      <c r="AK17" s="70"/>
      <c r="AL17" s="71"/>
      <c r="AM17" s="71"/>
      <c r="AN17" s="71"/>
      <c r="AO17" s="71"/>
      <c r="AP17" s="71"/>
      <c r="AQ17" s="71"/>
      <c r="AR17" s="71"/>
      <c r="AS17" s="71"/>
      <c r="AT17" s="67"/>
    </row>
    <row r="18" spans="1:46" s="103" customFormat="1" x14ac:dyDescent="0.35">
      <c r="A18" s="128">
        <v>44652</v>
      </c>
      <c r="B18" s="120">
        <v>15</v>
      </c>
      <c r="C18" s="121">
        <v>13.3</v>
      </c>
      <c r="D18" s="120"/>
      <c r="E18" s="91">
        <v>19.899999999999999</v>
      </c>
      <c r="F18" s="122" t="s">
        <v>79</v>
      </c>
      <c r="G18" s="91">
        <v>1.33</v>
      </c>
      <c r="H18" s="88" t="s">
        <v>44</v>
      </c>
      <c r="I18" s="88">
        <v>30</v>
      </c>
      <c r="J18" s="89">
        <v>25</v>
      </c>
      <c r="K18" s="90">
        <v>922.2</v>
      </c>
      <c r="L18" s="88">
        <v>13.01</v>
      </c>
      <c r="M18" s="91">
        <f t="shared" si="14"/>
        <v>36.888000000000005</v>
      </c>
      <c r="N18" s="91">
        <f t="shared" si="6"/>
        <v>0.52039999999999997</v>
      </c>
      <c r="O18" s="92">
        <f t="shared" si="7"/>
        <v>1.4107568857080892E-2</v>
      </c>
      <c r="P18" s="93">
        <f t="shared" si="0"/>
        <v>490.61040000000008</v>
      </c>
      <c r="Q18" s="120"/>
      <c r="R18" s="120"/>
      <c r="U18" s="97">
        <f t="shared" si="15"/>
        <v>3.6888000000000005</v>
      </c>
      <c r="V18" s="98">
        <f t="shared" si="15"/>
        <v>7.377600000000001</v>
      </c>
      <c r="W18" s="98">
        <f t="shared" si="15"/>
        <v>9.2220000000000013</v>
      </c>
      <c r="X18" s="98">
        <f t="shared" si="15"/>
        <v>11.066400000000002</v>
      </c>
      <c r="Y18" s="98">
        <f t="shared" si="15"/>
        <v>14.755200000000002</v>
      </c>
      <c r="Z18" s="99">
        <f t="shared" si="3"/>
        <v>18.444000000000003</v>
      </c>
      <c r="AA18" s="100">
        <f t="shared" si="3"/>
        <v>22.132800000000003</v>
      </c>
      <c r="AB18" s="98">
        <f t="shared" si="16"/>
        <v>73.77600000000001</v>
      </c>
      <c r="AC18" s="98">
        <f t="shared" si="16"/>
        <v>147.55200000000002</v>
      </c>
      <c r="AD18" s="98">
        <f t="shared" si="16"/>
        <v>184.44000000000003</v>
      </c>
      <c r="AE18" s="98">
        <f t="shared" si="16"/>
        <v>221.32800000000003</v>
      </c>
      <c r="AF18" s="98">
        <f t="shared" si="16"/>
        <v>295.10400000000004</v>
      </c>
      <c r="AG18" s="101">
        <f t="shared" si="16"/>
        <v>368.88000000000005</v>
      </c>
      <c r="AH18" s="98">
        <f t="shared" si="9"/>
        <v>4.511278195488722</v>
      </c>
      <c r="AI18" s="98">
        <f t="shared" si="10"/>
        <v>25.488721804511279</v>
      </c>
      <c r="AJ18" s="98">
        <f t="shared" si="11"/>
        <v>30</v>
      </c>
      <c r="AK18" s="123"/>
      <c r="AL18" s="124"/>
      <c r="AM18" s="124"/>
      <c r="AN18" s="124"/>
      <c r="AO18" s="124"/>
      <c r="AP18" s="124"/>
      <c r="AQ18" s="124"/>
      <c r="AR18" s="124"/>
      <c r="AS18" s="124"/>
      <c r="AT18" s="125"/>
    </row>
    <row r="19" spans="1:46" s="103" customFormat="1" x14ac:dyDescent="0.35">
      <c r="A19" s="128">
        <v>44652</v>
      </c>
      <c r="B19" s="126">
        <v>16</v>
      </c>
      <c r="C19" s="121">
        <v>240</v>
      </c>
      <c r="D19" s="126" t="s">
        <v>11</v>
      </c>
      <c r="E19" s="127">
        <v>290.39</v>
      </c>
      <c r="F19" s="122" t="s">
        <v>78</v>
      </c>
      <c r="G19" s="91">
        <v>24</v>
      </c>
      <c r="H19" s="88" t="s">
        <v>45</v>
      </c>
      <c r="I19" s="88">
        <v>25</v>
      </c>
      <c r="J19" s="89">
        <v>28.8</v>
      </c>
      <c r="K19" s="90">
        <v>3409092</v>
      </c>
      <c r="L19" s="88">
        <v>209830.05</v>
      </c>
      <c r="M19" s="91">
        <f>K19/J19</f>
        <v>118371.25</v>
      </c>
      <c r="N19" s="91">
        <f t="shared" si="6"/>
        <v>7285.7656249999991</v>
      </c>
      <c r="O19" s="92">
        <f t="shared" si="7"/>
        <v>6.1550128303958937E-2</v>
      </c>
      <c r="P19" s="93">
        <f t="shared" si="0"/>
        <v>28409100</v>
      </c>
      <c r="Q19" s="120"/>
      <c r="R19" s="120"/>
      <c r="U19" s="97">
        <f t="shared" si="15"/>
        <v>11837.125</v>
      </c>
      <c r="V19" s="98">
        <f t="shared" si="15"/>
        <v>23674.25</v>
      </c>
      <c r="W19" s="98">
        <f t="shared" si="15"/>
        <v>29592.8125</v>
      </c>
      <c r="X19" s="98">
        <f t="shared" si="15"/>
        <v>35511.375</v>
      </c>
      <c r="Y19" s="98">
        <f t="shared" si="15"/>
        <v>47348.5</v>
      </c>
      <c r="Z19" s="99">
        <f t="shared" si="3"/>
        <v>59185.625</v>
      </c>
      <c r="AA19" s="100">
        <f t="shared" si="3"/>
        <v>71022.75</v>
      </c>
      <c r="AB19" s="98">
        <f t="shared" si="16"/>
        <v>236742.5</v>
      </c>
      <c r="AC19" s="98">
        <f t="shared" si="16"/>
        <v>473485</v>
      </c>
      <c r="AD19" s="98">
        <f t="shared" si="16"/>
        <v>591856.25</v>
      </c>
      <c r="AE19" s="98">
        <f t="shared" si="16"/>
        <v>710227.5</v>
      </c>
      <c r="AF19" s="98">
        <f t="shared" si="16"/>
        <v>946970</v>
      </c>
      <c r="AG19" s="101">
        <f t="shared" si="16"/>
        <v>1183712.5</v>
      </c>
      <c r="AH19" s="98">
        <f t="shared" si="9"/>
        <v>0.25</v>
      </c>
      <c r="AI19" s="98">
        <f t="shared" si="10"/>
        <v>29.75</v>
      </c>
      <c r="AJ19" s="98">
        <f t="shared" si="11"/>
        <v>30</v>
      </c>
      <c r="AK19" s="123"/>
      <c r="AL19" s="124"/>
      <c r="AM19" s="124"/>
      <c r="AN19" s="124"/>
      <c r="AO19" s="124"/>
      <c r="AP19" s="124"/>
      <c r="AQ19" s="124"/>
      <c r="AR19" s="124"/>
      <c r="AS19" s="124"/>
      <c r="AT19" s="125"/>
    </row>
    <row r="20" spans="1:46" s="103" customFormat="1" x14ac:dyDescent="0.35">
      <c r="A20" s="128">
        <v>44657</v>
      </c>
      <c r="B20" s="120">
        <v>17</v>
      </c>
      <c r="C20" s="121">
        <v>5.62</v>
      </c>
      <c r="D20" s="120"/>
      <c r="E20" s="91">
        <v>9.6999999999999993</v>
      </c>
      <c r="F20" s="122" t="s">
        <v>79</v>
      </c>
      <c r="G20" s="91">
        <v>0.56200000000000006</v>
      </c>
      <c r="H20" s="88" t="s">
        <v>46</v>
      </c>
      <c r="I20" s="88">
        <v>20</v>
      </c>
      <c r="J20" s="89">
        <v>16.2</v>
      </c>
      <c r="K20" s="90">
        <v>3592.68</v>
      </c>
      <c r="L20" s="88">
        <v>1440.96</v>
      </c>
      <c r="M20" s="91">
        <f t="shared" si="14"/>
        <v>221.77037037037036</v>
      </c>
      <c r="N20" s="91">
        <f t="shared" si="6"/>
        <v>88.94814814814815</v>
      </c>
      <c r="O20" s="92">
        <f t="shared" si="7"/>
        <v>0.40108220047429777</v>
      </c>
      <c r="P20" s="93">
        <f t="shared" si="0"/>
        <v>1246.3494814814815</v>
      </c>
      <c r="Q20" s="120"/>
      <c r="R20" s="120"/>
      <c r="U20" s="97">
        <f t="shared" si="15"/>
        <v>22.177037037037035</v>
      </c>
      <c r="V20" s="98">
        <f t="shared" si="15"/>
        <v>44.35407407407407</v>
      </c>
      <c r="W20" s="98">
        <f t="shared" si="15"/>
        <v>55.44259259259259</v>
      </c>
      <c r="X20" s="98">
        <f t="shared" si="15"/>
        <v>66.531111111111116</v>
      </c>
      <c r="Y20" s="98">
        <f t="shared" si="15"/>
        <v>88.70814814814814</v>
      </c>
      <c r="Z20" s="99">
        <f t="shared" si="3"/>
        <v>110.88518518518518</v>
      </c>
      <c r="AA20" s="100">
        <f t="shared" si="3"/>
        <v>133.06222222222223</v>
      </c>
      <c r="AB20" s="98">
        <f t="shared" si="16"/>
        <v>443.54074074074072</v>
      </c>
      <c r="AC20" s="98">
        <f t="shared" si="16"/>
        <v>887.08148148148143</v>
      </c>
      <c r="AD20" s="98">
        <f t="shared" si="16"/>
        <v>1108.8518518518517</v>
      </c>
      <c r="AE20" s="98">
        <f t="shared" si="16"/>
        <v>1330.6222222222223</v>
      </c>
      <c r="AF20" s="98">
        <f t="shared" si="16"/>
        <v>1774.1629629629629</v>
      </c>
      <c r="AG20" s="101">
        <f t="shared" si="16"/>
        <v>2217.7037037037035</v>
      </c>
      <c r="AH20" s="98">
        <f t="shared" si="9"/>
        <v>10.676156583629894</v>
      </c>
      <c r="AI20" s="98">
        <f t="shared" si="10"/>
        <v>19.323843416370106</v>
      </c>
      <c r="AJ20" s="98">
        <f t="shared" si="11"/>
        <v>30</v>
      </c>
      <c r="AK20" s="123"/>
      <c r="AL20" s="124"/>
      <c r="AM20" s="124"/>
      <c r="AN20" s="124"/>
      <c r="AO20" s="124"/>
      <c r="AP20" s="124"/>
      <c r="AQ20" s="124"/>
      <c r="AR20" s="124"/>
      <c r="AS20" s="124"/>
      <c r="AT20" s="125"/>
    </row>
    <row r="21" spans="1:46" s="103" customFormat="1" x14ac:dyDescent="0.35">
      <c r="A21" s="128">
        <v>44652</v>
      </c>
      <c r="B21" s="120">
        <v>18</v>
      </c>
      <c r="C21" s="121">
        <v>13.5</v>
      </c>
      <c r="D21" s="120"/>
      <c r="E21" s="91">
        <v>18.899999999999999</v>
      </c>
      <c r="F21" s="122" t="s">
        <v>79</v>
      </c>
      <c r="G21" s="91">
        <v>1.35</v>
      </c>
      <c r="H21" s="88" t="s">
        <v>47</v>
      </c>
      <c r="I21" s="88">
        <v>30</v>
      </c>
      <c r="J21" s="89">
        <v>23.1</v>
      </c>
      <c r="K21" s="90">
        <v>10732.58</v>
      </c>
      <c r="L21" s="88">
        <v>1665.99</v>
      </c>
      <c r="M21" s="91">
        <f t="shared" si="14"/>
        <v>464.61385281385276</v>
      </c>
      <c r="N21" s="91">
        <f t="shared" si="6"/>
        <v>72.120779220779212</v>
      </c>
      <c r="O21" s="92">
        <f t="shared" si="7"/>
        <v>0.15522735446649361</v>
      </c>
      <c r="P21" s="93">
        <f t="shared" si="0"/>
        <v>6272.2870129870125</v>
      </c>
      <c r="Q21" s="120"/>
      <c r="R21" s="120"/>
      <c r="U21" s="97">
        <f t="shared" si="15"/>
        <v>46.461385281385276</v>
      </c>
      <c r="V21" s="98">
        <f t="shared" si="15"/>
        <v>92.922770562770552</v>
      </c>
      <c r="W21" s="98">
        <f t="shared" si="15"/>
        <v>116.15346320346319</v>
      </c>
      <c r="X21" s="98">
        <f t="shared" si="15"/>
        <v>139.38415584415583</v>
      </c>
      <c r="Y21" s="98">
        <f t="shared" si="15"/>
        <v>185.8455411255411</v>
      </c>
      <c r="Z21" s="99">
        <f t="shared" si="3"/>
        <v>232.30692640692638</v>
      </c>
      <c r="AA21" s="100">
        <f t="shared" si="3"/>
        <v>278.76831168831166</v>
      </c>
      <c r="AB21" s="98">
        <f t="shared" si="16"/>
        <v>929.22770562770552</v>
      </c>
      <c r="AC21" s="98">
        <f t="shared" si="16"/>
        <v>1858.455411255411</v>
      </c>
      <c r="AD21" s="98">
        <f t="shared" si="16"/>
        <v>2323.0692640692637</v>
      </c>
      <c r="AE21" s="98">
        <f t="shared" si="16"/>
        <v>2787.6831168831168</v>
      </c>
      <c r="AF21" s="98">
        <f t="shared" si="16"/>
        <v>3716.9108225108221</v>
      </c>
      <c r="AG21" s="101">
        <f t="shared" si="16"/>
        <v>4646.1385281385274</v>
      </c>
      <c r="AH21" s="98">
        <f t="shared" si="9"/>
        <v>4.4444444444444446</v>
      </c>
      <c r="AI21" s="98">
        <f t="shared" si="10"/>
        <v>25.555555555555557</v>
      </c>
      <c r="AJ21" s="98">
        <f t="shared" si="11"/>
        <v>30</v>
      </c>
      <c r="AK21" s="123"/>
      <c r="AL21" s="124"/>
      <c r="AM21" s="124"/>
      <c r="AN21" s="124"/>
      <c r="AO21" s="124"/>
      <c r="AP21" s="124"/>
      <c r="AQ21" s="124"/>
      <c r="AR21" s="124"/>
      <c r="AS21" s="124"/>
      <c r="AT21" s="125"/>
    </row>
    <row r="22" spans="1:46" x14ac:dyDescent="0.35">
      <c r="A22" s="128">
        <v>44659</v>
      </c>
      <c r="B22" s="120">
        <v>19</v>
      </c>
      <c r="C22" s="54">
        <v>6.68</v>
      </c>
      <c r="D22" s="4"/>
      <c r="E22" s="38">
        <v>11.1</v>
      </c>
      <c r="F22" s="16" t="s">
        <v>79</v>
      </c>
      <c r="G22" s="38">
        <v>0.66800000000000004</v>
      </c>
      <c r="H22" s="6" t="s">
        <v>48</v>
      </c>
      <c r="I22" s="6">
        <v>20</v>
      </c>
      <c r="J22" s="52">
        <v>21</v>
      </c>
      <c r="K22" s="51">
        <v>423.41</v>
      </c>
      <c r="L22" s="6">
        <v>287.05</v>
      </c>
      <c r="M22" s="38">
        <f t="shared" si="14"/>
        <v>20.162380952380953</v>
      </c>
      <c r="N22" s="38">
        <f t="shared" si="6"/>
        <v>13.669047619047619</v>
      </c>
      <c r="O22" s="58">
        <f t="shared" si="7"/>
        <v>0.67794808814151764</v>
      </c>
      <c r="P22" s="35">
        <f t="shared" si="0"/>
        <v>134.68470476190475</v>
      </c>
      <c r="Q22" s="4"/>
      <c r="R22" s="4"/>
      <c r="U22" s="43">
        <f t="shared" si="15"/>
        <v>2.0162380952380952</v>
      </c>
      <c r="V22" s="44">
        <f t="shared" si="15"/>
        <v>4.0324761904761903</v>
      </c>
      <c r="W22" s="44">
        <f t="shared" si="15"/>
        <v>5.0405952380952384</v>
      </c>
      <c r="X22" s="44">
        <f t="shared" si="15"/>
        <v>6.0487142857142855</v>
      </c>
      <c r="Y22" s="44">
        <f t="shared" si="15"/>
        <v>8.0649523809523807</v>
      </c>
      <c r="Z22" s="78">
        <f t="shared" si="3"/>
        <v>10.081190476190477</v>
      </c>
      <c r="AA22" s="80">
        <f t="shared" si="3"/>
        <v>12.097428571428571</v>
      </c>
      <c r="AB22" s="44">
        <f t="shared" si="16"/>
        <v>40.324761904761907</v>
      </c>
      <c r="AC22" s="44">
        <f t="shared" si="16"/>
        <v>80.649523809523814</v>
      </c>
      <c r="AD22" s="44">
        <f t="shared" si="16"/>
        <v>100.81190476190477</v>
      </c>
      <c r="AE22" s="44">
        <f t="shared" si="16"/>
        <v>120.97428571428571</v>
      </c>
      <c r="AF22" s="44">
        <f t="shared" si="16"/>
        <v>161.29904761904763</v>
      </c>
      <c r="AG22" s="45">
        <f t="shared" si="16"/>
        <v>201.62380952380954</v>
      </c>
      <c r="AH22" s="44">
        <f t="shared" si="9"/>
        <v>8.9820359281437128</v>
      </c>
      <c r="AI22" s="44">
        <f t="shared" si="10"/>
        <v>21.017964071856287</v>
      </c>
      <c r="AJ22" s="44">
        <f t="shared" si="11"/>
        <v>30</v>
      </c>
      <c r="AK22" s="70"/>
      <c r="AL22" s="71"/>
      <c r="AM22" s="71"/>
      <c r="AN22" s="71"/>
      <c r="AO22" s="71"/>
      <c r="AP22" s="71"/>
      <c r="AQ22" s="71"/>
      <c r="AR22" s="71"/>
      <c r="AS22" s="71"/>
      <c r="AT22" s="67"/>
    </row>
    <row r="23" spans="1:46" s="103" customFormat="1" x14ac:dyDescent="0.35">
      <c r="A23" s="128">
        <v>44652</v>
      </c>
      <c r="B23" s="120">
        <v>20</v>
      </c>
      <c r="C23" s="121">
        <v>25.3</v>
      </c>
      <c r="D23" s="120"/>
      <c r="E23" s="91">
        <v>50.9</v>
      </c>
      <c r="F23" s="122" t="s">
        <v>79</v>
      </c>
      <c r="G23" s="91">
        <v>2.5299999999999998</v>
      </c>
      <c r="H23" s="88" t="s">
        <v>49</v>
      </c>
      <c r="I23" s="88">
        <v>40</v>
      </c>
      <c r="J23" s="89">
        <v>27.8</v>
      </c>
      <c r="K23" s="90">
        <v>1143.3900000000001</v>
      </c>
      <c r="L23" s="88">
        <v>526.97</v>
      </c>
      <c r="M23" s="91">
        <f t="shared" si="14"/>
        <v>41.129136690647485</v>
      </c>
      <c r="N23" s="91">
        <f t="shared" si="6"/>
        <v>18.955755395683454</v>
      </c>
      <c r="O23" s="92">
        <f t="shared" si="7"/>
        <v>0.46088386289892336</v>
      </c>
      <c r="P23" s="93">
        <f t="shared" si="0"/>
        <v>1040.5671582733814</v>
      </c>
      <c r="Q23" s="120"/>
      <c r="R23" s="120"/>
      <c r="U23" s="97">
        <f t="shared" si="15"/>
        <v>4.1129136690647483</v>
      </c>
      <c r="V23" s="98">
        <f t="shared" si="15"/>
        <v>8.2258273381294966</v>
      </c>
      <c r="W23" s="98">
        <f t="shared" si="15"/>
        <v>10.282284172661871</v>
      </c>
      <c r="X23" s="98">
        <f t="shared" si="15"/>
        <v>12.338741007194246</v>
      </c>
      <c r="Y23" s="98">
        <f t="shared" si="15"/>
        <v>16.451654676258993</v>
      </c>
      <c r="Z23" s="99">
        <f t="shared" si="3"/>
        <v>20.564568345323742</v>
      </c>
      <c r="AA23" s="100">
        <f t="shared" si="3"/>
        <v>24.677482014388492</v>
      </c>
      <c r="AB23" s="98">
        <f t="shared" si="16"/>
        <v>82.25827338129497</v>
      </c>
      <c r="AC23" s="98">
        <f t="shared" si="16"/>
        <v>164.51654676258994</v>
      </c>
      <c r="AD23" s="98">
        <f t="shared" si="16"/>
        <v>205.64568345323744</v>
      </c>
      <c r="AE23" s="98">
        <f t="shared" si="16"/>
        <v>246.77482014388491</v>
      </c>
      <c r="AF23" s="98">
        <f t="shared" si="16"/>
        <v>329.03309352517988</v>
      </c>
      <c r="AG23" s="101">
        <f t="shared" si="16"/>
        <v>411.29136690647488</v>
      </c>
      <c r="AH23" s="98">
        <f t="shared" si="9"/>
        <v>2.3715415019762847</v>
      </c>
      <c r="AI23" s="98">
        <f t="shared" si="10"/>
        <v>27.628458498023715</v>
      </c>
      <c r="AJ23" s="98">
        <f t="shared" si="11"/>
        <v>30</v>
      </c>
      <c r="AK23" s="123"/>
      <c r="AL23" s="124"/>
      <c r="AM23" s="124"/>
      <c r="AN23" s="124"/>
      <c r="AO23" s="124"/>
      <c r="AP23" s="124"/>
      <c r="AQ23" s="124"/>
      <c r="AR23" s="124"/>
      <c r="AS23" s="124"/>
      <c r="AT23" s="125"/>
    </row>
    <row r="24" spans="1:46" x14ac:dyDescent="0.35">
      <c r="A24" s="128">
        <v>44659</v>
      </c>
      <c r="B24" s="126">
        <v>21</v>
      </c>
      <c r="C24" s="54">
        <v>344</v>
      </c>
      <c r="D24" s="15" t="s">
        <v>12</v>
      </c>
      <c r="E24" s="55">
        <v>479.68</v>
      </c>
      <c r="F24" s="16" t="s">
        <v>78</v>
      </c>
      <c r="G24" s="38">
        <v>34.4</v>
      </c>
      <c r="H24" s="6" t="s">
        <v>50</v>
      </c>
      <c r="I24" s="6">
        <v>30</v>
      </c>
      <c r="J24" s="52">
        <v>26.4</v>
      </c>
      <c r="K24" s="51">
        <v>518.34</v>
      </c>
      <c r="L24" s="6">
        <v>59.04</v>
      </c>
      <c r="M24" s="38">
        <f t="shared" si="14"/>
        <v>19.634090909090911</v>
      </c>
      <c r="N24" s="38">
        <f t="shared" si="6"/>
        <v>2.2363636363636363</v>
      </c>
      <c r="O24" s="58">
        <f t="shared" si="7"/>
        <v>0.11390207199907396</v>
      </c>
      <c r="P24" s="35">
        <f t="shared" si="0"/>
        <v>6754.1272727272735</v>
      </c>
      <c r="Q24" s="4"/>
      <c r="R24" s="4"/>
      <c r="U24" s="43">
        <f t="shared" ref="U24:Y38" si="17">($M24*U$3)/20</f>
        <v>1.9634090909090911</v>
      </c>
      <c r="V24" s="44">
        <f t="shared" si="17"/>
        <v>3.9268181818181822</v>
      </c>
      <c r="W24" s="44">
        <f t="shared" si="17"/>
        <v>4.9085227272727279</v>
      </c>
      <c r="X24" s="44">
        <f t="shared" si="17"/>
        <v>5.8902272727272731</v>
      </c>
      <c r="Y24" s="44">
        <f t="shared" si="17"/>
        <v>7.8536363636363644</v>
      </c>
      <c r="Z24" s="78">
        <f t="shared" ref="Z24:AA38" si="18">($M24*Z$3)/20</f>
        <v>9.8170454545454557</v>
      </c>
      <c r="AA24" s="80">
        <f t="shared" si="18"/>
        <v>11.780454545454546</v>
      </c>
      <c r="AB24" s="44">
        <f t="shared" ref="AB24:AG38" si="19">$M24*AB$3</f>
        <v>39.268181818181823</v>
      </c>
      <c r="AC24" s="44">
        <f t="shared" si="19"/>
        <v>78.536363636363646</v>
      </c>
      <c r="AD24" s="44">
        <f t="shared" si="19"/>
        <v>98.170454545454561</v>
      </c>
      <c r="AE24" s="44">
        <f t="shared" si="19"/>
        <v>117.80454545454546</v>
      </c>
      <c r="AF24" s="44">
        <f t="shared" si="19"/>
        <v>157.07272727272729</v>
      </c>
      <c r="AG24" s="45">
        <f t="shared" si="19"/>
        <v>196.34090909090912</v>
      </c>
      <c r="AH24" s="44">
        <f t="shared" si="9"/>
        <v>0.1744186046511628</v>
      </c>
      <c r="AI24" s="44">
        <f t="shared" si="10"/>
        <v>29.825581395348838</v>
      </c>
      <c r="AJ24" s="44">
        <f t="shared" si="11"/>
        <v>30</v>
      </c>
      <c r="AK24" s="70"/>
      <c r="AL24" s="71"/>
      <c r="AM24" s="71"/>
      <c r="AN24" s="71"/>
      <c r="AO24" s="71"/>
      <c r="AP24" s="71"/>
      <c r="AQ24" s="71"/>
      <c r="AR24" s="71"/>
      <c r="AS24" s="71"/>
      <c r="AT24" s="67"/>
    </row>
    <row r="25" spans="1:46" x14ac:dyDescent="0.35">
      <c r="A25" s="128">
        <v>44659</v>
      </c>
      <c r="B25" s="120">
        <v>22</v>
      </c>
      <c r="C25" s="54">
        <v>7.41</v>
      </c>
      <c r="D25" s="4"/>
      <c r="E25" s="38">
        <v>12.5</v>
      </c>
      <c r="F25" s="16" t="s">
        <v>79</v>
      </c>
      <c r="G25" s="38">
        <v>0.74099999999999999</v>
      </c>
      <c r="H25" s="6" t="s">
        <v>51</v>
      </c>
      <c r="I25" s="6">
        <v>40</v>
      </c>
      <c r="J25" s="52">
        <v>26.6</v>
      </c>
      <c r="K25" s="51">
        <v>396.06</v>
      </c>
      <c r="L25" s="6">
        <v>115.64</v>
      </c>
      <c r="M25" s="38">
        <f t="shared" si="14"/>
        <v>14.889473684210525</v>
      </c>
      <c r="N25" s="38">
        <f t="shared" si="6"/>
        <v>4.3473684210526313</v>
      </c>
      <c r="O25" s="58">
        <f t="shared" si="7"/>
        <v>0.29197596323789327</v>
      </c>
      <c r="P25" s="35">
        <f t="shared" si="0"/>
        <v>110.33099999999999</v>
      </c>
      <c r="Q25" s="4"/>
      <c r="R25" s="4"/>
      <c r="U25" s="43">
        <f t="shared" si="17"/>
        <v>1.4889473684210526</v>
      </c>
      <c r="V25" s="44">
        <f t="shared" si="17"/>
        <v>2.9778947368421052</v>
      </c>
      <c r="W25" s="44">
        <f t="shared" si="17"/>
        <v>3.7223684210526313</v>
      </c>
      <c r="X25" s="44">
        <f t="shared" si="17"/>
        <v>4.4668421052631571</v>
      </c>
      <c r="Y25" s="44">
        <f t="shared" si="17"/>
        <v>5.9557894736842103</v>
      </c>
      <c r="Z25" s="78">
        <f t="shared" si="18"/>
        <v>7.4447368421052627</v>
      </c>
      <c r="AA25" s="80">
        <f t="shared" si="18"/>
        <v>8.9336842105263141</v>
      </c>
      <c r="AB25" s="44">
        <f t="shared" si="19"/>
        <v>29.778947368421051</v>
      </c>
      <c r="AC25" s="44">
        <f t="shared" si="19"/>
        <v>59.557894736842101</v>
      </c>
      <c r="AD25" s="44">
        <f t="shared" si="19"/>
        <v>74.44736842105263</v>
      </c>
      <c r="AE25" s="44">
        <f t="shared" si="19"/>
        <v>89.336842105263145</v>
      </c>
      <c r="AF25" s="44">
        <f t="shared" si="19"/>
        <v>119.1157894736842</v>
      </c>
      <c r="AG25" s="45">
        <f t="shared" si="19"/>
        <v>148.89473684210526</v>
      </c>
      <c r="AH25" s="44">
        <f t="shared" si="9"/>
        <v>8.097165991902834</v>
      </c>
      <c r="AI25" s="44">
        <f t="shared" si="10"/>
        <v>21.902834008097166</v>
      </c>
      <c r="AJ25" s="44">
        <f t="shared" si="11"/>
        <v>30</v>
      </c>
      <c r="AK25" s="70"/>
      <c r="AL25" s="71"/>
      <c r="AM25" s="71"/>
      <c r="AN25" s="71"/>
      <c r="AO25" s="71"/>
      <c r="AP25" s="71"/>
      <c r="AQ25" s="71"/>
      <c r="AR25" s="71"/>
      <c r="AS25" s="71"/>
      <c r="AT25" s="67"/>
    </row>
    <row r="26" spans="1:46" x14ac:dyDescent="0.35">
      <c r="A26" s="128">
        <v>44659</v>
      </c>
      <c r="B26" s="120">
        <v>23</v>
      </c>
      <c r="C26" s="54">
        <v>7.31</v>
      </c>
      <c r="D26" s="4"/>
      <c r="E26" s="38">
        <v>11.6</v>
      </c>
      <c r="F26" s="16" t="s">
        <v>79</v>
      </c>
      <c r="G26" s="38">
        <v>0.73099999999999998</v>
      </c>
      <c r="H26" s="6" t="s">
        <v>52</v>
      </c>
      <c r="I26" s="6">
        <v>40</v>
      </c>
      <c r="J26" s="52">
        <v>29.9</v>
      </c>
      <c r="K26" s="51">
        <v>708.27</v>
      </c>
      <c r="L26" s="6">
        <v>58.85</v>
      </c>
      <c r="M26" s="38">
        <f t="shared" si="14"/>
        <v>23.687959866220737</v>
      </c>
      <c r="N26" s="38">
        <f t="shared" si="6"/>
        <v>1.968227424749164</v>
      </c>
      <c r="O26" s="58">
        <f t="shared" si="7"/>
        <v>8.3089782145227109E-2</v>
      </c>
      <c r="P26" s="35">
        <f t="shared" si="0"/>
        <v>173.15898662207357</v>
      </c>
      <c r="Q26" s="4"/>
      <c r="R26" s="4"/>
      <c r="U26" s="43">
        <f t="shared" si="17"/>
        <v>2.3687959866220738</v>
      </c>
      <c r="V26" s="44">
        <f t="shared" si="17"/>
        <v>4.7375919732441476</v>
      </c>
      <c r="W26" s="44">
        <f t="shared" si="17"/>
        <v>5.9219899665551843</v>
      </c>
      <c r="X26" s="44">
        <f t="shared" si="17"/>
        <v>7.106387959866221</v>
      </c>
      <c r="Y26" s="44">
        <f t="shared" si="17"/>
        <v>9.4751839464882952</v>
      </c>
      <c r="Z26" s="78">
        <f t="shared" si="18"/>
        <v>11.843979933110369</v>
      </c>
      <c r="AA26" s="80">
        <f t="shared" si="18"/>
        <v>14.212775919732442</v>
      </c>
      <c r="AB26" s="44">
        <f t="shared" si="19"/>
        <v>47.375919732441474</v>
      </c>
      <c r="AC26" s="44">
        <f t="shared" si="19"/>
        <v>94.751839464882949</v>
      </c>
      <c r="AD26" s="44">
        <f t="shared" si="19"/>
        <v>118.43979933110369</v>
      </c>
      <c r="AE26" s="44">
        <f t="shared" si="19"/>
        <v>142.12775919732442</v>
      </c>
      <c r="AF26" s="44">
        <f t="shared" si="19"/>
        <v>189.5036789297659</v>
      </c>
      <c r="AG26" s="45">
        <f t="shared" si="19"/>
        <v>236.87959866220737</v>
      </c>
      <c r="AH26" s="44">
        <f t="shared" si="9"/>
        <v>8.2079343365253088</v>
      </c>
      <c r="AI26" s="44">
        <f t="shared" si="10"/>
        <v>21.792065663474691</v>
      </c>
      <c r="AJ26" s="44">
        <f t="shared" si="11"/>
        <v>30</v>
      </c>
      <c r="AK26" s="70"/>
      <c r="AL26" s="71"/>
      <c r="AM26" s="71"/>
      <c r="AN26" s="71"/>
      <c r="AO26" s="71"/>
      <c r="AP26" s="71"/>
      <c r="AQ26" s="71"/>
      <c r="AR26" s="71"/>
      <c r="AS26" s="71"/>
      <c r="AT26" s="67"/>
    </row>
    <row r="27" spans="1:46" x14ac:dyDescent="0.35">
      <c r="A27" s="128">
        <v>44673</v>
      </c>
      <c r="B27" s="4">
        <v>24</v>
      </c>
      <c r="C27" s="54" t="e">
        <v>#VALUE!</v>
      </c>
      <c r="D27" s="4"/>
      <c r="E27" s="38">
        <v>5.4</v>
      </c>
      <c r="F27" s="16" t="s">
        <v>79</v>
      </c>
      <c r="G27" s="38" t="s">
        <v>80</v>
      </c>
      <c r="H27" s="6" t="s">
        <v>53</v>
      </c>
      <c r="I27" s="6">
        <v>40</v>
      </c>
      <c r="J27" s="52">
        <v>27.6</v>
      </c>
      <c r="K27" s="51">
        <v>467.79</v>
      </c>
      <c r="L27" s="6">
        <v>343.03</v>
      </c>
      <c r="M27" s="38">
        <f t="shared" si="14"/>
        <v>16.94891304347826</v>
      </c>
      <c r="N27" s="38">
        <f t="shared" si="6"/>
        <v>12.428623188405796</v>
      </c>
      <c r="O27" s="58">
        <f t="shared" si="7"/>
        <v>0.73329912995147395</v>
      </c>
      <c r="P27" s="35" t="e">
        <f t="shared" si="0"/>
        <v>#VALUE!</v>
      </c>
      <c r="Q27" s="4"/>
      <c r="R27" s="4"/>
      <c r="U27" s="43">
        <f t="shared" si="17"/>
        <v>1.694891304347826</v>
      </c>
      <c r="V27" s="44">
        <f t="shared" si="17"/>
        <v>3.389782608695652</v>
      </c>
      <c r="W27" s="44">
        <f t="shared" si="17"/>
        <v>4.2372282608695651</v>
      </c>
      <c r="X27" s="44">
        <f t="shared" si="17"/>
        <v>5.0846739130434786</v>
      </c>
      <c r="Y27" s="44">
        <f t="shared" si="17"/>
        <v>6.7795652173913039</v>
      </c>
      <c r="Z27" s="78">
        <f t="shared" si="18"/>
        <v>8.4744565217391301</v>
      </c>
      <c r="AA27" s="80">
        <f t="shared" si="18"/>
        <v>10.169347826086957</v>
      </c>
      <c r="AB27" s="44">
        <f t="shared" si="19"/>
        <v>33.89782608695652</v>
      </c>
      <c r="AC27" s="44">
        <f t="shared" si="19"/>
        <v>67.795652173913041</v>
      </c>
      <c r="AD27" s="44">
        <f t="shared" si="19"/>
        <v>84.744565217391298</v>
      </c>
      <c r="AE27" s="44">
        <f t="shared" si="19"/>
        <v>101.69347826086957</v>
      </c>
      <c r="AF27" s="44">
        <f t="shared" si="19"/>
        <v>135.59130434782608</v>
      </c>
      <c r="AG27" s="45">
        <f t="shared" si="19"/>
        <v>169.4891304347826</v>
      </c>
      <c r="AH27" s="44" t="e">
        <f t="shared" si="9"/>
        <v>#VALUE!</v>
      </c>
      <c r="AI27" s="44" t="e">
        <f t="shared" si="10"/>
        <v>#VALUE!</v>
      </c>
      <c r="AJ27" s="44">
        <f t="shared" si="11"/>
        <v>30</v>
      </c>
      <c r="AK27" s="70"/>
      <c r="AL27" s="71"/>
      <c r="AM27" s="71"/>
      <c r="AN27" s="71"/>
      <c r="AO27" s="71"/>
      <c r="AP27" s="71"/>
      <c r="AQ27" s="71"/>
      <c r="AR27" s="71"/>
      <c r="AS27" s="71"/>
      <c r="AT27" s="67"/>
    </row>
    <row r="28" spans="1:46" x14ac:dyDescent="0.35">
      <c r="A28" s="128">
        <v>44662</v>
      </c>
      <c r="B28" s="4">
        <v>25</v>
      </c>
      <c r="C28" s="54">
        <v>7.99</v>
      </c>
      <c r="D28" s="4"/>
      <c r="E28" s="38">
        <v>13.2</v>
      </c>
      <c r="F28" s="16" t="s">
        <v>79</v>
      </c>
      <c r="G28" s="38">
        <v>0.79900000000000004</v>
      </c>
      <c r="H28" s="6" t="s">
        <v>54</v>
      </c>
      <c r="I28" s="6">
        <v>40</v>
      </c>
      <c r="J28" s="52">
        <v>27.4</v>
      </c>
      <c r="K28" s="51" t="s">
        <v>33</v>
      </c>
      <c r="L28" s="6" t="s">
        <v>33</v>
      </c>
      <c r="M28" s="38" t="e">
        <f t="shared" si="14"/>
        <v>#VALUE!</v>
      </c>
      <c r="N28" s="38" t="e">
        <f t="shared" si="6"/>
        <v>#VALUE!</v>
      </c>
      <c r="O28" s="58" t="e">
        <f t="shared" si="7"/>
        <v>#VALUE!</v>
      </c>
      <c r="P28" s="35" t="e">
        <f t="shared" si="0"/>
        <v>#VALUE!</v>
      </c>
      <c r="Q28" s="4"/>
      <c r="R28" s="4"/>
      <c r="U28" s="43" t="e">
        <f t="shared" si="17"/>
        <v>#VALUE!</v>
      </c>
      <c r="V28" s="44" t="e">
        <f t="shared" si="17"/>
        <v>#VALUE!</v>
      </c>
      <c r="W28" s="44" t="e">
        <f t="shared" si="17"/>
        <v>#VALUE!</v>
      </c>
      <c r="X28" s="44" t="e">
        <f t="shared" si="17"/>
        <v>#VALUE!</v>
      </c>
      <c r="Y28" s="44" t="e">
        <f t="shared" si="17"/>
        <v>#VALUE!</v>
      </c>
      <c r="Z28" s="78" t="e">
        <f t="shared" si="18"/>
        <v>#VALUE!</v>
      </c>
      <c r="AA28" s="80" t="e">
        <f t="shared" si="18"/>
        <v>#VALUE!</v>
      </c>
      <c r="AB28" s="44" t="e">
        <f t="shared" si="19"/>
        <v>#VALUE!</v>
      </c>
      <c r="AC28" s="44" t="e">
        <f t="shared" si="19"/>
        <v>#VALUE!</v>
      </c>
      <c r="AD28" s="44" t="e">
        <f t="shared" si="19"/>
        <v>#VALUE!</v>
      </c>
      <c r="AE28" s="44" t="e">
        <f t="shared" si="19"/>
        <v>#VALUE!</v>
      </c>
      <c r="AF28" s="44" t="e">
        <f t="shared" si="19"/>
        <v>#VALUE!</v>
      </c>
      <c r="AG28" s="45" t="e">
        <f t="shared" si="19"/>
        <v>#VALUE!</v>
      </c>
      <c r="AH28" s="44">
        <f t="shared" si="9"/>
        <v>7.509386733416771</v>
      </c>
      <c r="AI28" s="44">
        <f t="shared" si="10"/>
        <v>22.490613266583228</v>
      </c>
      <c r="AJ28" s="44">
        <f t="shared" si="11"/>
        <v>30</v>
      </c>
      <c r="AK28" s="70"/>
      <c r="AL28" s="71"/>
      <c r="AM28" s="71"/>
      <c r="AN28" s="71"/>
      <c r="AO28" s="71"/>
      <c r="AP28" s="71"/>
      <c r="AQ28" s="71"/>
      <c r="AR28" s="71"/>
      <c r="AS28" s="71"/>
      <c r="AT28" s="67"/>
    </row>
    <row r="29" spans="1:46" x14ac:dyDescent="0.35">
      <c r="A29" s="128">
        <v>44662</v>
      </c>
      <c r="B29" s="15">
        <v>26</v>
      </c>
      <c r="C29" s="54">
        <v>312</v>
      </c>
      <c r="D29" s="15" t="s">
        <v>13</v>
      </c>
      <c r="E29" s="55">
        <v>370.37</v>
      </c>
      <c r="F29" s="16" t="s">
        <v>78</v>
      </c>
      <c r="G29" s="38">
        <v>31.2</v>
      </c>
      <c r="H29" s="6" t="s">
        <v>55</v>
      </c>
      <c r="I29" s="6">
        <v>40</v>
      </c>
      <c r="J29" s="52">
        <v>29.7</v>
      </c>
      <c r="K29" s="51" t="s">
        <v>33</v>
      </c>
      <c r="L29" s="6" t="s">
        <v>33</v>
      </c>
      <c r="M29" s="38" t="e">
        <f t="shared" si="14"/>
        <v>#VALUE!</v>
      </c>
      <c r="N29" s="38" t="e">
        <f t="shared" si="6"/>
        <v>#VALUE!</v>
      </c>
      <c r="O29" s="58" t="e">
        <f t="shared" si="7"/>
        <v>#VALUE!</v>
      </c>
      <c r="P29" s="35" t="e">
        <f t="shared" si="0"/>
        <v>#VALUE!</v>
      </c>
      <c r="Q29" s="4"/>
      <c r="R29" s="4"/>
      <c r="U29" s="43" t="e">
        <f t="shared" si="17"/>
        <v>#VALUE!</v>
      </c>
      <c r="V29" s="44" t="e">
        <f t="shared" si="17"/>
        <v>#VALUE!</v>
      </c>
      <c r="W29" s="44" t="e">
        <f t="shared" si="17"/>
        <v>#VALUE!</v>
      </c>
      <c r="X29" s="44" t="e">
        <f t="shared" si="17"/>
        <v>#VALUE!</v>
      </c>
      <c r="Y29" s="44" t="e">
        <f t="shared" si="17"/>
        <v>#VALUE!</v>
      </c>
      <c r="Z29" s="78" t="e">
        <f t="shared" si="18"/>
        <v>#VALUE!</v>
      </c>
      <c r="AA29" s="80" t="e">
        <f t="shared" si="18"/>
        <v>#VALUE!</v>
      </c>
      <c r="AB29" s="44" t="e">
        <f t="shared" si="19"/>
        <v>#VALUE!</v>
      </c>
      <c r="AC29" s="44" t="e">
        <f t="shared" si="19"/>
        <v>#VALUE!</v>
      </c>
      <c r="AD29" s="44" t="e">
        <f t="shared" si="19"/>
        <v>#VALUE!</v>
      </c>
      <c r="AE29" s="44" t="e">
        <f t="shared" si="19"/>
        <v>#VALUE!</v>
      </c>
      <c r="AF29" s="44" t="e">
        <f t="shared" si="19"/>
        <v>#VALUE!</v>
      </c>
      <c r="AG29" s="45" t="e">
        <f t="shared" si="19"/>
        <v>#VALUE!</v>
      </c>
      <c r="AH29" s="44">
        <f t="shared" si="9"/>
        <v>0.19230769230769232</v>
      </c>
      <c r="AI29" s="44">
        <f t="shared" si="10"/>
        <v>29.807692307692307</v>
      </c>
      <c r="AJ29" s="44">
        <f t="shared" si="11"/>
        <v>30</v>
      </c>
      <c r="AK29" s="70"/>
      <c r="AL29" s="71"/>
      <c r="AM29" s="71"/>
      <c r="AN29" s="71"/>
      <c r="AO29" s="71"/>
      <c r="AP29" s="71"/>
      <c r="AQ29" s="71"/>
      <c r="AR29" s="71"/>
      <c r="AS29" s="71"/>
      <c r="AT29" s="67"/>
    </row>
    <row r="30" spans="1:46" x14ac:dyDescent="0.35">
      <c r="A30" s="128">
        <v>44673</v>
      </c>
      <c r="B30" s="4">
        <v>27</v>
      </c>
      <c r="C30" s="54">
        <v>2.96</v>
      </c>
      <c r="D30" s="4"/>
      <c r="E30" s="38">
        <v>7.7</v>
      </c>
      <c r="F30" s="16" t="s">
        <v>79</v>
      </c>
      <c r="G30" s="38">
        <v>0.29599999999999999</v>
      </c>
      <c r="H30" s="6" t="s">
        <v>56</v>
      </c>
      <c r="I30" s="6">
        <v>20</v>
      </c>
      <c r="J30" s="52">
        <v>23.4</v>
      </c>
      <c r="K30" s="51">
        <v>2748.61</v>
      </c>
      <c r="L30" s="6">
        <v>586.66999999999996</v>
      </c>
      <c r="M30" s="38">
        <f t="shared" si="14"/>
        <v>117.46196581196583</v>
      </c>
      <c r="N30" s="38">
        <f t="shared" si="6"/>
        <v>25.07136752136752</v>
      </c>
      <c r="O30" s="58">
        <f t="shared" si="7"/>
        <v>0.21344243090143741</v>
      </c>
      <c r="P30" s="35">
        <f t="shared" si="0"/>
        <v>347.68741880341884</v>
      </c>
      <c r="Q30" s="4"/>
      <c r="R30" s="4"/>
      <c r="U30" s="43">
        <f t="shared" si="17"/>
        <v>11.746196581196582</v>
      </c>
      <c r="V30" s="44">
        <f t="shared" si="17"/>
        <v>23.492393162393164</v>
      </c>
      <c r="W30" s="44">
        <f t="shared" si="17"/>
        <v>29.365491452991456</v>
      </c>
      <c r="X30" s="44">
        <f t="shared" si="17"/>
        <v>35.238589743589749</v>
      </c>
      <c r="Y30" s="44">
        <f t="shared" si="17"/>
        <v>46.984786324786327</v>
      </c>
      <c r="Z30" s="78">
        <f t="shared" si="18"/>
        <v>58.730982905982913</v>
      </c>
      <c r="AA30" s="80">
        <f t="shared" si="18"/>
        <v>70.477179487179498</v>
      </c>
      <c r="AB30" s="44">
        <f t="shared" si="19"/>
        <v>234.92393162393165</v>
      </c>
      <c r="AC30" s="44">
        <f t="shared" si="19"/>
        <v>469.8478632478633</v>
      </c>
      <c r="AD30" s="44">
        <f t="shared" si="19"/>
        <v>587.3098290598291</v>
      </c>
      <c r="AE30" s="44">
        <f t="shared" si="19"/>
        <v>704.77179487179501</v>
      </c>
      <c r="AF30" s="44">
        <f t="shared" si="19"/>
        <v>939.6957264957266</v>
      </c>
      <c r="AG30" s="45">
        <f t="shared" si="19"/>
        <v>1174.6196581196582</v>
      </c>
      <c r="AH30" s="44">
        <f t="shared" si="9"/>
        <v>20.27027027027027</v>
      </c>
      <c r="AI30" s="44">
        <f t="shared" si="10"/>
        <v>9.7297297297297298</v>
      </c>
      <c r="AJ30" s="44">
        <f t="shared" si="11"/>
        <v>30</v>
      </c>
      <c r="AK30" s="70"/>
      <c r="AL30" s="71"/>
      <c r="AM30" s="71"/>
      <c r="AN30" s="71"/>
      <c r="AO30" s="71"/>
      <c r="AP30" s="71"/>
      <c r="AQ30" s="71"/>
      <c r="AR30" s="71"/>
      <c r="AS30" s="71"/>
      <c r="AT30" s="67"/>
    </row>
    <row r="31" spans="1:46" x14ac:dyDescent="0.35">
      <c r="A31" s="128">
        <v>44659</v>
      </c>
      <c r="B31" s="120">
        <v>28</v>
      </c>
      <c r="C31" s="54">
        <v>5.42</v>
      </c>
      <c r="D31" s="4" t="s">
        <v>10</v>
      </c>
      <c r="E31" s="38">
        <v>9.4</v>
      </c>
      <c r="F31" s="16" t="s">
        <v>79</v>
      </c>
      <c r="G31" s="38">
        <v>0.54200000000000004</v>
      </c>
      <c r="H31" s="6" t="s">
        <v>57</v>
      </c>
      <c r="I31" s="6">
        <v>35</v>
      </c>
      <c r="J31" s="52">
        <v>27</v>
      </c>
      <c r="K31" s="51">
        <v>1388.85</v>
      </c>
      <c r="L31" s="6">
        <v>145.01</v>
      </c>
      <c r="M31" s="38">
        <f t="shared" si="14"/>
        <v>51.438888888888883</v>
      </c>
      <c r="N31" s="38">
        <f t="shared" si="6"/>
        <v>5.3707407407407404</v>
      </c>
      <c r="O31" s="58">
        <f t="shared" si="7"/>
        <v>0.10441012348345755</v>
      </c>
      <c r="P31" s="35">
        <f t="shared" si="0"/>
        <v>278.79877777777773</v>
      </c>
      <c r="Q31" s="4"/>
      <c r="R31" s="4"/>
      <c r="U31" s="43">
        <f t="shared" si="17"/>
        <v>5.1438888888888883</v>
      </c>
      <c r="V31" s="44">
        <f t="shared" si="17"/>
        <v>10.287777777777777</v>
      </c>
      <c r="W31" s="44">
        <f t="shared" si="17"/>
        <v>12.859722222222221</v>
      </c>
      <c r="X31" s="44">
        <f t="shared" si="17"/>
        <v>15.431666666666667</v>
      </c>
      <c r="Y31" s="44">
        <f t="shared" si="17"/>
        <v>20.575555555555553</v>
      </c>
      <c r="Z31" s="78">
        <f t="shared" si="18"/>
        <v>25.719444444444441</v>
      </c>
      <c r="AA31" s="80">
        <f t="shared" si="18"/>
        <v>30.863333333333333</v>
      </c>
      <c r="AB31" s="44">
        <f t="shared" si="19"/>
        <v>102.87777777777777</v>
      </c>
      <c r="AC31" s="44">
        <f t="shared" si="19"/>
        <v>205.75555555555553</v>
      </c>
      <c r="AD31" s="44">
        <f t="shared" si="19"/>
        <v>257.1944444444444</v>
      </c>
      <c r="AE31" s="44">
        <f t="shared" si="19"/>
        <v>308.63333333333333</v>
      </c>
      <c r="AF31" s="44">
        <f t="shared" si="19"/>
        <v>411.51111111111106</v>
      </c>
      <c r="AG31" s="45">
        <f t="shared" si="19"/>
        <v>514.3888888888888</v>
      </c>
      <c r="AH31" s="44">
        <f t="shared" si="9"/>
        <v>11.07011070110701</v>
      </c>
      <c r="AI31" s="44">
        <f t="shared" si="10"/>
        <v>18.929889298892988</v>
      </c>
      <c r="AJ31" s="44">
        <f t="shared" si="11"/>
        <v>30</v>
      </c>
      <c r="AK31" s="70"/>
      <c r="AL31" s="71"/>
      <c r="AM31" s="71"/>
      <c r="AN31" s="71"/>
      <c r="AO31" s="71"/>
      <c r="AP31" s="71"/>
      <c r="AQ31" s="71"/>
      <c r="AR31" s="71"/>
      <c r="AS31" s="71"/>
      <c r="AT31" s="67"/>
    </row>
    <row r="32" spans="1:46" s="103" customFormat="1" x14ac:dyDescent="0.35">
      <c r="A32" s="128">
        <v>44652</v>
      </c>
      <c r="B32" s="120">
        <v>29</v>
      </c>
      <c r="C32" s="121">
        <v>18.5</v>
      </c>
      <c r="D32" s="120"/>
      <c r="E32" s="91">
        <v>25.4</v>
      </c>
      <c r="F32" s="122" t="s">
        <v>79</v>
      </c>
      <c r="G32" s="91">
        <v>1.85</v>
      </c>
      <c r="H32" s="88" t="s">
        <v>58</v>
      </c>
      <c r="I32" s="88">
        <v>40</v>
      </c>
      <c r="J32" s="89">
        <v>18.600000000000001</v>
      </c>
      <c r="K32" s="90">
        <v>382.7</v>
      </c>
      <c r="L32" s="88">
        <v>51.17</v>
      </c>
      <c r="M32" s="91">
        <f t="shared" si="14"/>
        <v>20.5752688172043</v>
      </c>
      <c r="N32" s="91">
        <f t="shared" si="6"/>
        <v>2.7510752688172042</v>
      </c>
      <c r="O32" s="92">
        <f t="shared" si="7"/>
        <v>0.13370786516853933</v>
      </c>
      <c r="P32" s="93">
        <f t="shared" si="0"/>
        <v>380.64247311827955</v>
      </c>
      <c r="Q32" s="120"/>
      <c r="R32" s="120"/>
      <c r="U32" s="97">
        <f t="shared" si="17"/>
        <v>2.0575268817204302</v>
      </c>
      <c r="V32" s="98">
        <f t="shared" si="17"/>
        <v>4.1150537634408604</v>
      </c>
      <c r="W32" s="98">
        <f t="shared" si="17"/>
        <v>5.143817204301075</v>
      </c>
      <c r="X32" s="98">
        <f t="shared" si="17"/>
        <v>6.1725806451612897</v>
      </c>
      <c r="Y32" s="98">
        <f t="shared" si="17"/>
        <v>8.2301075268817208</v>
      </c>
      <c r="Z32" s="99">
        <f t="shared" si="18"/>
        <v>10.28763440860215</v>
      </c>
      <c r="AA32" s="100">
        <f t="shared" si="18"/>
        <v>12.345161290322579</v>
      </c>
      <c r="AB32" s="98">
        <f t="shared" si="19"/>
        <v>41.1505376344086</v>
      </c>
      <c r="AC32" s="98">
        <f t="shared" si="19"/>
        <v>82.3010752688172</v>
      </c>
      <c r="AD32" s="98">
        <f t="shared" si="19"/>
        <v>102.8763440860215</v>
      </c>
      <c r="AE32" s="98">
        <f t="shared" si="19"/>
        <v>123.45161290322579</v>
      </c>
      <c r="AF32" s="98">
        <f t="shared" si="19"/>
        <v>164.6021505376344</v>
      </c>
      <c r="AG32" s="101">
        <f t="shared" si="19"/>
        <v>205.75268817204301</v>
      </c>
      <c r="AH32" s="98">
        <f t="shared" si="9"/>
        <v>3.2432432432432434</v>
      </c>
      <c r="AI32" s="98">
        <f t="shared" si="10"/>
        <v>26.756756756756758</v>
      </c>
      <c r="AJ32" s="98">
        <f t="shared" si="11"/>
        <v>30</v>
      </c>
      <c r="AK32" s="123"/>
      <c r="AL32" s="124"/>
      <c r="AM32" s="124"/>
      <c r="AN32" s="124"/>
      <c r="AO32" s="124"/>
      <c r="AP32" s="124"/>
      <c r="AQ32" s="124"/>
      <c r="AR32" s="124"/>
      <c r="AS32" s="124"/>
      <c r="AT32" s="125"/>
    </row>
    <row r="33" spans="1:46" x14ac:dyDescent="0.35">
      <c r="A33" s="128">
        <v>44659</v>
      </c>
      <c r="B33" s="120">
        <v>30</v>
      </c>
      <c r="C33" s="54">
        <v>7.87</v>
      </c>
      <c r="D33" s="4"/>
      <c r="E33" s="38">
        <v>12.5</v>
      </c>
      <c r="F33" s="16" t="s">
        <v>79</v>
      </c>
      <c r="G33" s="38">
        <v>0.78700000000000003</v>
      </c>
      <c r="H33" s="6" t="s">
        <v>59</v>
      </c>
      <c r="I33" s="6">
        <v>40</v>
      </c>
      <c r="J33" s="52">
        <v>25</v>
      </c>
      <c r="K33" s="51">
        <v>720.79</v>
      </c>
      <c r="L33" s="6">
        <v>201.87</v>
      </c>
      <c r="M33" s="38">
        <f t="shared" si="14"/>
        <v>28.831599999999998</v>
      </c>
      <c r="N33" s="38">
        <f t="shared" si="6"/>
        <v>8.0747999999999998</v>
      </c>
      <c r="O33" s="58">
        <f t="shared" si="7"/>
        <v>0.28006770349200183</v>
      </c>
      <c r="P33" s="35">
        <f t="shared" si="0"/>
        <v>226.90469199999998</v>
      </c>
      <c r="Q33" s="4"/>
      <c r="R33" s="4"/>
      <c r="U33" s="43">
        <f t="shared" si="17"/>
        <v>2.8831599999999997</v>
      </c>
      <c r="V33" s="44">
        <f t="shared" si="17"/>
        <v>5.7663199999999994</v>
      </c>
      <c r="W33" s="44">
        <f t="shared" si="17"/>
        <v>7.2078999999999995</v>
      </c>
      <c r="X33" s="44">
        <f t="shared" si="17"/>
        <v>8.6494800000000005</v>
      </c>
      <c r="Y33" s="44">
        <f t="shared" si="17"/>
        <v>11.532639999999999</v>
      </c>
      <c r="Z33" s="78">
        <f t="shared" si="18"/>
        <v>14.415799999999999</v>
      </c>
      <c r="AA33" s="80">
        <f t="shared" si="18"/>
        <v>17.298960000000001</v>
      </c>
      <c r="AB33" s="44">
        <f t="shared" si="19"/>
        <v>57.663199999999996</v>
      </c>
      <c r="AC33" s="44">
        <f t="shared" si="19"/>
        <v>115.32639999999999</v>
      </c>
      <c r="AD33" s="44">
        <f t="shared" si="19"/>
        <v>144.15799999999999</v>
      </c>
      <c r="AE33" s="44">
        <f t="shared" si="19"/>
        <v>172.9896</v>
      </c>
      <c r="AF33" s="44">
        <f t="shared" si="19"/>
        <v>230.65279999999998</v>
      </c>
      <c r="AG33" s="45">
        <f t="shared" si="19"/>
        <v>288.31599999999997</v>
      </c>
      <c r="AH33" s="44">
        <f t="shared" si="9"/>
        <v>7.6238881829733165</v>
      </c>
      <c r="AI33" s="44">
        <f t="shared" si="10"/>
        <v>22.376111817026683</v>
      </c>
      <c r="AJ33" s="44">
        <f t="shared" si="11"/>
        <v>30</v>
      </c>
      <c r="AK33" s="70"/>
      <c r="AL33" s="71"/>
      <c r="AM33" s="71"/>
      <c r="AN33" s="71"/>
      <c r="AO33" s="71"/>
      <c r="AP33" s="71"/>
      <c r="AQ33" s="71"/>
      <c r="AR33" s="71"/>
      <c r="AS33" s="71"/>
      <c r="AT33" s="67"/>
    </row>
    <row r="34" spans="1:46" x14ac:dyDescent="0.35">
      <c r="A34" s="128">
        <v>44659</v>
      </c>
      <c r="B34" s="120">
        <v>31</v>
      </c>
      <c r="C34" s="54">
        <v>3.72</v>
      </c>
      <c r="D34" s="4"/>
      <c r="E34" s="38">
        <v>7.8</v>
      </c>
      <c r="F34" s="16" t="s">
        <v>79</v>
      </c>
      <c r="G34" s="38">
        <v>0.372</v>
      </c>
      <c r="H34" s="6" t="s">
        <v>60</v>
      </c>
      <c r="I34" s="6">
        <v>40</v>
      </c>
      <c r="J34" s="52">
        <v>30</v>
      </c>
      <c r="K34" s="51">
        <v>13813765</v>
      </c>
      <c r="L34" s="6">
        <v>299322.62</v>
      </c>
      <c r="M34" s="38">
        <f t="shared" si="14"/>
        <v>460458.83333333331</v>
      </c>
      <c r="N34" s="38">
        <f t="shared" si="6"/>
        <v>9977.4206666666669</v>
      </c>
      <c r="O34" s="58">
        <f t="shared" si="7"/>
        <v>2.1668431452250711E-2</v>
      </c>
      <c r="P34" s="35">
        <f t="shared" si="0"/>
        <v>1712906.86</v>
      </c>
      <c r="Q34" s="4"/>
      <c r="R34" s="4"/>
      <c r="U34" s="43">
        <f t="shared" si="17"/>
        <v>46045.883333333331</v>
      </c>
      <c r="V34" s="44">
        <f t="shared" si="17"/>
        <v>92091.766666666663</v>
      </c>
      <c r="W34" s="44">
        <f t="shared" si="17"/>
        <v>115114.70833333333</v>
      </c>
      <c r="X34" s="44">
        <f t="shared" si="17"/>
        <v>138137.65</v>
      </c>
      <c r="Y34" s="44">
        <f t="shared" si="17"/>
        <v>184183.53333333333</v>
      </c>
      <c r="Z34" s="78">
        <f t="shared" si="18"/>
        <v>230229.41666666666</v>
      </c>
      <c r="AA34" s="80">
        <f t="shared" si="18"/>
        <v>276275.3</v>
      </c>
      <c r="AB34" s="44">
        <f t="shared" si="19"/>
        <v>920917.66666666663</v>
      </c>
      <c r="AC34" s="44">
        <f t="shared" si="19"/>
        <v>1841835.3333333333</v>
      </c>
      <c r="AD34" s="44">
        <f t="shared" si="19"/>
        <v>2302294.1666666665</v>
      </c>
      <c r="AE34" s="44">
        <f t="shared" si="19"/>
        <v>2762753</v>
      </c>
      <c r="AF34" s="44">
        <f t="shared" si="19"/>
        <v>3683670.6666666665</v>
      </c>
      <c r="AG34" s="45">
        <f t="shared" si="19"/>
        <v>4604588.333333333</v>
      </c>
      <c r="AH34" s="44">
        <f t="shared" si="9"/>
        <v>16.129032258064516</v>
      </c>
      <c r="AI34" s="44">
        <f t="shared" si="10"/>
        <v>13.870967741935484</v>
      </c>
      <c r="AJ34" s="44">
        <f t="shared" si="11"/>
        <v>30</v>
      </c>
      <c r="AK34" s="70"/>
      <c r="AL34" s="71"/>
      <c r="AM34" s="71"/>
      <c r="AN34" s="71"/>
      <c r="AO34" s="71"/>
      <c r="AP34" s="71"/>
      <c r="AQ34" s="71"/>
      <c r="AR34" s="71"/>
      <c r="AS34" s="71"/>
      <c r="AT34" s="67"/>
    </row>
    <row r="35" spans="1:46" x14ac:dyDescent="0.35">
      <c r="A35" s="128">
        <v>44662</v>
      </c>
      <c r="B35" s="4">
        <v>32</v>
      </c>
      <c r="C35" s="54">
        <v>3.57</v>
      </c>
      <c r="D35" s="4"/>
      <c r="E35" s="38">
        <v>8.5</v>
      </c>
      <c r="F35" s="16" t="s">
        <v>79</v>
      </c>
      <c r="G35" s="38">
        <v>0.35699999999999998</v>
      </c>
      <c r="H35" s="6" t="s">
        <v>61</v>
      </c>
      <c r="I35" s="6">
        <v>40</v>
      </c>
      <c r="J35" s="52">
        <v>30</v>
      </c>
      <c r="K35" s="51">
        <v>1668284.5</v>
      </c>
      <c r="L35" s="6">
        <v>87994.185700000002</v>
      </c>
      <c r="M35" s="38">
        <f t="shared" si="14"/>
        <v>55609.48333333333</v>
      </c>
      <c r="N35" s="38">
        <f>L35/J35</f>
        <v>2933.1395233333333</v>
      </c>
      <c r="O35" s="58">
        <f t="shared" si="7"/>
        <v>5.2745311546082217E-2</v>
      </c>
      <c r="P35" s="35">
        <f t="shared" si="0"/>
        <v>198525.85549999998</v>
      </c>
      <c r="Q35" s="4"/>
      <c r="R35" s="4"/>
      <c r="U35" s="43">
        <f t="shared" si="17"/>
        <v>5560.9483333333328</v>
      </c>
      <c r="V35" s="44">
        <f t="shared" si="17"/>
        <v>11121.896666666666</v>
      </c>
      <c r="W35" s="44">
        <f t="shared" si="17"/>
        <v>13902.370833333331</v>
      </c>
      <c r="X35" s="44">
        <f t="shared" si="17"/>
        <v>16682.844999999998</v>
      </c>
      <c r="Y35" s="44">
        <f t="shared" si="17"/>
        <v>22243.793333333331</v>
      </c>
      <c r="Z35" s="78">
        <f t="shared" si="18"/>
        <v>27804.741666666661</v>
      </c>
      <c r="AA35" s="80">
        <f t="shared" si="18"/>
        <v>33365.689999999995</v>
      </c>
      <c r="AB35" s="44">
        <f t="shared" si="19"/>
        <v>111218.96666666666</v>
      </c>
      <c r="AC35" s="44">
        <f t="shared" si="19"/>
        <v>222437.93333333332</v>
      </c>
      <c r="AD35" s="44">
        <f t="shared" si="19"/>
        <v>278047.41666666663</v>
      </c>
      <c r="AE35" s="44">
        <f t="shared" si="19"/>
        <v>333656.89999999997</v>
      </c>
      <c r="AF35" s="44">
        <f t="shared" si="19"/>
        <v>444875.86666666664</v>
      </c>
      <c r="AG35" s="45">
        <f t="shared" si="19"/>
        <v>556094.83333333326</v>
      </c>
      <c r="AH35" s="44">
        <f t="shared" si="9"/>
        <v>16.806722689075631</v>
      </c>
      <c r="AI35" s="44">
        <f t="shared" si="10"/>
        <v>13.193277310924369</v>
      </c>
      <c r="AJ35" s="44">
        <f t="shared" si="11"/>
        <v>30</v>
      </c>
      <c r="AK35" s="70"/>
      <c r="AL35" s="71"/>
      <c r="AM35" s="71"/>
      <c r="AN35" s="71"/>
      <c r="AO35" s="71"/>
      <c r="AP35" s="71"/>
      <c r="AQ35" s="71"/>
      <c r="AR35" s="71"/>
      <c r="AS35" s="71"/>
      <c r="AT35" s="67"/>
    </row>
    <row r="36" spans="1:46" x14ac:dyDescent="0.35">
      <c r="A36" s="128">
        <v>44662</v>
      </c>
      <c r="B36" s="4">
        <v>33</v>
      </c>
      <c r="C36" s="54">
        <v>14.9</v>
      </c>
      <c r="D36" s="4" t="s">
        <v>10</v>
      </c>
      <c r="E36" s="38">
        <v>28.1</v>
      </c>
      <c r="F36" s="16" t="s">
        <v>79</v>
      </c>
      <c r="G36" s="38">
        <v>1.49</v>
      </c>
      <c r="H36" s="6" t="s">
        <v>63</v>
      </c>
      <c r="I36" s="6">
        <v>65</v>
      </c>
      <c r="J36" s="52">
        <v>30</v>
      </c>
      <c r="K36" s="51">
        <v>386747.72</v>
      </c>
      <c r="L36" s="6">
        <v>66131.217300000004</v>
      </c>
      <c r="M36" s="38">
        <f t="shared" si="14"/>
        <v>12891.590666666665</v>
      </c>
      <c r="N36" s="38">
        <f t="shared" si="6"/>
        <v>2204.3739100000003</v>
      </c>
      <c r="O36" s="58">
        <f t="shared" si="7"/>
        <v>0.17099316655312155</v>
      </c>
      <c r="P36" s="35">
        <f t="shared" si="0"/>
        <v>192084.70093333331</v>
      </c>
      <c r="Q36" s="4"/>
      <c r="R36" s="4"/>
      <c r="U36" s="43">
        <f t="shared" si="17"/>
        <v>1289.1590666666666</v>
      </c>
      <c r="V36" s="44">
        <f t="shared" si="17"/>
        <v>2578.3181333333332</v>
      </c>
      <c r="W36" s="44">
        <f t="shared" si="17"/>
        <v>3222.8976666666663</v>
      </c>
      <c r="X36" s="44">
        <f t="shared" si="17"/>
        <v>3867.4771999999998</v>
      </c>
      <c r="Y36" s="44">
        <f t="shared" si="17"/>
        <v>5156.6362666666664</v>
      </c>
      <c r="Z36" s="78">
        <f t="shared" si="18"/>
        <v>6445.7953333333326</v>
      </c>
      <c r="AA36" s="80">
        <f t="shared" si="18"/>
        <v>7734.9543999999996</v>
      </c>
      <c r="AB36" s="44">
        <f t="shared" si="19"/>
        <v>25783.18133333333</v>
      </c>
      <c r="AC36" s="44">
        <f t="shared" si="19"/>
        <v>51566.362666666661</v>
      </c>
      <c r="AD36" s="44">
        <f t="shared" si="19"/>
        <v>64457.953333333324</v>
      </c>
      <c r="AE36" s="44">
        <f t="shared" si="19"/>
        <v>77349.543999999994</v>
      </c>
      <c r="AF36" s="44">
        <f t="shared" si="19"/>
        <v>103132.72533333332</v>
      </c>
      <c r="AG36" s="45">
        <f t="shared" si="19"/>
        <v>128915.90666666665</v>
      </c>
      <c r="AH36" s="44">
        <f t="shared" si="9"/>
        <v>4.0268456375838921</v>
      </c>
      <c r="AI36" s="44">
        <f t="shared" si="10"/>
        <v>25.973154362416107</v>
      </c>
      <c r="AJ36" s="44">
        <f t="shared" si="11"/>
        <v>30</v>
      </c>
      <c r="AK36" s="70"/>
      <c r="AL36" s="71"/>
      <c r="AM36" s="71"/>
      <c r="AN36" s="71"/>
      <c r="AO36" s="71"/>
      <c r="AP36" s="71"/>
      <c r="AQ36" s="71"/>
      <c r="AR36" s="71"/>
      <c r="AS36" s="71"/>
      <c r="AT36" s="67"/>
    </row>
    <row r="37" spans="1:46" x14ac:dyDescent="0.35">
      <c r="A37" s="128">
        <v>44662</v>
      </c>
      <c r="B37" s="4">
        <v>34</v>
      </c>
      <c r="C37" s="54">
        <v>9.18</v>
      </c>
      <c r="D37" s="4"/>
      <c r="E37" s="38">
        <v>15.1</v>
      </c>
      <c r="F37" s="16" t="s">
        <v>79</v>
      </c>
      <c r="G37" s="38">
        <v>0.91800000000000004</v>
      </c>
      <c r="H37" s="6" t="s">
        <v>65</v>
      </c>
      <c r="I37" s="6">
        <v>40</v>
      </c>
      <c r="J37" s="52">
        <v>30</v>
      </c>
      <c r="K37" s="51">
        <v>8741229</v>
      </c>
      <c r="L37" s="6">
        <v>1019141.3</v>
      </c>
      <c r="M37" s="38">
        <f t="shared" si="14"/>
        <v>291374.3</v>
      </c>
      <c r="N37" s="38">
        <f t="shared" si="6"/>
        <v>33971.376666666671</v>
      </c>
      <c r="O37" s="58">
        <f t="shared" si="7"/>
        <v>0.11659016140636519</v>
      </c>
      <c r="P37" s="35">
        <f t="shared" si="0"/>
        <v>2674816.074</v>
      </c>
      <c r="Q37" s="4"/>
      <c r="R37" s="4"/>
      <c r="U37" s="43">
        <f t="shared" si="17"/>
        <v>29137.43</v>
      </c>
      <c r="V37" s="44">
        <f t="shared" si="17"/>
        <v>58274.86</v>
      </c>
      <c r="W37" s="44">
        <f t="shared" si="17"/>
        <v>72843.574999999997</v>
      </c>
      <c r="X37" s="44">
        <f t="shared" si="17"/>
        <v>87412.29</v>
      </c>
      <c r="Y37" s="44">
        <f t="shared" si="17"/>
        <v>116549.72</v>
      </c>
      <c r="Z37" s="78">
        <f t="shared" si="18"/>
        <v>145687.15</v>
      </c>
      <c r="AA37" s="80">
        <f t="shared" si="18"/>
        <v>174824.58</v>
      </c>
      <c r="AB37" s="44">
        <f t="shared" si="19"/>
        <v>582748.6</v>
      </c>
      <c r="AC37" s="44">
        <f t="shared" si="19"/>
        <v>1165497.2</v>
      </c>
      <c r="AD37" s="44">
        <f t="shared" si="19"/>
        <v>1456871.5</v>
      </c>
      <c r="AE37" s="44">
        <f t="shared" si="19"/>
        <v>1748245.7999999998</v>
      </c>
      <c r="AF37" s="44">
        <f t="shared" si="19"/>
        <v>2330994.4</v>
      </c>
      <c r="AG37" s="45">
        <f t="shared" si="19"/>
        <v>2913743</v>
      </c>
      <c r="AH37" s="44">
        <f t="shared" si="9"/>
        <v>6.5359477124183005</v>
      </c>
      <c r="AI37" s="44">
        <f t="shared" si="10"/>
        <v>23.464052287581701</v>
      </c>
      <c r="AJ37" s="44">
        <f t="shared" si="11"/>
        <v>30</v>
      </c>
      <c r="AK37" s="70"/>
      <c r="AL37" s="71"/>
      <c r="AM37" s="71"/>
      <c r="AN37" s="71"/>
      <c r="AO37" s="71"/>
      <c r="AP37" s="71"/>
      <c r="AQ37" s="71"/>
      <c r="AR37" s="71"/>
      <c r="AS37" s="71"/>
      <c r="AT37" s="67"/>
    </row>
    <row r="38" spans="1:46" ht="15" thickBot="1" x14ac:dyDescent="0.4">
      <c r="A38" s="128">
        <v>44662</v>
      </c>
      <c r="B38" s="15">
        <v>35</v>
      </c>
      <c r="C38" s="54">
        <v>191</v>
      </c>
      <c r="D38" s="15" t="s">
        <v>14</v>
      </c>
      <c r="E38" s="55">
        <v>294.25</v>
      </c>
      <c r="F38" s="16" t="s">
        <v>78</v>
      </c>
      <c r="G38" s="38">
        <v>19.100000000000001</v>
      </c>
      <c r="H38" s="6" t="s">
        <v>66</v>
      </c>
      <c r="I38" s="6">
        <v>25</v>
      </c>
      <c r="J38" s="52">
        <v>30</v>
      </c>
      <c r="K38" s="51">
        <v>23493094</v>
      </c>
      <c r="L38" s="6">
        <v>2479077.75</v>
      </c>
      <c r="M38" s="38">
        <f t="shared" si="14"/>
        <v>783103.1333333333</v>
      </c>
      <c r="N38" s="38">
        <f t="shared" si="6"/>
        <v>82635.925000000003</v>
      </c>
      <c r="O38" s="58">
        <f t="shared" si="7"/>
        <v>0.10552368070378471</v>
      </c>
      <c r="P38" s="35">
        <f t="shared" si="0"/>
        <v>149572698.46666667</v>
      </c>
      <c r="Q38" s="4"/>
      <c r="R38" s="4"/>
      <c r="U38" s="46">
        <f t="shared" si="17"/>
        <v>78310.313333333324</v>
      </c>
      <c r="V38" s="47">
        <f t="shared" si="17"/>
        <v>156620.62666666665</v>
      </c>
      <c r="W38" s="47">
        <f t="shared" si="17"/>
        <v>195775.78333333333</v>
      </c>
      <c r="X38" s="47">
        <f t="shared" si="17"/>
        <v>234930.94</v>
      </c>
      <c r="Y38" s="47">
        <f t="shared" si="17"/>
        <v>313241.2533333333</v>
      </c>
      <c r="Z38" s="79">
        <f t="shared" si="18"/>
        <v>391551.56666666665</v>
      </c>
      <c r="AA38" s="81">
        <f t="shared" si="18"/>
        <v>469861.88</v>
      </c>
      <c r="AB38" s="47">
        <f t="shared" si="19"/>
        <v>1566206.2666666666</v>
      </c>
      <c r="AC38" s="47">
        <f t="shared" si="19"/>
        <v>3132412.5333333332</v>
      </c>
      <c r="AD38" s="47">
        <f t="shared" si="19"/>
        <v>3915515.6666666665</v>
      </c>
      <c r="AE38" s="47">
        <f t="shared" si="19"/>
        <v>4698618.8</v>
      </c>
      <c r="AF38" s="47">
        <f t="shared" si="19"/>
        <v>6264825.0666666664</v>
      </c>
      <c r="AG38" s="48">
        <f t="shared" si="19"/>
        <v>7831031.333333333</v>
      </c>
      <c r="AH38" s="44">
        <f t="shared" si="9"/>
        <v>0.31413612565445026</v>
      </c>
      <c r="AI38" s="44">
        <f t="shared" si="10"/>
        <v>29.68586387434555</v>
      </c>
      <c r="AJ38" s="44">
        <f t="shared" si="11"/>
        <v>30</v>
      </c>
      <c r="AK38" s="72"/>
      <c r="AL38" s="73"/>
      <c r="AM38" s="73"/>
      <c r="AN38" s="73"/>
      <c r="AO38" s="73"/>
      <c r="AP38" s="73"/>
      <c r="AQ38" s="73"/>
      <c r="AR38" s="73"/>
      <c r="AS38" s="73"/>
      <c r="AT38" s="74"/>
    </row>
    <row r="39" spans="1:46" x14ac:dyDescent="0.35">
      <c r="B39" s="15"/>
      <c r="C39" s="11"/>
      <c r="D39" s="15"/>
      <c r="E39" s="15"/>
      <c r="F39" s="17"/>
      <c r="G39" s="4"/>
      <c r="H39" s="11"/>
      <c r="I39" s="4"/>
      <c r="J39" s="4"/>
      <c r="K39" s="4"/>
      <c r="L39" s="4"/>
      <c r="M39" s="4"/>
      <c r="N39" s="6"/>
      <c r="O39" s="6"/>
      <c r="P39" s="18"/>
      <c r="Q39" s="4"/>
    </row>
    <row r="40" spans="1:46" x14ac:dyDescent="0.35">
      <c r="B40" s="4"/>
      <c r="C40" s="18" t="s">
        <v>81</v>
      </c>
      <c r="D40" s="4"/>
      <c r="E40" s="4"/>
      <c r="G40" s="4"/>
      <c r="H40" s="4" t="s">
        <v>70</v>
      </c>
      <c r="I40" s="4"/>
      <c r="J40" s="4"/>
      <c r="K40" s="4"/>
      <c r="L40" s="6"/>
      <c r="M40" s="6"/>
      <c r="N40" s="6"/>
      <c r="O40" s="18" t="s">
        <v>82</v>
      </c>
      <c r="P40" s="4"/>
    </row>
    <row r="41" spans="1:46" ht="29" x14ac:dyDescent="0.35">
      <c r="B41" s="4"/>
      <c r="C41" s="56" t="s">
        <v>77</v>
      </c>
      <c r="D41" s="4"/>
      <c r="E41" s="4"/>
      <c r="G41" s="9" t="s">
        <v>22</v>
      </c>
      <c r="H41" s="19" t="s">
        <v>21</v>
      </c>
      <c r="I41" s="19" t="s">
        <v>23</v>
      </c>
      <c r="J41" s="19" t="s">
        <v>24</v>
      </c>
      <c r="K41" s="19" t="s">
        <v>25</v>
      </c>
      <c r="L41" s="19"/>
      <c r="M41" s="19" t="s">
        <v>26</v>
      </c>
      <c r="N41" s="19" t="s">
        <v>27</v>
      </c>
      <c r="O41" s="37" t="s">
        <v>71</v>
      </c>
      <c r="P41" s="37" t="s">
        <v>72</v>
      </c>
      <c r="Q41" s="36" t="s">
        <v>101</v>
      </c>
      <c r="R41" s="36" t="s">
        <v>105</v>
      </c>
    </row>
    <row r="42" spans="1:46" x14ac:dyDescent="0.35">
      <c r="B42" s="4" t="s">
        <v>4</v>
      </c>
      <c r="C42" s="5">
        <v>398</v>
      </c>
      <c r="D42" s="4" t="s">
        <v>15</v>
      </c>
      <c r="E42" s="4">
        <v>408.9</v>
      </c>
      <c r="G42" s="6">
        <v>30</v>
      </c>
      <c r="H42" s="6" t="s">
        <v>60</v>
      </c>
      <c r="I42" s="6" t="s">
        <v>29</v>
      </c>
      <c r="J42" s="39">
        <v>13813765</v>
      </c>
      <c r="K42" s="6">
        <v>299322.62</v>
      </c>
      <c r="L42" s="6"/>
      <c r="M42" s="6">
        <v>16.850000000000001</v>
      </c>
      <c r="N42" s="6">
        <v>0.04</v>
      </c>
      <c r="O42" s="7">
        <f>J42/(G42)</f>
        <v>460458.83333333331</v>
      </c>
      <c r="P42" s="7">
        <f>O42*C42</f>
        <v>183262615.66666666</v>
      </c>
      <c r="Q42" s="34">
        <f>K42/G42</f>
        <v>9977.4206666666669</v>
      </c>
      <c r="R42" s="57">
        <f>Q42/O42</f>
        <v>2.1668431452250711E-2</v>
      </c>
    </row>
    <row r="43" spans="1:46" x14ac:dyDescent="0.35">
      <c r="B43" s="4" t="s">
        <v>5</v>
      </c>
      <c r="C43" s="5">
        <v>338</v>
      </c>
      <c r="D43" s="4" t="s">
        <v>16</v>
      </c>
      <c r="E43" s="4">
        <v>318.2</v>
      </c>
      <c r="G43" s="6">
        <v>30</v>
      </c>
      <c r="H43" s="6" t="s">
        <v>61</v>
      </c>
      <c r="I43" s="6" t="s">
        <v>29</v>
      </c>
      <c r="J43" s="39">
        <v>1668284.5</v>
      </c>
      <c r="K43" s="6" t="s">
        <v>62</v>
      </c>
      <c r="L43" s="8">
        <v>87994.185700000002</v>
      </c>
      <c r="M43" s="6">
        <v>20.75</v>
      </c>
      <c r="N43" s="6">
        <v>0.1</v>
      </c>
      <c r="O43" s="7">
        <f>J43/(G43)</f>
        <v>55609.48333333333</v>
      </c>
      <c r="P43" s="7">
        <f>O43*C43</f>
        <v>18796005.366666667</v>
      </c>
      <c r="Q43" s="34">
        <f>L43/G43</f>
        <v>2933.1395233333333</v>
      </c>
      <c r="R43" s="57">
        <f>Q43/O43</f>
        <v>5.2745311546082217E-2</v>
      </c>
    </row>
    <row r="44" spans="1:46" x14ac:dyDescent="0.35">
      <c r="B44" s="4" t="s">
        <v>6</v>
      </c>
      <c r="C44" s="8">
        <v>183</v>
      </c>
      <c r="D44" s="4" t="s">
        <v>17</v>
      </c>
      <c r="E44" s="4">
        <v>332.8</v>
      </c>
      <c r="G44" s="6">
        <v>30</v>
      </c>
      <c r="H44" s="6" t="s">
        <v>63</v>
      </c>
      <c r="I44" s="6" t="s">
        <v>29</v>
      </c>
      <c r="J44" s="39">
        <v>386747.72</v>
      </c>
      <c r="K44" s="6" t="s">
        <v>64</v>
      </c>
      <c r="L44" s="8">
        <v>66131.217300000004</v>
      </c>
      <c r="M44" s="6">
        <v>23.46</v>
      </c>
      <c r="N44" s="6">
        <v>0.31</v>
      </c>
      <c r="O44" s="7">
        <f>J44/(G44)</f>
        <v>12891.590666666665</v>
      </c>
      <c r="P44" s="7">
        <f>O44*C44</f>
        <v>2359161.0919999997</v>
      </c>
      <c r="Q44" s="34">
        <f>L44/G44</f>
        <v>2204.3739100000003</v>
      </c>
      <c r="R44" s="57">
        <f>Q44/O44</f>
        <v>0.17099316655312155</v>
      </c>
    </row>
    <row r="45" spans="1:46" x14ac:dyDescent="0.35">
      <c r="B45" s="4" t="s">
        <v>8</v>
      </c>
      <c r="C45" s="5">
        <v>382</v>
      </c>
      <c r="D45" s="4" t="s">
        <v>18</v>
      </c>
      <c r="E45" s="4">
        <v>421.2</v>
      </c>
      <c r="G45" s="6">
        <v>30</v>
      </c>
      <c r="H45" s="6" t="s">
        <v>65</v>
      </c>
      <c r="I45" s="6" t="s">
        <v>29</v>
      </c>
      <c r="J45" s="39">
        <v>8741229</v>
      </c>
      <c r="K45" s="6">
        <v>1019141.3</v>
      </c>
      <c r="L45" s="6"/>
      <c r="M45" s="6">
        <v>17.7</v>
      </c>
      <c r="N45" s="6">
        <v>0.21</v>
      </c>
      <c r="O45" s="7">
        <f>J45/(G45)</f>
        <v>291374.3</v>
      </c>
      <c r="P45" s="7">
        <f>O45*C45</f>
        <v>111304982.59999999</v>
      </c>
      <c r="Q45" s="34">
        <f>K45/G45</f>
        <v>33971.376666666671</v>
      </c>
      <c r="R45" s="57">
        <f>Q45/O45</f>
        <v>0.11659016140636519</v>
      </c>
    </row>
    <row r="46" spans="1:46" x14ac:dyDescent="0.35">
      <c r="B46" s="4" t="s">
        <v>9</v>
      </c>
      <c r="C46" s="8">
        <v>224</v>
      </c>
      <c r="D46" s="4" t="s">
        <v>19</v>
      </c>
      <c r="E46" s="4">
        <v>607.20000000000005</v>
      </c>
      <c r="G46" s="6">
        <v>30</v>
      </c>
      <c r="H46" s="6" t="s">
        <v>66</v>
      </c>
      <c r="I46" s="6" t="s">
        <v>29</v>
      </c>
      <c r="J46" s="39">
        <v>23493094</v>
      </c>
      <c r="K46" s="6" t="s">
        <v>67</v>
      </c>
      <c r="L46" s="8">
        <v>2479077.75</v>
      </c>
      <c r="M46" s="6">
        <v>15.88</v>
      </c>
      <c r="N46" s="6">
        <v>0.19</v>
      </c>
      <c r="O46" s="7">
        <f>J46/(G46)</f>
        <v>783103.1333333333</v>
      </c>
      <c r="P46" s="7">
        <f>O46*C46</f>
        <v>175415101.86666667</v>
      </c>
      <c r="Q46" s="34">
        <f>L46/G46</f>
        <v>82635.925000000003</v>
      </c>
      <c r="R46" s="57">
        <f>Q46/O46</f>
        <v>0.10552368070378471</v>
      </c>
    </row>
  </sheetData>
  <mergeCells count="8">
    <mergeCell ref="J1:L1"/>
    <mergeCell ref="AB2:AG2"/>
    <mergeCell ref="U2:AA2"/>
    <mergeCell ref="F2:F3"/>
    <mergeCell ref="G2:G3"/>
    <mergeCell ref="AT4:AT11"/>
    <mergeCell ref="AP2:AQ2"/>
    <mergeCell ref="AR2:AS2"/>
  </mergeCells>
  <conditionalFormatting sqref="C4:BB38">
    <cfRule type="expression" dxfId="2" priority="5">
      <formula>AND($Z4&lt;10, $AH4&gt;$I4)</formula>
    </cfRule>
    <cfRule type="expression" dxfId="1" priority="6">
      <formula>$Z4&lt;10</formula>
    </cfRule>
    <cfRule type="expression" dxfId="0" priority="7">
      <formula>$AH4&gt;$I4</formula>
    </cfRule>
  </conditionalFormatting>
  <pageMargins left="0.7" right="0.7" top="0.75" bottom="0.75" header="0.3" footer="0.3"/>
  <pageSetup scale="1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E8011-88C3-4ADB-9BAB-163E439E53EC}">
  <dimension ref="A1:V27"/>
  <sheetViews>
    <sheetView topLeftCell="I1" workbookViewId="0">
      <selection activeCell="Q2" sqref="Q2"/>
    </sheetView>
  </sheetViews>
  <sheetFormatPr defaultRowHeight="14.5" x14ac:dyDescent="0.35"/>
  <cols>
    <col min="1" max="1" width="17.453125" bestFit="1" customWidth="1"/>
    <col min="2" max="2" width="8.81640625" bestFit="1" customWidth="1"/>
    <col min="3" max="3" width="15.453125" bestFit="1" customWidth="1"/>
    <col min="4" max="4" width="16.1796875" bestFit="1" customWidth="1"/>
    <col min="5" max="5" width="17.81640625" bestFit="1" customWidth="1"/>
    <col min="6" max="6" width="10.81640625" bestFit="1" customWidth="1"/>
    <col min="7" max="7" width="9.81640625" bestFit="1" customWidth="1"/>
    <col min="8" max="8" width="9.54296875" bestFit="1" customWidth="1"/>
    <col min="9" max="9" width="10.7265625" bestFit="1" customWidth="1"/>
    <col min="10" max="10" width="19.453125" bestFit="1" customWidth="1"/>
    <col min="11" max="11" width="14.7265625" style="1" bestFit="1" customWidth="1"/>
    <col min="12" max="12" width="13" style="1" customWidth="1"/>
    <col min="13" max="13" width="12.54296875" bestFit="1" customWidth="1"/>
    <col min="14" max="14" width="12.453125" customWidth="1"/>
    <col min="15" max="15" width="9.54296875" bestFit="1" customWidth="1"/>
    <col min="16" max="16" width="12" style="1" customWidth="1"/>
    <col min="17" max="17" width="12" customWidth="1"/>
    <col min="18" max="18" width="11.453125" bestFit="1" customWidth="1"/>
    <col min="19" max="19" width="12.1796875" bestFit="1" customWidth="1"/>
    <col min="20" max="20" width="12" bestFit="1" customWidth="1"/>
    <col min="21" max="22" width="12.1796875" bestFit="1" customWidth="1"/>
  </cols>
  <sheetData>
    <row r="1" spans="1:22" ht="44" thickBot="1" x14ac:dyDescent="0.4">
      <c r="A1" t="s">
        <v>113</v>
      </c>
      <c r="B1" s="13" t="s">
        <v>7</v>
      </c>
      <c r="C1" s="14" t="s">
        <v>77</v>
      </c>
      <c r="D1" s="19" t="s">
        <v>24</v>
      </c>
      <c r="E1" s="19" t="s">
        <v>25</v>
      </c>
      <c r="F1" s="36" t="s">
        <v>71</v>
      </c>
      <c r="G1" s="36" t="s">
        <v>101</v>
      </c>
      <c r="H1" s="36" t="s">
        <v>105</v>
      </c>
      <c r="I1" s="130" t="s">
        <v>121</v>
      </c>
      <c r="J1" s="50" t="s">
        <v>114</v>
      </c>
      <c r="K1" s="1" t="s">
        <v>115</v>
      </c>
      <c r="L1" s="1" t="s">
        <v>132</v>
      </c>
      <c r="M1" t="s">
        <v>116</v>
      </c>
      <c r="N1" t="s">
        <v>122</v>
      </c>
      <c r="O1" t="s">
        <v>117</v>
      </c>
      <c r="P1" s="1" t="s">
        <v>118</v>
      </c>
      <c r="Q1" t="s">
        <v>93</v>
      </c>
      <c r="S1" t="s">
        <v>123</v>
      </c>
      <c r="T1" t="s">
        <v>124</v>
      </c>
      <c r="U1" t="s">
        <v>119</v>
      </c>
      <c r="V1" t="s">
        <v>120</v>
      </c>
    </row>
    <row r="2" spans="1:22" s="138" customFormat="1" x14ac:dyDescent="0.35">
      <c r="A2" s="135">
        <v>44652</v>
      </c>
      <c r="B2" s="136">
        <v>1</v>
      </c>
      <c r="C2" s="141">
        <v>200</v>
      </c>
      <c r="D2" s="131">
        <v>2006.65</v>
      </c>
      <c r="E2" s="132">
        <v>1202.8800000000001</v>
      </c>
      <c r="F2" s="133">
        <v>83.610416666666666</v>
      </c>
      <c r="G2" s="133">
        <v>50.120000000000005</v>
      </c>
      <c r="H2" s="134">
        <v>0.59944683925946229</v>
      </c>
      <c r="I2" s="142">
        <v>41.805208333333333</v>
      </c>
      <c r="J2" s="137">
        <v>836.10416666666663</v>
      </c>
      <c r="K2" s="185">
        <v>41.805208333333297</v>
      </c>
      <c r="L2" s="175">
        <f>LOG10(K2)</f>
        <v>1.6212303920505691</v>
      </c>
      <c r="M2" s="138">
        <v>25.06</v>
      </c>
      <c r="N2" s="134">
        <f t="shared" ref="N2:N25" si="0">M2/K2</f>
        <v>0.59944683925946274</v>
      </c>
      <c r="O2" s="138">
        <v>5</v>
      </c>
      <c r="P2" s="175">
        <f>10^S2</f>
        <v>2039.7735074425541</v>
      </c>
      <c r="Q2" s="138">
        <f>10^T2</f>
        <v>2.4659551383479621</v>
      </c>
      <c r="R2" s="134">
        <f>Q2/P2</f>
        <v>1.2089357614217422E-3</v>
      </c>
      <c r="S2" s="138">
        <v>3.3095819468725698</v>
      </c>
      <c r="T2" s="138">
        <v>0.39198517147092499</v>
      </c>
      <c r="U2" s="138">
        <v>0.17530109791618001</v>
      </c>
      <c r="V2" s="138">
        <v>0.48671387524517701</v>
      </c>
    </row>
    <row r="3" spans="1:22" s="138" customFormat="1" x14ac:dyDescent="0.35">
      <c r="A3" s="135">
        <v>44662</v>
      </c>
      <c r="B3" s="139">
        <v>3</v>
      </c>
      <c r="C3" s="142">
        <v>2</v>
      </c>
      <c r="D3" s="131">
        <v>542.95000000000005</v>
      </c>
      <c r="E3" s="132">
        <v>110.25</v>
      </c>
      <c r="F3" s="133">
        <v>19.253546099290784</v>
      </c>
      <c r="G3" s="133">
        <v>3.9095744680851063</v>
      </c>
      <c r="H3" s="134">
        <v>0.20305737176535588</v>
      </c>
      <c r="I3" s="142">
        <v>9.6267730496453918</v>
      </c>
      <c r="J3" s="137">
        <v>192.53546099290784</v>
      </c>
      <c r="K3" s="185">
        <v>9.6267730496453918</v>
      </c>
      <c r="L3" s="175">
        <f t="shared" ref="L3:L25" si="1">LOG10(K3)</f>
        <v>0.98348073348043363</v>
      </c>
      <c r="M3" s="138">
        <v>1.95</v>
      </c>
      <c r="N3" s="187">
        <f t="shared" si="0"/>
        <v>0.20256008840593051</v>
      </c>
      <c r="O3" s="138">
        <v>4</v>
      </c>
      <c r="P3" s="175">
        <f t="shared" ref="P3:Q7" si="2">10^S3</f>
        <v>62.421840043249077</v>
      </c>
      <c r="Q3" s="138">
        <f t="shared" si="2"/>
        <v>1.2630108066633452</v>
      </c>
      <c r="R3" s="134">
        <f>Q3/P3</f>
        <v>2.023347606844441E-2</v>
      </c>
      <c r="S3" s="138">
        <v>1.7953365664576599</v>
      </c>
      <c r="T3" s="138">
        <v>0.101407066512718</v>
      </c>
      <c r="U3" s="138">
        <v>5.0703533256358901E-2</v>
      </c>
      <c r="V3" s="138">
        <v>0.16136127207652901</v>
      </c>
    </row>
    <row r="4" spans="1:22" s="138" customFormat="1" x14ac:dyDescent="0.35">
      <c r="A4" s="135">
        <v>44657</v>
      </c>
      <c r="B4" s="139">
        <v>5</v>
      </c>
      <c r="C4" s="142">
        <v>11</v>
      </c>
      <c r="D4" s="131">
        <v>91.44</v>
      </c>
      <c r="E4" s="132">
        <v>33.340000000000003</v>
      </c>
      <c r="F4" s="133">
        <v>3.907692307692308</v>
      </c>
      <c r="G4" s="133">
        <v>1.4247863247863251</v>
      </c>
      <c r="H4" s="134">
        <v>0.36461067366579181</v>
      </c>
      <c r="I4" s="142">
        <v>1.953846153846154</v>
      </c>
      <c r="J4" s="137">
        <v>39.07692307692308</v>
      </c>
      <c r="K4" s="185">
        <v>1.953846153846154</v>
      </c>
      <c r="L4" s="175">
        <f t="shared" si="1"/>
        <v>0.29089036431310134</v>
      </c>
      <c r="M4" s="138">
        <v>0.71</v>
      </c>
      <c r="N4" s="134">
        <f t="shared" si="0"/>
        <v>0.36338582677165349</v>
      </c>
      <c r="O4" s="138">
        <v>5</v>
      </c>
      <c r="P4" s="175">
        <f t="shared" si="2"/>
        <v>14871.106451419813</v>
      </c>
      <c r="Q4" s="138">
        <f t="shared" si="2"/>
        <v>1.4663010073006808</v>
      </c>
      <c r="R4" s="134">
        <f t="shared" ref="R4:R25" si="3">Q4/P4</f>
        <v>9.8600666472983679E-5</v>
      </c>
      <c r="S4" s="138">
        <v>4.17234328243382</v>
      </c>
      <c r="T4" s="138">
        <v>0.166223132918246</v>
      </c>
      <c r="U4" s="138">
        <v>7.4337244927636201E-2</v>
      </c>
      <c r="V4" s="138">
        <v>0.206393279813225</v>
      </c>
    </row>
    <row r="5" spans="1:22" s="138" customFormat="1" x14ac:dyDescent="0.35">
      <c r="A5" s="135">
        <v>44657</v>
      </c>
      <c r="B5" s="139">
        <v>6</v>
      </c>
      <c r="C5" s="142">
        <v>6.38</v>
      </c>
      <c r="D5" s="131">
        <v>157.74</v>
      </c>
      <c r="E5" s="132">
        <v>54.88</v>
      </c>
      <c r="F5" s="133">
        <v>6.137743190661479</v>
      </c>
      <c r="G5" s="133">
        <v>2.135408560311284</v>
      </c>
      <c r="H5" s="134">
        <v>0.34791428933688345</v>
      </c>
      <c r="I5" s="142">
        <v>3.0688715953307395</v>
      </c>
      <c r="J5" s="137">
        <v>61.377431906614788</v>
      </c>
      <c r="K5" s="185">
        <v>3.0688715953307395</v>
      </c>
      <c r="L5" s="175">
        <f t="shared" si="1"/>
        <v>0.48697871749473065</v>
      </c>
      <c r="M5" s="138">
        <v>1.07</v>
      </c>
      <c r="N5" s="134">
        <f t="shared" si="0"/>
        <v>0.3486623557753265</v>
      </c>
      <c r="O5" s="138">
        <v>5</v>
      </c>
      <c r="P5" s="175">
        <f t="shared" si="2"/>
        <v>203.95820687609145</v>
      </c>
      <c r="Q5" s="138">
        <f t="shared" si="2"/>
        <v>2.8019156413578257</v>
      </c>
      <c r="R5" s="134">
        <f t="shared" si="3"/>
        <v>1.3737695012488728E-2</v>
      </c>
      <c r="S5" s="138">
        <v>2.3095411851583401</v>
      </c>
      <c r="T5" s="138">
        <v>0.44745505563058802</v>
      </c>
      <c r="U5" s="138">
        <v>0.20010798425318899</v>
      </c>
      <c r="V5" s="138">
        <v>0.55558883339076404</v>
      </c>
    </row>
    <row r="6" spans="1:22" s="138" customFormat="1" x14ac:dyDescent="0.35">
      <c r="A6" s="135">
        <v>44657</v>
      </c>
      <c r="B6" s="139">
        <v>7</v>
      </c>
      <c r="C6" s="142">
        <v>14.4</v>
      </c>
      <c r="D6" s="131">
        <v>79.25</v>
      </c>
      <c r="E6" s="132">
        <v>76.44</v>
      </c>
      <c r="F6" s="133">
        <v>3.107843137254902</v>
      </c>
      <c r="G6" s="133">
        <v>2.9976470588235293</v>
      </c>
      <c r="H6" s="134">
        <v>0.96454258675078863</v>
      </c>
      <c r="I6" s="142">
        <v>1.553921568627451</v>
      </c>
      <c r="J6" s="137">
        <v>31.078431372549019</v>
      </c>
      <c r="K6" s="185">
        <v>1.553921568627451</v>
      </c>
      <c r="L6" s="175">
        <f t="shared" si="1"/>
        <v>0.19142909479185274</v>
      </c>
      <c r="M6" s="138">
        <v>1.5</v>
      </c>
      <c r="N6" s="134">
        <f t="shared" si="0"/>
        <v>0.96529968454258674</v>
      </c>
      <c r="O6" s="138">
        <v>3</v>
      </c>
      <c r="P6" s="175">
        <f t="shared" si="2"/>
        <v>4.5966052219662474</v>
      </c>
      <c r="Q6" s="138">
        <f t="shared" si="2"/>
        <v>7.1569296058878615</v>
      </c>
      <c r="R6" s="134">
        <f>Q6/P6</f>
        <v>1.5570033231669191</v>
      </c>
      <c r="S6" s="138">
        <v>0.66243720610317303</v>
      </c>
      <c r="T6" s="138">
        <v>0.85472674560226003</v>
      </c>
      <c r="U6" s="138">
        <v>0.49347671665703802</v>
      </c>
      <c r="V6" s="138">
        <v>2.1232589419922099</v>
      </c>
    </row>
    <row r="7" spans="1:22" s="138" customFormat="1" x14ac:dyDescent="0.35">
      <c r="A7" s="135">
        <v>44657</v>
      </c>
      <c r="B7" s="138">
        <v>9</v>
      </c>
      <c r="C7" s="133">
        <v>4.8899999999999997</v>
      </c>
      <c r="D7" s="131">
        <v>443.5</v>
      </c>
      <c r="E7" s="132">
        <v>143.91</v>
      </c>
      <c r="F7" s="133">
        <v>15.240549828178693</v>
      </c>
      <c r="G7" s="133">
        <v>4.9453608247422673</v>
      </c>
      <c r="H7" s="134">
        <v>0.32448703494926717</v>
      </c>
      <c r="I7" s="142">
        <v>7.6202749140893475</v>
      </c>
      <c r="J7" s="137">
        <v>152.40549828178695</v>
      </c>
      <c r="K7" s="185">
        <v>7.6202749140893475</v>
      </c>
      <c r="L7" s="175">
        <f t="shared" si="1"/>
        <v>0.8819706395178567</v>
      </c>
      <c r="M7" s="138">
        <v>2.4700000000000002</v>
      </c>
      <c r="N7" s="134">
        <f t="shared" si="0"/>
        <v>0.32413528748590759</v>
      </c>
      <c r="O7" s="138">
        <v>5</v>
      </c>
      <c r="P7" s="175">
        <f t="shared" si="2"/>
        <v>34.073820175214557</v>
      </c>
      <c r="Q7" s="138">
        <f t="shared" si="2"/>
        <v>1.7280964111079999</v>
      </c>
      <c r="R7" s="134">
        <f t="shared" si="3"/>
        <v>5.0716250840726826E-2</v>
      </c>
      <c r="S7" s="138">
        <v>1.5324208270814801</v>
      </c>
      <c r="T7" s="138">
        <v>0.23756796826103599</v>
      </c>
      <c r="U7" s="138">
        <v>0.106243625261638</v>
      </c>
      <c r="V7" s="138">
        <v>0.29497959331614299</v>
      </c>
    </row>
    <row r="8" spans="1:22" s="138" customFormat="1" x14ac:dyDescent="0.35">
      <c r="A8" s="135">
        <v>44657</v>
      </c>
      <c r="B8" s="138">
        <v>13</v>
      </c>
      <c r="C8" s="133">
        <v>4.91</v>
      </c>
      <c r="D8" s="131">
        <v>94466.6</v>
      </c>
      <c r="E8" s="132">
        <v>59792.68</v>
      </c>
      <c r="F8" s="133">
        <v>3719.157480314961</v>
      </c>
      <c r="G8" s="133">
        <v>2354.0425196850397</v>
      </c>
      <c r="H8" s="134">
        <v>0.6329504819692886</v>
      </c>
      <c r="I8" s="142">
        <v>1859.5787401574805</v>
      </c>
      <c r="J8" s="137">
        <v>37191.574803149611</v>
      </c>
      <c r="K8" s="185">
        <v>1859.5787401574805</v>
      </c>
      <c r="L8" s="175">
        <f t="shared" si="1"/>
        <v>3.269414572419056</v>
      </c>
      <c r="M8" s="138">
        <v>1177.02</v>
      </c>
      <c r="N8" s="134">
        <f t="shared" si="0"/>
        <v>0.63294980448116045</v>
      </c>
      <c r="O8" s="138">
        <v>5</v>
      </c>
      <c r="P8" s="175">
        <f t="shared" ref="P8:Q23" si="4">10^S8</f>
        <v>1849.9687430484266</v>
      </c>
      <c r="Q8" s="138">
        <f t="shared" si="4"/>
        <v>2.7423627055111042</v>
      </c>
      <c r="R8" s="134">
        <f t="shared" si="3"/>
        <v>1.4823832650232606E-3</v>
      </c>
      <c r="S8" s="138">
        <v>3.2671643906536798</v>
      </c>
      <c r="T8" s="138">
        <v>0.43812489413864603</v>
      </c>
      <c r="U8" s="138">
        <v>0.195935409185783</v>
      </c>
      <c r="V8" s="138">
        <v>0.54400390776879304</v>
      </c>
    </row>
    <row r="9" spans="1:22" s="138" customFormat="1" x14ac:dyDescent="0.35">
      <c r="A9" s="135">
        <v>44659</v>
      </c>
      <c r="B9" s="138">
        <v>14</v>
      </c>
      <c r="C9" s="133">
        <v>4.42</v>
      </c>
      <c r="D9" s="131">
        <v>150.44999999999999</v>
      </c>
      <c r="E9" s="132">
        <v>9.8800000000000008</v>
      </c>
      <c r="F9" s="133">
        <v>7.0633802816901401</v>
      </c>
      <c r="G9" s="133">
        <v>0.46384976525821597</v>
      </c>
      <c r="H9" s="134">
        <v>6.5669657693585917E-2</v>
      </c>
      <c r="I9" s="142">
        <v>3.5316901408450705</v>
      </c>
      <c r="J9" s="137">
        <v>70.633802816901408</v>
      </c>
      <c r="K9" s="185">
        <v>3.5316901408450705</v>
      </c>
      <c r="L9" s="175">
        <f t="shared" si="1"/>
        <v>0.54798259297338048</v>
      </c>
      <c r="M9" s="138">
        <v>0.23</v>
      </c>
      <c r="N9" s="186">
        <f t="shared" si="0"/>
        <v>6.5124626121635096E-2</v>
      </c>
      <c r="O9" s="138">
        <v>5</v>
      </c>
      <c r="P9" s="175">
        <f t="shared" si="4"/>
        <v>12.590909251247872</v>
      </c>
      <c r="Q9" s="138">
        <f t="shared" si="4"/>
        <v>1.3531183482801341</v>
      </c>
      <c r="R9" s="134">
        <f t="shared" si="3"/>
        <v>0.1074678818883575</v>
      </c>
      <c r="S9" s="138">
        <v>1.1000570937727601</v>
      </c>
      <c r="T9" s="138">
        <v>0.13133578311441399</v>
      </c>
      <c r="U9" s="138">
        <v>5.8735147784399901E-2</v>
      </c>
      <c r="V9" s="138">
        <v>0.163074913569066</v>
      </c>
    </row>
    <row r="10" spans="1:22" s="138" customFormat="1" x14ac:dyDescent="0.35">
      <c r="A10" s="135">
        <v>44652</v>
      </c>
      <c r="B10" s="138">
        <v>15</v>
      </c>
      <c r="C10" s="133">
        <v>13.3</v>
      </c>
      <c r="D10" s="131">
        <v>922.2</v>
      </c>
      <c r="E10" s="132">
        <v>13.01</v>
      </c>
      <c r="F10" s="133">
        <v>36.888000000000005</v>
      </c>
      <c r="G10" s="133">
        <v>0.52039999999999997</v>
      </c>
      <c r="H10" s="134">
        <v>1.4107568857080892E-2</v>
      </c>
      <c r="I10" s="142">
        <v>18.444000000000003</v>
      </c>
      <c r="J10" s="137">
        <v>368.88000000000005</v>
      </c>
      <c r="K10" s="185">
        <v>18.444000000000003</v>
      </c>
      <c r="L10" s="175">
        <f t="shared" si="1"/>
        <v>1.2658551135473701</v>
      </c>
      <c r="M10" s="138">
        <v>0.26019999999999999</v>
      </c>
      <c r="N10" s="186">
        <f t="shared" si="0"/>
        <v>1.4107568857080892E-2</v>
      </c>
      <c r="O10" s="138">
        <v>5</v>
      </c>
      <c r="P10" s="175">
        <f t="shared" si="4"/>
        <v>23.910719279760887</v>
      </c>
      <c r="Q10" s="138">
        <f t="shared" si="4"/>
        <v>2.066364885844056</v>
      </c>
      <c r="R10" s="134">
        <f t="shared" si="3"/>
        <v>8.6420021985416415E-2</v>
      </c>
      <c r="S10" s="138">
        <v>1.37859264071354</v>
      </c>
      <c r="T10" s="138">
        <v>0.31520701317409999</v>
      </c>
      <c r="U10" s="138">
        <v>0.14096486168839201</v>
      </c>
      <c r="V10" s="138">
        <v>0.39138120023961898</v>
      </c>
    </row>
    <row r="11" spans="1:22" s="138" customFormat="1" x14ac:dyDescent="0.35">
      <c r="A11" s="135">
        <v>44652</v>
      </c>
      <c r="B11" s="138">
        <v>16</v>
      </c>
      <c r="C11" s="133">
        <v>240</v>
      </c>
      <c r="D11" s="131">
        <v>3409092</v>
      </c>
      <c r="E11" s="132">
        <v>209830.05</v>
      </c>
      <c r="F11" s="133">
        <v>118371.25</v>
      </c>
      <c r="G11" s="133">
        <v>7285.7656249999991</v>
      </c>
      <c r="H11" s="134">
        <v>6.1550128303958937E-2</v>
      </c>
      <c r="I11" s="142">
        <v>59185.625</v>
      </c>
      <c r="J11" s="137">
        <v>1183712.5</v>
      </c>
      <c r="K11" s="185">
        <v>59185.625</v>
      </c>
      <c r="L11" s="175">
        <f t="shared" si="1"/>
        <v>4.7722162381204933</v>
      </c>
      <c r="M11" s="138">
        <v>3642.8828130000002</v>
      </c>
      <c r="N11" s="186">
        <f t="shared" si="0"/>
        <v>6.1550128312406943E-2</v>
      </c>
      <c r="O11" s="138">
        <v>5</v>
      </c>
      <c r="P11" s="175">
        <f t="shared" si="4"/>
        <v>76.556726570879647</v>
      </c>
      <c r="Q11" s="138">
        <f t="shared" si="4"/>
        <v>1.4082111560773272</v>
      </c>
      <c r="R11" s="134">
        <f t="shared" si="3"/>
        <v>1.8394349120629424E-2</v>
      </c>
      <c r="S11" s="138">
        <v>1.88398335550812</v>
      </c>
      <c r="T11" s="138">
        <v>0.14866778054723501</v>
      </c>
      <c r="U11" s="138">
        <v>6.6486252673527896E-2</v>
      </c>
      <c r="V11" s="138">
        <v>0.18459543079835999</v>
      </c>
    </row>
    <row r="12" spans="1:22" s="138" customFormat="1" x14ac:dyDescent="0.35">
      <c r="A12" s="135">
        <v>44657</v>
      </c>
      <c r="B12" s="138">
        <v>17</v>
      </c>
      <c r="C12" s="133">
        <v>5.62</v>
      </c>
      <c r="D12" s="131">
        <v>3592.68</v>
      </c>
      <c r="E12" s="132">
        <v>1440.96</v>
      </c>
      <c r="F12" s="133">
        <v>221.77037037037036</v>
      </c>
      <c r="G12" s="133">
        <v>88.94814814814815</v>
      </c>
      <c r="H12" s="134">
        <v>0.40108220047429777</v>
      </c>
      <c r="I12" s="142">
        <v>110.88518518518518</v>
      </c>
      <c r="J12" s="137">
        <v>2217.7037037037035</v>
      </c>
      <c r="K12" s="185">
        <v>110.88518518518518</v>
      </c>
      <c r="L12" s="175">
        <f t="shared" si="1"/>
        <v>2.0448735261120805</v>
      </c>
      <c r="M12" s="138">
        <v>44.47</v>
      </c>
      <c r="N12" s="134">
        <f t="shared" si="0"/>
        <v>0.40104545910017037</v>
      </c>
      <c r="O12" s="138">
        <v>5</v>
      </c>
      <c r="P12" s="175">
        <f t="shared" si="4"/>
        <v>51.539935002012456</v>
      </c>
      <c r="Q12" s="138">
        <f t="shared" si="4"/>
        <v>1.2680758441009943</v>
      </c>
      <c r="R12" s="134">
        <f t="shared" si="3"/>
        <v>2.4603753265336488E-2</v>
      </c>
      <c r="S12" s="138">
        <v>1.71214386651824</v>
      </c>
      <c r="T12" s="138">
        <v>0.103145229641526</v>
      </c>
      <c r="U12" s="138">
        <v>4.6127949006655698E-2</v>
      </c>
      <c r="V12" s="138">
        <v>0.12807171823234301</v>
      </c>
    </row>
    <row r="13" spans="1:22" s="138" customFormat="1" x14ac:dyDescent="0.35">
      <c r="A13" s="135">
        <v>44652</v>
      </c>
      <c r="B13" s="138">
        <v>18</v>
      </c>
      <c r="C13" s="133">
        <v>13.5</v>
      </c>
      <c r="D13" s="131">
        <v>10732.58</v>
      </c>
      <c r="E13" s="132">
        <v>1665.99</v>
      </c>
      <c r="F13" s="133">
        <v>464.61385281385276</v>
      </c>
      <c r="G13" s="133">
        <v>72.120779220779212</v>
      </c>
      <c r="H13" s="134">
        <v>0.15522735446649361</v>
      </c>
      <c r="I13" s="142">
        <v>232.30692640692638</v>
      </c>
      <c r="J13" s="137">
        <v>4646.1385281385274</v>
      </c>
      <c r="K13" s="185">
        <v>232.30692640692638</v>
      </c>
      <c r="L13" s="175">
        <f t="shared" si="1"/>
        <v>2.3660621588121282</v>
      </c>
      <c r="M13" s="138">
        <v>36.060389610000001</v>
      </c>
      <c r="N13" s="187">
        <f t="shared" si="0"/>
        <v>0.1552273544648165</v>
      </c>
      <c r="O13" s="138">
        <v>5</v>
      </c>
      <c r="P13" s="175">
        <f t="shared" si="4"/>
        <v>13.633996230453084</v>
      </c>
      <c r="Q13" s="138">
        <f t="shared" si="4"/>
        <v>1.389446396390257</v>
      </c>
      <c r="R13" s="134">
        <f t="shared" si="3"/>
        <v>0.10191042838098856</v>
      </c>
      <c r="S13" s="138">
        <v>1.13462316958809</v>
      </c>
      <c r="T13" s="138">
        <v>0.14284179674061501</v>
      </c>
      <c r="U13" s="138">
        <v>6.3880793508044501E-2</v>
      </c>
      <c r="V13" s="138">
        <v>0.17736151645156101</v>
      </c>
    </row>
    <row r="14" spans="1:22" s="138" customFormat="1" x14ac:dyDescent="0.35">
      <c r="A14" s="135">
        <v>44659</v>
      </c>
      <c r="B14" s="138">
        <v>19</v>
      </c>
      <c r="C14" s="133">
        <v>6.68</v>
      </c>
      <c r="D14" s="131">
        <v>423.41</v>
      </c>
      <c r="E14" s="132">
        <v>287.05</v>
      </c>
      <c r="F14" s="133">
        <v>20.162380952380953</v>
      </c>
      <c r="G14" s="133">
        <v>13.669047619047619</v>
      </c>
      <c r="H14" s="134">
        <v>0.67794808814151764</v>
      </c>
      <c r="I14" s="142">
        <v>10.081190476190477</v>
      </c>
      <c r="J14" s="137">
        <v>201.62380952380954</v>
      </c>
      <c r="K14" s="185">
        <v>10.081190476190477</v>
      </c>
      <c r="L14" s="175">
        <f t="shared" si="1"/>
        <v>1.0035118204738094</v>
      </c>
      <c r="M14" s="138">
        <v>6.83</v>
      </c>
      <c r="N14" s="134">
        <f t="shared" si="0"/>
        <v>0.6774993505113247</v>
      </c>
      <c r="O14" s="138">
        <v>5</v>
      </c>
      <c r="P14" s="175">
        <f t="shared" si="4"/>
        <v>78.035938174830136</v>
      </c>
      <c r="Q14" s="138">
        <f t="shared" si="4"/>
        <v>1.3605064814806909</v>
      </c>
      <c r="R14" s="134">
        <f t="shared" si="3"/>
        <v>1.7434357980455617E-2</v>
      </c>
      <c r="S14" s="138">
        <v>1.89229465597919</v>
      </c>
      <c r="T14" s="138">
        <v>0.13370061510849501</v>
      </c>
      <c r="U14" s="138">
        <v>5.9792732803226001E-2</v>
      </c>
      <c r="V14" s="138">
        <v>0.166011240317917</v>
      </c>
    </row>
    <row r="15" spans="1:22" s="138" customFormat="1" x14ac:dyDescent="0.35">
      <c r="A15" s="135">
        <v>44652</v>
      </c>
      <c r="B15" s="138">
        <v>20</v>
      </c>
      <c r="C15" s="133">
        <v>25.3</v>
      </c>
      <c r="D15" s="131">
        <v>1143.3900000000001</v>
      </c>
      <c r="E15" s="132">
        <v>526.97</v>
      </c>
      <c r="F15" s="133">
        <v>41.129136690647485</v>
      </c>
      <c r="G15" s="133">
        <v>18.955755395683454</v>
      </c>
      <c r="H15" s="134">
        <v>0.46088386289892336</v>
      </c>
      <c r="I15" s="142">
        <v>20.564568345323742</v>
      </c>
      <c r="J15" s="137">
        <v>411.29136690647488</v>
      </c>
      <c r="K15" s="185">
        <v>20.564568345323742</v>
      </c>
      <c r="L15" s="175">
        <f t="shared" si="1"/>
        <v>1.3131195980070494</v>
      </c>
      <c r="M15" s="138">
        <v>9.4778776980000004</v>
      </c>
      <c r="N15" s="134">
        <f t="shared" si="0"/>
        <v>0.46088386290661976</v>
      </c>
      <c r="O15" s="138">
        <v>4</v>
      </c>
      <c r="P15" s="175">
        <f t="shared" si="4"/>
        <v>12.898837671343088</v>
      </c>
      <c r="Q15" s="138">
        <f t="shared" si="4"/>
        <v>1.621047110003915</v>
      </c>
      <c r="R15" s="134">
        <f t="shared" si="3"/>
        <v>0.12567389026108458</v>
      </c>
      <c r="S15" s="138">
        <v>1.1105505773019699</v>
      </c>
      <c r="T15" s="138">
        <v>0.20979563626581699</v>
      </c>
      <c r="U15" s="138">
        <v>0.10489781813290799</v>
      </c>
      <c r="V15" s="138">
        <v>0.33383167374939698</v>
      </c>
    </row>
    <row r="16" spans="1:22" s="138" customFormat="1" x14ac:dyDescent="0.35">
      <c r="A16" s="135">
        <v>44659</v>
      </c>
      <c r="B16" s="138">
        <v>21</v>
      </c>
      <c r="C16" s="133">
        <v>344</v>
      </c>
      <c r="D16" s="131">
        <v>518.34</v>
      </c>
      <c r="E16" s="132">
        <v>59.04</v>
      </c>
      <c r="F16" s="133">
        <v>19.634090909090911</v>
      </c>
      <c r="G16" s="133">
        <v>2.2363636363636363</v>
      </c>
      <c r="H16" s="134">
        <v>0.11390207199907396</v>
      </c>
      <c r="I16" s="142">
        <v>9.8170454545454557</v>
      </c>
      <c r="J16" s="137">
        <v>196.34090909090912</v>
      </c>
      <c r="K16" s="185">
        <v>9.8170454545454557</v>
      </c>
      <c r="L16" s="175">
        <f t="shared" si="1"/>
        <v>0.99198080185457826</v>
      </c>
      <c r="M16" s="138">
        <v>1.1200000000000001</v>
      </c>
      <c r="N16" s="187">
        <f t="shared" si="0"/>
        <v>0.11408727862021067</v>
      </c>
      <c r="O16" s="138">
        <v>5</v>
      </c>
      <c r="P16" s="175">
        <f t="shared" si="4"/>
        <v>8411.869543269222</v>
      </c>
      <c r="Q16" s="138">
        <f t="shared" si="4"/>
        <v>3.4536245475916685</v>
      </c>
      <c r="R16" s="134">
        <f t="shared" si="3"/>
        <v>4.1056563345720151E-4</v>
      </c>
      <c r="S16" s="138">
        <v>3.9248925287459002</v>
      </c>
      <c r="T16" s="138">
        <v>0.53827512252732801</v>
      </c>
      <c r="U16" s="138">
        <v>0.240723952913627</v>
      </c>
      <c r="V16" s="138">
        <v>0.66835684077090296</v>
      </c>
    </row>
    <row r="17" spans="1:22" s="138" customFormat="1" x14ac:dyDescent="0.35">
      <c r="A17" s="135">
        <v>44659</v>
      </c>
      <c r="B17" s="138">
        <v>22</v>
      </c>
      <c r="C17" s="133">
        <v>7.41</v>
      </c>
      <c r="D17" s="131">
        <v>396.06</v>
      </c>
      <c r="E17" s="132">
        <v>115.64</v>
      </c>
      <c r="F17" s="133">
        <v>14.889473684210525</v>
      </c>
      <c r="G17" s="133">
        <v>4.3473684210526313</v>
      </c>
      <c r="H17" s="134">
        <v>0.29197596323789327</v>
      </c>
      <c r="I17" s="142">
        <v>7.4447368421052627</v>
      </c>
      <c r="J17" s="137">
        <v>148.89473684210526</v>
      </c>
      <c r="K17" s="185">
        <v>7.4447368421052627</v>
      </c>
      <c r="L17" s="175">
        <f t="shared" si="1"/>
        <v>0.87184935084018067</v>
      </c>
      <c r="M17" s="138">
        <v>2.17</v>
      </c>
      <c r="N17" s="134">
        <f t="shared" si="0"/>
        <v>0.29148108872393075</v>
      </c>
      <c r="O17" s="138">
        <v>5</v>
      </c>
      <c r="P17" s="175">
        <f t="shared" si="4"/>
        <v>33.373169283776292</v>
      </c>
      <c r="Q17" s="138">
        <f t="shared" si="4"/>
        <v>1.7180486059533095</v>
      </c>
      <c r="R17" s="134">
        <f t="shared" si="3"/>
        <v>5.1479935613681888E-2</v>
      </c>
      <c r="S17" s="138">
        <v>1.52339745139853</v>
      </c>
      <c r="T17" s="138">
        <v>0.23503544645605101</v>
      </c>
      <c r="U17" s="138">
        <v>0.10511104707954801</v>
      </c>
      <c r="V17" s="138">
        <v>0.29183505216622702</v>
      </c>
    </row>
    <row r="18" spans="1:22" s="138" customFormat="1" x14ac:dyDescent="0.35">
      <c r="A18" s="135">
        <v>44659</v>
      </c>
      <c r="B18" s="138">
        <v>23</v>
      </c>
      <c r="C18" s="133">
        <v>7.31</v>
      </c>
      <c r="D18" s="131">
        <v>708.27</v>
      </c>
      <c r="E18" s="132">
        <v>58.85</v>
      </c>
      <c r="F18" s="133">
        <v>23.687959866220737</v>
      </c>
      <c r="G18" s="133">
        <v>1.968227424749164</v>
      </c>
      <c r="H18" s="134">
        <v>8.3089782145227109E-2</v>
      </c>
      <c r="I18" s="142">
        <v>11.843979933110369</v>
      </c>
      <c r="J18" s="137">
        <v>236.87959866220737</v>
      </c>
      <c r="K18" s="185">
        <v>11.843979933110369</v>
      </c>
      <c r="L18" s="175">
        <f t="shared" si="1"/>
        <v>1.0734976629061488</v>
      </c>
      <c r="M18" s="138">
        <v>0.98</v>
      </c>
      <c r="N18" s="186">
        <f t="shared" si="0"/>
        <v>8.2742456972623432E-2</v>
      </c>
      <c r="O18" s="138">
        <v>5</v>
      </c>
      <c r="P18" s="175">
        <f t="shared" si="4"/>
        <v>41.232447492616863</v>
      </c>
      <c r="Q18" s="138">
        <f t="shared" si="4"/>
        <v>1.4322963326647016</v>
      </c>
      <c r="R18" s="134">
        <f t="shared" si="3"/>
        <v>3.4737116512939731E-2</v>
      </c>
      <c r="S18" s="138">
        <v>1.6152391145973899</v>
      </c>
      <c r="T18" s="138">
        <v>0.156032879932053</v>
      </c>
      <c r="U18" s="138">
        <v>6.9780025250626598E-2</v>
      </c>
      <c r="V18" s="138">
        <v>0.19374040954768099</v>
      </c>
    </row>
    <row r="19" spans="1:22" s="138" customFormat="1" x14ac:dyDescent="0.35">
      <c r="A19" s="135">
        <v>44673</v>
      </c>
      <c r="B19" s="138">
        <v>24</v>
      </c>
      <c r="C19" s="133" t="e">
        <v>#VALUE!</v>
      </c>
      <c r="D19" s="131">
        <v>467.79</v>
      </c>
      <c r="E19" s="132">
        <v>343.03</v>
      </c>
      <c r="F19" s="133">
        <v>16.94891304347826</v>
      </c>
      <c r="G19" s="133">
        <v>12.428623188405796</v>
      </c>
      <c r="H19" s="134">
        <v>0.73329912995147395</v>
      </c>
      <c r="I19" s="142">
        <v>8.4744565217391301</v>
      </c>
      <c r="J19" s="137">
        <v>169.4891304347826</v>
      </c>
      <c r="K19" s="185">
        <v>8.4744565217391301</v>
      </c>
      <c r="L19" s="175">
        <f t="shared" si="1"/>
        <v>0.92811185588066358</v>
      </c>
      <c r="M19" s="138">
        <v>6.21</v>
      </c>
      <c r="N19" s="134">
        <f t="shared" si="0"/>
        <v>0.7327903546463157</v>
      </c>
      <c r="O19" s="138">
        <v>4</v>
      </c>
      <c r="P19" s="175">
        <f t="shared" si="4"/>
        <v>32.321081322882904</v>
      </c>
      <c r="Q19" s="138">
        <f t="shared" si="4"/>
        <v>12.123676948529448</v>
      </c>
      <c r="R19" s="134">
        <f t="shared" si="3"/>
        <v>0.37510121729578533</v>
      </c>
      <c r="S19" s="138">
        <v>1.5094858819511101</v>
      </c>
      <c r="T19" s="138">
        <v>1.0836343554966199</v>
      </c>
      <c r="U19" s="138">
        <v>0.54181717774831095</v>
      </c>
      <c r="V19" s="138">
        <v>1.7243040754643599</v>
      </c>
    </row>
    <row r="20" spans="1:22" s="138" customFormat="1" x14ac:dyDescent="0.35">
      <c r="A20" s="135">
        <v>44659</v>
      </c>
      <c r="B20" s="138">
        <v>28</v>
      </c>
      <c r="C20" s="133">
        <v>5.42</v>
      </c>
      <c r="D20" s="131">
        <v>1388.85</v>
      </c>
      <c r="E20" s="132">
        <v>145.01</v>
      </c>
      <c r="F20" s="133">
        <v>51.438888888888883</v>
      </c>
      <c r="G20" s="133">
        <v>5.3707407407407404</v>
      </c>
      <c r="H20" s="134">
        <v>0.10441012348345755</v>
      </c>
      <c r="I20" s="142">
        <v>25.719444444444441</v>
      </c>
      <c r="J20" s="137">
        <v>514.3888888888888</v>
      </c>
      <c r="K20" s="185">
        <v>25.719444444444441</v>
      </c>
      <c r="L20" s="175">
        <f t="shared" si="1"/>
        <v>1.4102615833300232</v>
      </c>
      <c r="M20" s="138">
        <v>2.69</v>
      </c>
      <c r="N20" s="186">
        <f t="shared" si="0"/>
        <v>0.10459012852359867</v>
      </c>
      <c r="O20" s="138">
        <v>5</v>
      </c>
      <c r="P20" s="175">
        <f t="shared" si="4"/>
        <v>18.959062930426388</v>
      </c>
      <c r="Q20" s="138">
        <f t="shared" si="4"/>
        <v>1.3961518342319255</v>
      </c>
      <c r="R20" s="134">
        <f t="shared" si="3"/>
        <v>7.364033968109869E-2</v>
      </c>
      <c r="S20" s="138">
        <v>1.27781686811797</v>
      </c>
      <c r="T20" s="138">
        <v>0.144932651226516</v>
      </c>
      <c r="U20" s="138">
        <v>6.4815852060351703E-2</v>
      </c>
      <c r="V20" s="138">
        <v>0.17995765519218801</v>
      </c>
    </row>
    <row r="21" spans="1:22" s="138" customFormat="1" x14ac:dyDescent="0.35">
      <c r="A21" s="135">
        <v>44652</v>
      </c>
      <c r="B21" s="138">
        <v>29</v>
      </c>
      <c r="C21" s="133">
        <v>18.5</v>
      </c>
      <c r="D21" s="131">
        <v>382.7</v>
      </c>
      <c r="E21" s="132">
        <v>51.17</v>
      </c>
      <c r="F21" s="133">
        <v>20.5752688172043</v>
      </c>
      <c r="G21" s="133">
        <v>2.7510752688172042</v>
      </c>
      <c r="H21" s="134">
        <v>0.13370786516853933</v>
      </c>
      <c r="I21" s="142">
        <v>10.28763440860215</v>
      </c>
      <c r="J21" s="137">
        <v>205.75268817204301</v>
      </c>
      <c r="K21" s="185">
        <v>10.28763440860215</v>
      </c>
      <c r="L21" s="175">
        <f t="shared" si="1"/>
        <v>1.0123155223426017</v>
      </c>
      <c r="M21" s="138">
        <v>1.3755376340000001</v>
      </c>
      <c r="N21" s="187">
        <f t="shared" si="0"/>
        <v>0.13370786512882155</v>
      </c>
      <c r="O21" s="138">
        <v>5</v>
      </c>
      <c r="P21" s="175">
        <f t="shared" si="4"/>
        <v>6088.7640134714275</v>
      </c>
      <c r="Q21" s="138">
        <f t="shared" si="4"/>
        <v>1.52597314023898</v>
      </c>
      <c r="R21" s="134">
        <f t="shared" si="3"/>
        <v>2.5062116660503757E-4</v>
      </c>
      <c r="S21" s="138">
        <v>3.7845291421226399</v>
      </c>
      <c r="T21" s="138">
        <v>0.18354688935368599</v>
      </c>
      <c r="U21" s="138">
        <v>8.2084664330695001E-2</v>
      </c>
      <c r="V21" s="138">
        <v>0.227903564492762</v>
      </c>
    </row>
    <row r="22" spans="1:22" s="138" customFormat="1" x14ac:dyDescent="0.35">
      <c r="A22" s="135">
        <v>44659</v>
      </c>
      <c r="B22" s="138">
        <v>30</v>
      </c>
      <c r="C22" s="133">
        <v>7.87</v>
      </c>
      <c r="D22" s="131">
        <v>720.79</v>
      </c>
      <c r="E22" s="132">
        <v>201.87</v>
      </c>
      <c r="F22" s="133">
        <v>28.831599999999998</v>
      </c>
      <c r="G22" s="133">
        <v>8.0747999999999998</v>
      </c>
      <c r="H22" s="134">
        <v>0.28006770349200183</v>
      </c>
      <c r="I22" s="142">
        <v>14.415799999999999</v>
      </c>
      <c r="J22" s="137">
        <v>288.31599999999997</v>
      </c>
      <c r="K22" s="185">
        <v>14.415799999999999</v>
      </c>
      <c r="L22" s="175">
        <f t="shared" si="1"/>
        <v>1.1588387484200249</v>
      </c>
      <c r="M22" s="138">
        <v>4.04</v>
      </c>
      <c r="N22" s="134">
        <f t="shared" si="0"/>
        <v>0.28024806115512146</v>
      </c>
      <c r="O22" s="138">
        <v>5</v>
      </c>
      <c r="P22" s="175">
        <f t="shared" si="4"/>
        <v>23.22051810069912</v>
      </c>
      <c r="Q22" s="138">
        <f t="shared" si="4"/>
        <v>1.2852433420679985</v>
      </c>
      <c r="R22" s="134">
        <f t="shared" si="3"/>
        <v>5.5349468797136897E-2</v>
      </c>
      <c r="S22" s="138">
        <v>1.36587190557329</v>
      </c>
      <c r="T22" s="138">
        <v>0.108985362773953</v>
      </c>
      <c r="U22" s="138">
        <v>4.87397359430067E-2</v>
      </c>
      <c r="V22" s="138">
        <v>0.13532320128759401</v>
      </c>
    </row>
    <row r="23" spans="1:22" s="138" customFormat="1" x14ac:dyDescent="0.35">
      <c r="A23" s="135">
        <v>44659</v>
      </c>
      <c r="B23" s="138">
        <v>31</v>
      </c>
      <c r="C23" s="133">
        <v>3.72</v>
      </c>
      <c r="D23" s="131">
        <v>13813765</v>
      </c>
      <c r="E23" s="132">
        <v>299322.62</v>
      </c>
      <c r="F23" s="133">
        <v>460458.83333333331</v>
      </c>
      <c r="G23" s="133">
        <v>9977.4206666666669</v>
      </c>
      <c r="H23" s="134">
        <v>2.1668431452250711E-2</v>
      </c>
      <c r="I23" s="142">
        <v>230229.41666666666</v>
      </c>
      <c r="J23" s="137">
        <v>4604588.333333333</v>
      </c>
      <c r="K23" s="185">
        <v>230229.41666666666</v>
      </c>
      <c r="L23" s="175">
        <f t="shared" si="1"/>
        <v>5.362160813124377</v>
      </c>
      <c r="M23" s="138">
        <v>4988.71</v>
      </c>
      <c r="N23" s="186">
        <f t="shared" si="0"/>
        <v>2.1668430004419505E-2</v>
      </c>
      <c r="O23" s="138">
        <v>5</v>
      </c>
      <c r="P23" s="175">
        <f t="shared" si="4"/>
        <v>47.563920729050054</v>
      </c>
      <c r="Q23" s="138">
        <f t="shared" si="4"/>
        <v>1.3534882009175377</v>
      </c>
      <c r="R23" s="134">
        <f t="shared" si="3"/>
        <v>2.84561949513738E-2</v>
      </c>
      <c r="S23" s="138">
        <v>1.67727764663652</v>
      </c>
      <c r="T23" s="138">
        <v>0.131454474145136</v>
      </c>
      <c r="U23" s="138">
        <v>5.8788228027002599E-2</v>
      </c>
      <c r="V23" s="138">
        <v>0.16322228794882301</v>
      </c>
    </row>
    <row r="24" spans="1:22" s="138" customFormat="1" x14ac:dyDescent="0.35">
      <c r="A24" s="135">
        <v>44662</v>
      </c>
      <c r="B24" s="138">
        <v>34</v>
      </c>
      <c r="C24" s="133">
        <v>9.18</v>
      </c>
      <c r="D24" s="131">
        <v>8741229</v>
      </c>
      <c r="E24" s="132">
        <v>1019141.3</v>
      </c>
      <c r="F24" s="133">
        <v>291374.3</v>
      </c>
      <c r="G24" s="133">
        <v>33971.376666666671</v>
      </c>
      <c r="H24" s="134">
        <v>0.11659016140636519</v>
      </c>
      <c r="I24" s="142">
        <v>145687.15</v>
      </c>
      <c r="J24" s="137">
        <v>2913743</v>
      </c>
      <c r="K24" s="185">
        <v>145687.15</v>
      </c>
      <c r="L24" s="175">
        <f t="shared" si="1"/>
        <v>5.1634212475132921</v>
      </c>
      <c r="M24" s="138">
        <v>16985.689999999999</v>
      </c>
      <c r="N24" s="187">
        <f t="shared" si="0"/>
        <v>0.11659017284640409</v>
      </c>
      <c r="O24" s="138">
        <v>5</v>
      </c>
      <c r="P24" s="175">
        <f>10^S24</f>
        <v>39.043436788232682</v>
      </c>
      <c r="Q24" s="138">
        <f>10^T24</f>
        <v>1.6415215855168548</v>
      </c>
      <c r="R24" s="134">
        <f t="shared" si="3"/>
        <v>4.2043470568953439E-2</v>
      </c>
      <c r="S24" s="138">
        <v>1.59154803933459</v>
      </c>
      <c r="T24" s="138">
        <v>0.215246597945178</v>
      </c>
      <c r="U24" s="138">
        <v>9.6261204986197099E-2</v>
      </c>
      <c r="V24" s="138">
        <v>0.26726395140436798</v>
      </c>
    </row>
    <row r="25" spans="1:22" s="138" customFormat="1" ht="15" thickBot="1" x14ac:dyDescent="0.4">
      <c r="A25" s="135">
        <v>44662</v>
      </c>
      <c r="B25" s="138">
        <v>35</v>
      </c>
      <c r="C25" s="133">
        <v>191</v>
      </c>
      <c r="D25" s="131">
        <v>23493094</v>
      </c>
      <c r="E25" s="132">
        <v>2479077.75</v>
      </c>
      <c r="F25" s="133">
        <v>783103.1333333333</v>
      </c>
      <c r="G25" s="133">
        <v>82635.925000000003</v>
      </c>
      <c r="H25" s="134">
        <v>0.10552368070378471</v>
      </c>
      <c r="I25" s="143">
        <v>391551.56666666665</v>
      </c>
      <c r="J25" s="140">
        <v>7831031.333333333</v>
      </c>
      <c r="K25" s="185">
        <v>391551.56666666665</v>
      </c>
      <c r="L25" s="175">
        <f t="shared" si="1"/>
        <v>5.5927889659955445</v>
      </c>
      <c r="M25" s="138">
        <v>41317.96</v>
      </c>
      <c r="N25" s="187">
        <f t="shared" si="0"/>
        <v>0.10552367431892964</v>
      </c>
      <c r="O25" s="138">
        <v>5</v>
      </c>
      <c r="P25" s="175">
        <f>10^S25</f>
        <v>3993.0457450606932</v>
      </c>
      <c r="Q25" s="138">
        <f>10^T25</f>
        <v>5.4513086389549761</v>
      </c>
      <c r="R25" s="134">
        <f t="shared" si="3"/>
        <v>1.3652006480762513E-3</v>
      </c>
      <c r="S25" s="138">
        <v>3.60130428557967</v>
      </c>
      <c r="T25" s="138">
        <v>0.73650077135084302</v>
      </c>
      <c r="U25" s="138">
        <v>0.329373158044303</v>
      </c>
      <c r="V25" s="138">
        <v>0.91448649243564495</v>
      </c>
    </row>
    <row r="26" spans="1:22" x14ac:dyDescent="0.35">
      <c r="K26">
        <f>PEARSON(K2:K25,P2:P25)</f>
        <v>3.5557058031657346E-2</v>
      </c>
      <c r="L26">
        <f>PEARSON(L2:L25,S2:S25)</f>
        <v>0.10427603948600045</v>
      </c>
    </row>
    <row r="27" spans="1:22" x14ac:dyDescent="0.35">
      <c r="K27"/>
      <c r="L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FA67C-28D1-4770-9055-9AE1E5BC9E05}">
  <dimension ref="A1:U39"/>
  <sheetViews>
    <sheetView topLeftCell="E1" workbookViewId="0">
      <selection activeCell="Q4" sqref="Q4"/>
    </sheetView>
  </sheetViews>
  <sheetFormatPr defaultRowHeight="14.5" x14ac:dyDescent="0.35"/>
  <cols>
    <col min="1" max="1" width="17.453125" bestFit="1" customWidth="1"/>
    <col min="2" max="2" width="8.81640625" bestFit="1" customWidth="1"/>
    <col min="3" max="3" width="15.453125" bestFit="1" customWidth="1"/>
    <col min="4" max="4" width="16.1796875" bestFit="1" customWidth="1"/>
    <col min="5" max="5" width="17.81640625" bestFit="1" customWidth="1"/>
    <col min="6" max="6" width="10.81640625" bestFit="1" customWidth="1"/>
    <col min="7" max="7" width="9.81640625" bestFit="1" customWidth="1"/>
    <col min="8" max="8" width="9.54296875" bestFit="1" customWidth="1"/>
    <col min="9" max="9" width="10.7265625" bestFit="1" customWidth="1"/>
    <col min="10" max="10" width="19.453125" bestFit="1" customWidth="1"/>
    <col min="11" max="11" width="13" style="1" bestFit="1" customWidth="1"/>
    <col min="12" max="12" width="12.54296875" bestFit="1" customWidth="1"/>
    <col min="13" max="13" width="12.453125" customWidth="1"/>
    <col min="14" max="14" width="9.54296875" bestFit="1" customWidth="1"/>
    <col min="15" max="15" width="12" style="1" customWidth="1"/>
    <col min="16" max="16" width="12" customWidth="1"/>
    <col min="17" max="17" width="11.453125" bestFit="1" customWidth="1"/>
    <col min="18" max="18" width="12.1796875" bestFit="1" customWidth="1"/>
    <col min="19" max="19" width="12" bestFit="1" customWidth="1"/>
    <col min="20" max="21" width="12.1796875" bestFit="1" customWidth="1"/>
  </cols>
  <sheetData>
    <row r="1" spans="1:21" ht="44" thickBot="1" x14ac:dyDescent="0.4">
      <c r="A1" t="s">
        <v>113</v>
      </c>
      <c r="B1" s="13" t="s">
        <v>7</v>
      </c>
      <c r="C1" s="14" t="s">
        <v>77</v>
      </c>
      <c r="D1" s="19" t="s">
        <v>24</v>
      </c>
      <c r="E1" s="19" t="s">
        <v>25</v>
      </c>
      <c r="F1" s="36" t="s">
        <v>71</v>
      </c>
      <c r="G1" s="36" t="s">
        <v>101</v>
      </c>
      <c r="H1" s="36" t="s">
        <v>105</v>
      </c>
      <c r="I1" s="130" t="s">
        <v>121</v>
      </c>
      <c r="J1" s="50" t="s">
        <v>114</v>
      </c>
      <c r="K1" s="1" t="s">
        <v>115</v>
      </c>
      <c r="L1" t="s">
        <v>116</v>
      </c>
      <c r="M1" t="s">
        <v>122</v>
      </c>
      <c r="N1" t="s">
        <v>117</v>
      </c>
      <c r="O1" s="1" t="s">
        <v>118</v>
      </c>
      <c r="P1" t="s">
        <v>93</v>
      </c>
      <c r="R1" t="s">
        <v>123</v>
      </c>
      <c r="S1" t="s">
        <v>124</v>
      </c>
      <c r="T1" t="s">
        <v>119</v>
      </c>
      <c r="U1" t="s">
        <v>120</v>
      </c>
    </row>
    <row r="2" spans="1:21" s="138" customFormat="1" x14ac:dyDescent="0.35">
      <c r="A2" s="135">
        <v>44652</v>
      </c>
      <c r="B2" s="136">
        <v>1</v>
      </c>
      <c r="C2" s="141">
        <v>200</v>
      </c>
      <c r="D2" s="131">
        <v>2006.65</v>
      </c>
      <c r="E2" s="132">
        <v>1202.8800000000001</v>
      </c>
      <c r="F2" s="133">
        <v>83.610416666666666</v>
      </c>
      <c r="G2" s="133">
        <v>50.120000000000005</v>
      </c>
      <c r="H2" s="134">
        <v>0.59944683925946229</v>
      </c>
      <c r="I2" s="142">
        <v>41.805208333333333</v>
      </c>
      <c r="J2" s="137">
        <v>836.10416666666663</v>
      </c>
      <c r="K2" s="175">
        <v>41.805208333333333</v>
      </c>
      <c r="L2" s="138">
        <v>25.06</v>
      </c>
      <c r="M2" s="134">
        <f>L2/K2</f>
        <v>0.59944683925946229</v>
      </c>
      <c r="N2" s="138">
        <v>5</v>
      </c>
      <c r="O2" s="175">
        <f>10^R2</f>
        <v>2039.7735074425541</v>
      </c>
      <c r="P2" s="138">
        <f>10^S2</f>
        <v>2.4659551383479621</v>
      </c>
      <c r="Q2" s="134">
        <f>P2/O2</f>
        <v>1.2089357614217422E-3</v>
      </c>
      <c r="R2" s="138">
        <v>3.3095819468725698</v>
      </c>
      <c r="S2" s="138">
        <v>0.39198517147092499</v>
      </c>
      <c r="T2" s="138">
        <v>0.17530109791618001</v>
      </c>
      <c r="U2" s="138">
        <v>0.48671387524517701</v>
      </c>
    </row>
    <row r="3" spans="1:21" s="138" customFormat="1" x14ac:dyDescent="0.35">
      <c r="A3" s="155">
        <v>44652</v>
      </c>
      <c r="B3" s="163">
        <v>2</v>
      </c>
      <c r="C3" s="161">
        <v>27.2</v>
      </c>
      <c r="D3" s="158">
        <v>116491.73</v>
      </c>
      <c r="E3" s="159">
        <v>36158.949999999997</v>
      </c>
      <c r="F3" s="157">
        <v>4586.2885826771653</v>
      </c>
      <c r="G3" s="157">
        <v>1423.5807086614172</v>
      </c>
      <c r="H3" s="160">
        <v>0.31039928757174434</v>
      </c>
      <c r="I3" s="161">
        <v>2293.1442913385827</v>
      </c>
      <c r="J3" s="162">
        <v>45862.885826771657</v>
      </c>
      <c r="K3" s="176">
        <v>2293.1442913385827</v>
      </c>
      <c r="L3" s="156"/>
      <c r="M3" s="160"/>
      <c r="N3" s="156"/>
      <c r="O3" s="176"/>
      <c r="P3" s="156"/>
      <c r="Q3" s="160"/>
      <c r="R3" s="156"/>
      <c r="S3" s="156"/>
      <c r="T3" s="156"/>
      <c r="U3" s="156"/>
    </row>
    <row r="4" spans="1:21" s="138" customFormat="1" x14ac:dyDescent="0.35">
      <c r="A4" s="135">
        <v>44662</v>
      </c>
      <c r="B4" s="139">
        <v>3</v>
      </c>
      <c r="C4" s="142">
        <v>2</v>
      </c>
      <c r="D4" s="131">
        <v>542.95000000000005</v>
      </c>
      <c r="E4" s="132">
        <v>110.25</v>
      </c>
      <c r="F4" s="133">
        <v>19.253546099290784</v>
      </c>
      <c r="G4" s="133">
        <v>3.9095744680851063</v>
      </c>
      <c r="H4" s="134">
        <v>0.20305737176535588</v>
      </c>
      <c r="I4" s="142">
        <v>9.6267730496453918</v>
      </c>
      <c r="J4" s="137">
        <v>192.53546099290784</v>
      </c>
      <c r="K4" s="175">
        <v>9.6267730496453918</v>
      </c>
      <c r="L4" s="138">
        <v>1.95</v>
      </c>
      <c r="M4" s="134">
        <f t="shared" ref="M4:M36" si="0">L4/K4</f>
        <v>0.20256008840593051</v>
      </c>
      <c r="N4" s="138">
        <v>4</v>
      </c>
      <c r="O4" s="175">
        <f t="shared" ref="O4:P10" si="1">10^R4</f>
        <v>62.421840043249077</v>
      </c>
      <c r="P4" s="138">
        <f t="shared" si="1"/>
        <v>1.2630108066633452</v>
      </c>
      <c r="Q4" s="134">
        <f>P4/O4</f>
        <v>2.023347606844441E-2</v>
      </c>
      <c r="R4" s="138">
        <v>1.7953365664576599</v>
      </c>
      <c r="S4" s="138">
        <v>0.101407066512718</v>
      </c>
      <c r="T4" s="138">
        <v>5.0703533256358901E-2</v>
      </c>
      <c r="U4" s="138">
        <v>0.16136127207652901</v>
      </c>
    </row>
    <row r="5" spans="1:21" s="138" customFormat="1" x14ac:dyDescent="0.35">
      <c r="A5" s="144">
        <v>44662</v>
      </c>
      <c r="B5" s="152">
        <v>4</v>
      </c>
      <c r="C5" s="150">
        <v>21.8</v>
      </c>
      <c r="D5" s="147" t="s">
        <v>33</v>
      </c>
      <c r="E5" s="148" t="s">
        <v>33</v>
      </c>
      <c r="F5" s="146" t="e">
        <v>#VALUE!</v>
      </c>
      <c r="G5" s="146" t="e">
        <v>#VALUE!</v>
      </c>
      <c r="H5" s="149" t="e">
        <v>#VALUE!</v>
      </c>
      <c r="I5" s="150" t="e">
        <v>#VALUE!</v>
      </c>
      <c r="J5" s="151" t="e">
        <v>#VALUE!</v>
      </c>
      <c r="K5" s="178" t="e">
        <v>#VALUE!</v>
      </c>
      <c r="L5" s="145" t="s">
        <v>96</v>
      </c>
      <c r="M5" s="149" t="e">
        <f t="shared" si="0"/>
        <v>#VALUE!</v>
      </c>
      <c r="N5" s="153">
        <v>5</v>
      </c>
      <c r="O5" s="174">
        <f t="shared" si="1"/>
        <v>48052097.660856597</v>
      </c>
      <c r="P5" s="153">
        <f t="shared" si="1"/>
        <v>3.5219700643675207</v>
      </c>
      <c r="Q5" s="154">
        <f t="shared" ref="Q5:Q36" si="2">P5/O5</f>
        <v>7.3294824488724239E-8</v>
      </c>
      <c r="R5" s="153">
        <v>7.6817123510607601</v>
      </c>
      <c r="S5" s="153">
        <v>0.54678566028110198</v>
      </c>
      <c r="T5" s="153">
        <v>0.24452998110213001</v>
      </c>
      <c r="U5" s="153">
        <v>0.67892406910511804</v>
      </c>
    </row>
    <row r="6" spans="1:21" s="138" customFormat="1" x14ac:dyDescent="0.35">
      <c r="A6" s="135">
        <v>44657</v>
      </c>
      <c r="B6" s="139">
        <v>5</v>
      </c>
      <c r="C6" s="142">
        <v>11</v>
      </c>
      <c r="D6" s="131">
        <v>91.44</v>
      </c>
      <c r="E6" s="132">
        <v>33.340000000000003</v>
      </c>
      <c r="F6" s="133">
        <v>3.907692307692308</v>
      </c>
      <c r="G6" s="133">
        <v>1.4247863247863251</v>
      </c>
      <c r="H6" s="134">
        <v>0.36461067366579181</v>
      </c>
      <c r="I6" s="142">
        <v>1.953846153846154</v>
      </c>
      <c r="J6" s="137">
        <v>39.07692307692308</v>
      </c>
      <c r="K6" s="175">
        <v>1.953846153846154</v>
      </c>
      <c r="L6" s="138">
        <v>0.71</v>
      </c>
      <c r="M6" s="134">
        <f t="shared" si="0"/>
        <v>0.36338582677165349</v>
      </c>
      <c r="N6" s="138">
        <v>5</v>
      </c>
      <c r="O6" s="175">
        <f t="shared" si="1"/>
        <v>14871.106451419813</v>
      </c>
      <c r="P6" s="138">
        <f t="shared" si="1"/>
        <v>1.4663010073006808</v>
      </c>
      <c r="Q6" s="134">
        <f t="shared" si="2"/>
        <v>9.8600666472983679E-5</v>
      </c>
      <c r="R6" s="138">
        <v>4.17234328243382</v>
      </c>
      <c r="S6" s="138">
        <v>0.166223132918246</v>
      </c>
      <c r="T6" s="138">
        <v>7.4337244927636201E-2</v>
      </c>
      <c r="U6" s="138">
        <v>0.206393279813225</v>
      </c>
    </row>
    <row r="7" spans="1:21" s="138" customFormat="1" x14ac:dyDescent="0.35">
      <c r="A7" s="135">
        <v>44657</v>
      </c>
      <c r="B7" s="139">
        <v>6</v>
      </c>
      <c r="C7" s="142">
        <v>6.38</v>
      </c>
      <c r="D7" s="131">
        <v>157.74</v>
      </c>
      <c r="E7" s="132">
        <v>54.88</v>
      </c>
      <c r="F7" s="133">
        <v>6.137743190661479</v>
      </c>
      <c r="G7" s="133">
        <v>2.135408560311284</v>
      </c>
      <c r="H7" s="134">
        <v>0.34791428933688345</v>
      </c>
      <c r="I7" s="142">
        <v>3.0688715953307395</v>
      </c>
      <c r="J7" s="137">
        <v>61.377431906614788</v>
      </c>
      <c r="K7" s="175">
        <v>3.0688715953307395</v>
      </c>
      <c r="L7" s="138">
        <v>1.07</v>
      </c>
      <c r="M7" s="134">
        <f t="shared" si="0"/>
        <v>0.3486623557753265</v>
      </c>
      <c r="N7" s="138">
        <v>5</v>
      </c>
      <c r="O7" s="175">
        <f t="shared" si="1"/>
        <v>203.95820687609145</v>
      </c>
      <c r="P7" s="138">
        <f t="shared" si="1"/>
        <v>2.8019156413578257</v>
      </c>
      <c r="Q7" s="134">
        <f t="shared" si="2"/>
        <v>1.3737695012488728E-2</v>
      </c>
      <c r="R7" s="138">
        <v>2.3095411851583401</v>
      </c>
      <c r="S7" s="138">
        <v>0.44745505563058802</v>
      </c>
      <c r="T7" s="138">
        <v>0.20010798425318899</v>
      </c>
      <c r="U7" s="138">
        <v>0.55558883339076404</v>
      </c>
    </row>
    <row r="8" spans="1:21" s="138" customFormat="1" x14ac:dyDescent="0.35">
      <c r="A8" s="135">
        <v>44657</v>
      </c>
      <c r="B8" s="139">
        <v>7</v>
      </c>
      <c r="C8" s="142">
        <v>14.4</v>
      </c>
      <c r="D8" s="131">
        <v>79.25</v>
      </c>
      <c r="E8" s="132">
        <v>76.44</v>
      </c>
      <c r="F8" s="133">
        <v>3.107843137254902</v>
      </c>
      <c r="G8" s="133">
        <v>2.9976470588235293</v>
      </c>
      <c r="H8" s="134">
        <v>0.96454258675078863</v>
      </c>
      <c r="I8" s="142">
        <v>1.553921568627451</v>
      </c>
      <c r="J8" s="137">
        <v>31.078431372549019</v>
      </c>
      <c r="K8" s="175">
        <v>1.553921568627451</v>
      </c>
      <c r="L8" s="138">
        <v>1.5</v>
      </c>
      <c r="M8" s="134">
        <f t="shared" si="0"/>
        <v>0.96529968454258674</v>
      </c>
      <c r="N8" s="138">
        <v>3</v>
      </c>
      <c r="O8" s="175">
        <f t="shared" si="1"/>
        <v>4.5966052219662474</v>
      </c>
      <c r="P8" s="138">
        <f t="shared" si="1"/>
        <v>7.1569296058878615</v>
      </c>
      <c r="Q8" s="134">
        <f t="shared" si="2"/>
        <v>1.5570033231669191</v>
      </c>
      <c r="R8" s="138">
        <v>0.66243720610317303</v>
      </c>
      <c r="S8" s="138">
        <v>0.85472674560226003</v>
      </c>
      <c r="T8" s="138">
        <v>0.49347671665703802</v>
      </c>
      <c r="U8" s="138">
        <v>2.1232589419922099</v>
      </c>
    </row>
    <row r="9" spans="1:21" s="165" customFormat="1" ht="15" thickBot="1" x14ac:dyDescent="0.4">
      <c r="A9" s="164">
        <v>44652</v>
      </c>
      <c r="B9" s="172">
        <v>8</v>
      </c>
      <c r="C9" s="173">
        <v>14.2</v>
      </c>
      <c r="D9" s="167">
        <v>2790.39</v>
      </c>
      <c r="E9" s="168">
        <v>712.45</v>
      </c>
      <c r="F9" s="166">
        <v>92.09207920792079</v>
      </c>
      <c r="G9" s="166">
        <v>23.513201320132016</v>
      </c>
      <c r="H9" s="169">
        <v>0.25532273266460964</v>
      </c>
      <c r="I9" s="170">
        <v>46.046039603960395</v>
      </c>
      <c r="J9" s="171">
        <v>920.9207920792079</v>
      </c>
      <c r="K9" s="177">
        <v>46.046039603960395</v>
      </c>
      <c r="L9" s="165">
        <v>11.75660066</v>
      </c>
      <c r="M9" s="169">
        <f t="shared" si="0"/>
        <v>0.25532273266317612</v>
      </c>
      <c r="N9" s="165">
        <v>2</v>
      </c>
      <c r="O9" s="177">
        <f t="shared" si="1"/>
        <v>10.037242189465228</v>
      </c>
      <c r="P9" s="165">
        <f t="shared" si="1"/>
        <v>1.0366316868201679</v>
      </c>
      <c r="Q9" s="169">
        <f t="shared" si="2"/>
        <v>0.10327853679850266</v>
      </c>
      <c r="R9" s="165">
        <v>1.00161440340449</v>
      </c>
      <c r="S9" s="165">
        <v>1.5624479827477901E-2</v>
      </c>
      <c r="T9" s="165">
        <v>1.1048175638522E-2</v>
      </c>
      <c r="U9" s="165">
        <v>0.14038038162427799</v>
      </c>
    </row>
    <row r="10" spans="1:21" s="138" customFormat="1" x14ac:dyDescent="0.35">
      <c r="A10" s="135">
        <v>44657</v>
      </c>
      <c r="B10" s="138">
        <v>9</v>
      </c>
      <c r="C10" s="133">
        <v>4.8899999999999997</v>
      </c>
      <c r="D10" s="131">
        <v>443.5</v>
      </c>
      <c r="E10" s="132">
        <v>143.91</v>
      </c>
      <c r="F10" s="133">
        <v>15.240549828178693</v>
      </c>
      <c r="G10" s="133">
        <v>4.9453608247422673</v>
      </c>
      <c r="H10" s="134">
        <v>0.32448703494926717</v>
      </c>
      <c r="I10" s="142">
        <v>7.6202749140893475</v>
      </c>
      <c r="J10" s="137">
        <v>152.40549828178695</v>
      </c>
      <c r="K10" s="175">
        <v>7.6202749140893475</v>
      </c>
      <c r="L10" s="138">
        <v>2.4700000000000002</v>
      </c>
      <c r="M10" s="134">
        <f t="shared" si="0"/>
        <v>0.32413528748590759</v>
      </c>
      <c r="N10" s="138">
        <v>5</v>
      </c>
      <c r="O10" s="175">
        <f t="shared" si="1"/>
        <v>34.073820175214557</v>
      </c>
      <c r="P10" s="138">
        <f t="shared" si="1"/>
        <v>1.7280964111079999</v>
      </c>
      <c r="Q10" s="134">
        <f t="shared" si="2"/>
        <v>5.0716250840726826E-2</v>
      </c>
      <c r="R10" s="138">
        <v>1.5324208270814801</v>
      </c>
      <c r="S10" s="138">
        <v>0.23756796826103599</v>
      </c>
      <c r="T10" s="138">
        <v>0.106243625261638</v>
      </c>
      <c r="U10" s="138">
        <v>0.29497959331614299</v>
      </c>
    </row>
    <row r="11" spans="1:21" s="138" customFormat="1" hidden="1" x14ac:dyDescent="0.35">
      <c r="A11" s="155">
        <v>44657</v>
      </c>
      <c r="B11" s="156">
        <v>10</v>
      </c>
      <c r="C11" s="157">
        <v>32.1</v>
      </c>
      <c r="D11" s="158">
        <v>507.41</v>
      </c>
      <c r="E11" s="159">
        <v>139.54</v>
      </c>
      <c r="F11" s="157">
        <v>17.496896551724138</v>
      </c>
      <c r="G11" s="157">
        <v>4.8117241379310345</v>
      </c>
      <c r="H11" s="160">
        <v>0.27500443428391241</v>
      </c>
      <c r="I11" s="161">
        <v>8.748448275862069</v>
      </c>
      <c r="J11" s="162">
        <v>174.96896551724137</v>
      </c>
      <c r="K11" s="176">
        <v>8.748448275862069</v>
      </c>
      <c r="L11" s="156"/>
      <c r="M11" s="160"/>
      <c r="N11" s="156"/>
      <c r="O11" s="176"/>
      <c r="P11" s="156"/>
      <c r="Q11" s="160"/>
      <c r="R11" s="156"/>
      <c r="S11" s="156"/>
      <c r="T11" s="156"/>
      <c r="U11" s="156"/>
    </row>
    <row r="12" spans="1:21" s="138" customFormat="1" hidden="1" x14ac:dyDescent="0.35">
      <c r="A12" s="144">
        <v>44673</v>
      </c>
      <c r="B12" s="145">
        <v>11</v>
      </c>
      <c r="C12" s="146">
        <v>2</v>
      </c>
      <c r="D12" s="147" t="s">
        <v>33</v>
      </c>
      <c r="E12" s="148" t="s">
        <v>33</v>
      </c>
      <c r="F12" s="146" t="e">
        <v>#VALUE!</v>
      </c>
      <c r="G12" s="146" t="e">
        <v>#VALUE!</v>
      </c>
      <c r="H12" s="149" t="e">
        <v>#VALUE!</v>
      </c>
      <c r="I12" s="150" t="e">
        <v>#VALUE!</v>
      </c>
      <c r="J12" s="151" t="e">
        <v>#VALUE!</v>
      </c>
      <c r="K12" s="178" t="e">
        <v>#VALUE!</v>
      </c>
      <c r="L12" s="145"/>
      <c r="M12" s="149"/>
      <c r="N12" s="145"/>
      <c r="O12" s="178"/>
      <c r="P12" s="145"/>
      <c r="Q12" s="149"/>
      <c r="R12" s="145"/>
      <c r="S12" s="145"/>
      <c r="T12" s="145"/>
      <c r="U12" s="145"/>
    </row>
    <row r="13" spans="1:21" s="138" customFormat="1" hidden="1" x14ac:dyDescent="0.35">
      <c r="A13" s="155">
        <v>44657</v>
      </c>
      <c r="B13" s="156">
        <v>12</v>
      </c>
      <c r="C13" s="157">
        <v>4.92</v>
      </c>
      <c r="D13" s="158">
        <v>394.74</v>
      </c>
      <c r="E13" s="159">
        <v>66.260000000000005</v>
      </c>
      <c r="F13" s="157">
        <v>13.899295774647888</v>
      </c>
      <c r="G13" s="157">
        <v>2.3330985915492959</v>
      </c>
      <c r="H13" s="160">
        <v>0.16785732380807622</v>
      </c>
      <c r="I13" s="161">
        <v>6.9496478873239438</v>
      </c>
      <c r="J13" s="162">
        <v>138.99295774647888</v>
      </c>
      <c r="K13" s="176">
        <v>6.9496478873239438</v>
      </c>
      <c r="L13" s="156"/>
      <c r="M13" s="160"/>
      <c r="N13" s="156"/>
      <c r="O13" s="176"/>
      <c r="P13" s="156"/>
      <c r="Q13" s="160"/>
      <c r="R13" s="156"/>
      <c r="S13" s="156"/>
      <c r="T13" s="156"/>
      <c r="U13" s="156"/>
    </row>
    <row r="14" spans="1:21" s="138" customFormat="1" x14ac:dyDescent="0.35">
      <c r="A14" s="135">
        <v>44657</v>
      </c>
      <c r="B14" s="138">
        <v>13</v>
      </c>
      <c r="C14" s="133">
        <v>4.91</v>
      </c>
      <c r="D14" s="131">
        <v>94466.6</v>
      </c>
      <c r="E14" s="132">
        <v>59792.68</v>
      </c>
      <c r="F14" s="133">
        <v>3719.157480314961</v>
      </c>
      <c r="G14" s="133">
        <v>2354.0425196850397</v>
      </c>
      <c r="H14" s="134">
        <v>0.6329504819692886</v>
      </c>
      <c r="I14" s="142">
        <v>1859.5787401574805</v>
      </c>
      <c r="J14" s="137">
        <v>37191.574803149611</v>
      </c>
      <c r="K14" s="175">
        <v>1859.5787401574805</v>
      </c>
      <c r="L14" s="138">
        <v>1177.02</v>
      </c>
      <c r="M14" s="134">
        <f t="shared" si="0"/>
        <v>0.63294980448116045</v>
      </c>
      <c r="N14" s="138">
        <v>5</v>
      </c>
      <c r="O14" s="175">
        <f t="shared" ref="O14:O32" si="3">10^R14</f>
        <v>1849.9687430484266</v>
      </c>
      <c r="P14" s="138">
        <f t="shared" ref="P14:P32" si="4">10^S14</f>
        <v>2.7423627055111042</v>
      </c>
      <c r="Q14" s="134">
        <f t="shared" si="2"/>
        <v>1.4823832650232606E-3</v>
      </c>
      <c r="R14" s="138">
        <v>3.2671643906536798</v>
      </c>
      <c r="S14" s="138">
        <v>0.43812489413864603</v>
      </c>
      <c r="T14" s="138">
        <v>0.195935409185783</v>
      </c>
      <c r="U14" s="138">
        <v>0.54400390776879304</v>
      </c>
    </row>
    <row r="15" spans="1:21" s="138" customFormat="1" x14ac:dyDescent="0.35">
      <c r="A15" s="135">
        <v>44659</v>
      </c>
      <c r="B15" s="138">
        <v>14</v>
      </c>
      <c r="C15" s="133">
        <v>4.42</v>
      </c>
      <c r="D15" s="131">
        <v>150.44999999999999</v>
      </c>
      <c r="E15" s="132">
        <v>9.8800000000000008</v>
      </c>
      <c r="F15" s="133">
        <v>7.0633802816901401</v>
      </c>
      <c r="G15" s="133">
        <v>0.46384976525821597</v>
      </c>
      <c r="H15" s="134">
        <v>6.5669657693585917E-2</v>
      </c>
      <c r="I15" s="142">
        <v>3.5316901408450705</v>
      </c>
      <c r="J15" s="137">
        <v>70.633802816901408</v>
      </c>
      <c r="K15" s="175">
        <v>3.5316901408450705</v>
      </c>
      <c r="L15" s="138">
        <v>0.23</v>
      </c>
      <c r="M15" s="134">
        <f t="shared" si="0"/>
        <v>6.5124626121635096E-2</v>
      </c>
      <c r="N15" s="138">
        <v>5</v>
      </c>
      <c r="O15" s="175">
        <f t="shared" si="3"/>
        <v>12.590909251247872</v>
      </c>
      <c r="P15" s="138">
        <f t="shared" si="4"/>
        <v>1.3531183482801341</v>
      </c>
      <c r="Q15" s="134">
        <f t="shared" si="2"/>
        <v>0.1074678818883575</v>
      </c>
      <c r="R15" s="138">
        <v>1.1000570937727601</v>
      </c>
      <c r="S15" s="138">
        <v>0.13133578311441399</v>
      </c>
      <c r="T15" s="138">
        <v>5.8735147784399901E-2</v>
      </c>
      <c r="U15" s="138">
        <v>0.163074913569066</v>
      </c>
    </row>
    <row r="16" spans="1:21" s="138" customFormat="1" x14ac:dyDescent="0.35">
      <c r="A16" s="135">
        <v>44652</v>
      </c>
      <c r="B16" s="138">
        <v>15</v>
      </c>
      <c r="C16" s="133">
        <v>13.3</v>
      </c>
      <c r="D16" s="131">
        <v>922.2</v>
      </c>
      <c r="E16" s="132">
        <v>13.01</v>
      </c>
      <c r="F16" s="133">
        <v>36.888000000000005</v>
      </c>
      <c r="G16" s="133">
        <v>0.52039999999999997</v>
      </c>
      <c r="H16" s="134">
        <v>1.4107568857080892E-2</v>
      </c>
      <c r="I16" s="142">
        <v>18.444000000000003</v>
      </c>
      <c r="J16" s="137">
        <v>368.88000000000005</v>
      </c>
      <c r="K16" s="175">
        <v>18.444000000000003</v>
      </c>
      <c r="L16" s="138">
        <v>0.26019999999999999</v>
      </c>
      <c r="M16" s="134">
        <f t="shared" si="0"/>
        <v>1.4107568857080892E-2</v>
      </c>
      <c r="N16" s="138">
        <v>5</v>
      </c>
      <c r="O16" s="175">
        <f t="shared" si="3"/>
        <v>23.910719279760887</v>
      </c>
      <c r="P16" s="138">
        <f t="shared" si="4"/>
        <v>2.066364885844056</v>
      </c>
      <c r="Q16" s="134">
        <f t="shared" si="2"/>
        <v>8.6420021985416415E-2</v>
      </c>
      <c r="R16" s="138">
        <v>1.37859264071354</v>
      </c>
      <c r="S16" s="138">
        <v>0.31520701317409999</v>
      </c>
      <c r="T16" s="138">
        <v>0.14096486168839201</v>
      </c>
      <c r="U16" s="138">
        <v>0.39138120023961898</v>
      </c>
    </row>
    <row r="17" spans="1:21" s="138" customFormat="1" x14ac:dyDescent="0.35">
      <c r="A17" s="135">
        <v>44652</v>
      </c>
      <c r="B17" s="138">
        <v>16</v>
      </c>
      <c r="C17" s="133">
        <v>240</v>
      </c>
      <c r="D17" s="131">
        <v>3409092</v>
      </c>
      <c r="E17" s="132">
        <v>209830.05</v>
      </c>
      <c r="F17" s="133">
        <v>118371.25</v>
      </c>
      <c r="G17" s="133">
        <v>7285.7656249999991</v>
      </c>
      <c r="H17" s="134">
        <v>6.1550128303958937E-2</v>
      </c>
      <c r="I17" s="142">
        <v>59185.625</v>
      </c>
      <c r="J17" s="137">
        <v>1183712.5</v>
      </c>
      <c r="K17" s="175">
        <v>59185.625</v>
      </c>
      <c r="L17" s="138">
        <v>3642.8828130000002</v>
      </c>
      <c r="M17" s="134">
        <f t="shared" si="0"/>
        <v>6.1550128312406943E-2</v>
      </c>
      <c r="N17" s="138">
        <v>5</v>
      </c>
      <c r="O17" s="175">
        <f t="shared" si="3"/>
        <v>76.556726570879647</v>
      </c>
      <c r="P17" s="138">
        <f t="shared" si="4"/>
        <v>1.4082111560773272</v>
      </c>
      <c r="Q17" s="134">
        <f t="shared" si="2"/>
        <v>1.8394349120629424E-2</v>
      </c>
      <c r="R17" s="138">
        <v>1.88398335550812</v>
      </c>
      <c r="S17" s="138">
        <v>0.14866778054723501</v>
      </c>
      <c r="T17" s="138">
        <v>6.6486252673527896E-2</v>
      </c>
      <c r="U17" s="138">
        <v>0.18459543079835999</v>
      </c>
    </row>
    <row r="18" spans="1:21" s="138" customFormat="1" x14ac:dyDescent="0.35">
      <c r="A18" s="135">
        <v>44657</v>
      </c>
      <c r="B18" s="138">
        <v>17</v>
      </c>
      <c r="C18" s="133">
        <v>5.62</v>
      </c>
      <c r="D18" s="131">
        <v>3592.68</v>
      </c>
      <c r="E18" s="132">
        <v>1440.96</v>
      </c>
      <c r="F18" s="133">
        <v>221.77037037037036</v>
      </c>
      <c r="G18" s="133">
        <v>88.94814814814815</v>
      </c>
      <c r="H18" s="134">
        <v>0.40108220047429777</v>
      </c>
      <c r="I18" s="142">
        <v>110.88518518518518</v>
      </c>
      <c r="J18" s="137">
        <v>2217.7037037037035</v>
      </c>
      <c r="K18" s="175">
        <v>110.88518518518518</v>
      </c>
      <c r="L18" s="138">
        <v>44.47</v>
      </c>
      <c r="M18" s="134">
        <f t="shared" si="0"/>
        <v>0.40104545910017037</v>
      </c>
      <c r="N18" s="138">
        <v>5</v>
      </c>
      <c r="O18" s="175">
        <f t="shared" si="3"/>
        <v>51.539935002012456</v>
      </c>
      <c r="P18" s="138">
        <f t="shared" si="4"/>
        <v>1.2680758441009943</v>
      </c>
      <c r="Q18" s="134">
        <f t="shared" si="2"/>
        <v>2.4603753265336488E-2</v>
      </c>
      <c r="R18" s="138">
        <v>1.71214386651824</v>
      </c>
      <c r="S18" s="138">
        <v>0.103145229641526</v>
      </c>
      <c r="T18" s="138">
        <v>4.6127949006655698E-2</v>
      </c>
      <c r="U18" s="138">
        <v>0.12807171823234301</v>
      </c>
    </row>
    <row r="19" spans="1:21" s="138" customFormat="1" x14ac:dyDescent="0.35">
      <c r="A19" s="135">
        <v>44652</v>
      </c>
      <c r="B19" s="138">
        <v>18</v>
      </c>
      <c r="C19" s="133">
        <v>13.5</v>
      </c>
      <c r="D19" s="131">
        <v>10732.58</v>
      </c>
      <c r="E19" s="132">
        <v>1665.99</v>
      </c>
      <c r="F19" s="133">
        <v>464.61385281385276</v>
      </c>
      <c r="G19" s="133">
        <v>72.120779220779212</v>
      </c>
      <c r="H19" s="134">
        <v>0.15522735446649361</v>
      </c>
      <c r="I19" s="142">
        <v>232.30692640692638</v>
      </c>
      <c r="J19" s="137">
        <v>4646.1385281385274</v>
      </c>
      <c r="K19" s="175">
        <v>232.30692640692638</v>
      </c>
      <c r="L19" s="138">
        <v>36.060389610000001</v>
      </c>
      <c r="M19" s="134">
        <f t="shared" si="0"/>
        <v>0.1552273544648165</v>
      </c>
      <c r="N19" s="138">
        <v>5</v>
      </c>
      <c r="O19" s="175">
        <f t="shared" si="3"/>
        <v>13.633996230453084</v>
      </c>
      <c r="P19" s="138">
        <f t="shared" si="4"/>
        <v>1.389446396390257</v>
      </c>
      <c r="Q19" s="134">
        <f t="shared" si="2"/>
        <v>0.10191042838098856</v>
      </c>
      <c r="R19" s="138">
        <v>1.13462316958809</v>
      </c>
      <c r="S19" s="138">
        <v>0.14284179674061501</v>
      </c>
      <c r="T19" s="138">
        <v>6.3880793508044501E-2</v>
      </c>
      <c r="U19" s="138">
        <v>0.17736151645156101</v>
      </c>
    </row>
    <row r="20" spans="1:21" s="138" customFormat="1" x14ac:dyDescent="0.35">
      <c r="A20" s="135">
        <v>44659</v>
      </c>
      <c r="B20" s="138">
        <v>19</v>
      </c>
      <c r="C20" s="133">
        <v>6.68</v>
      </c>
      <c r="D20" s="131">
        <v>423.41</v>
      </c>
      <c r="E20" s="132">
        <v>287.05</v>
      </c>
      <c r="F20" s="133">
        <v>20.162380952380953</v>
      </c>
      <c r="G20" s="133">
        <v>13.669047619047619</v>
      </c>
      <c r="H20" s="134">
        <v>0.67794808814151764</v>
      </c>
      <c r="I20" s="142">
        <v>10.081190476190477</v>
      </c>
      <c r="J20" s="137">
        <v>201.62380952380954</v>
      </c>
      <c r="K20" s="175">
        <v>10.081190476190477</v>
      </c>
      <c r="L20" s="138">
        <v>6.83</v>
      </c>
      <c r="M20" s="134">
        <f t="shared" si="0"/>
        <v>0.6774993505113247</v>
      </c>
      <c r="N20" s="138">
        <v>5</v>
      </c>
      <c r="O20" s="175">
        <f t="shared" si="3"/>
        <v>78.035938174830136</v>
      </c>
      <c r="P20" s="138">
        <f t="shared" si="4"/>
        <v>1.3605064814806909</v>
      </c>
      <c r="Q20" s="134">
        <f t="shared" si="2"/>
        <v>1.7434357980455617E-2</v>
      </c>
      <c r="R20" s="138">
        <v>1.89229465597919</v>
      </c>
      <c r="S20" s="138">
        <v>0.13370061510849501</v>
      </c>
      <c r="T20" s="138">
        <v>5.9792732803226001E-2</v>
      </c>
      <c r="U20" s="138">
        <v>0.166011240317917</v>
      </c>
    </row>
    <row r="21" spans="1:21" s="138" customFormat="1" x14ac:dyDescent="0.35">
      <c r="A21" s="135">
        <v>44652</v>
      </c>
      <c r="B21" s="138">
        <v>20</v>
      </c>
      <c r="C21" s="133">
        <v>25.3</v>
      </c>
      <c r="D21" s="131">
        <v>1143.3900000000001</v>
      </c>
      <c r="E21" s="132">
        <v>526.97</v>
      </c>
      <c r="F21" s="133">
        <v>41.129136690647485</v>
      </c>
      <c r="G21" s="133">
        <v>18.955755395683454</v>
      </c>
      <c r="H21" s="134">
        <v>0.46088386289892336</v>
      </c>
      <c r="I21" s="142">
        <v>20.564568345323742</v>
      </c>
      <c r="J21" s="137">
        <v>411.29136690647488</v>
      </c>
      <c r="K21" s="175">
        <v>20.564568345323742</v>
      </c>
      <c r="L21" s="138">
        <v>9.4778776980000004</v>
      </c>
      <c r="M21" s="134">
        <f t="shared" si="0"/>
        <v>0.46088386290661976</v>
      </c>
      <c r="N21" s="138">
        <v>4</v>
      </c>
      <c r="O21" s="175">
        <f t="shared" si="3"/>
        <v>12.898837671343088</v>
      </c>
      <c r="P21" s="138">
        <f t="shared" si="4"/>
        <v>1.621047110003915</v>
      </c>
      <c r="Q21" s="134">
        <f t="shared" si="2"/>
        <v>0.12567389026108458</v>
      </c>
      <c r="R21" s="138">
        <v>1.1105505773019699</v>
      </c>
      <c r="S21" s="138">
        <v>0.20979563626581699</v>
      </c>
      <c r="T21" s="138">
        <v>0.10489781813290799</v>
      </c>
      <c r="U21" s="138">
        <v>0.33383167374939698</v>
      </c>
    </row>
    <row r="22" spans="1:21" s="138" customFormat="1" x14ac:dyDescent="0.35">
      <c r="A22" s="135">
        <v>44659</v>
      </c>
      <c r="B22" s="138">
        <v>21</v>
      </c>
      <c r="C22" s="133">
        <v>344</v>
      </c>
      <c r="D22" s="131">
        <v>518.34</v>
      </c>
      <c r="E22" s="132">
        <v>59.04</v>
      </c>
      <c r="F22" s="133">
        <v>19.634090909090911</v>
      </c>
      <c r="G22" s="133">
        <v>2.2363636363636363</v>
      </c>
      <c r="H22" s="134">
        <v>0.11390207199907396</v>
      </c>
      <c r="I22" s="142">
        <v>9.8170454545454557</v>
      </c>
      <c r="J22" s="137">
        <v>196.34090909090912</v>
      </c>
      <c r="K22" s="175">
        <v>9.8170454545454557</v>
      </c>
      <c r="L22" s="138">
        <v>1.1200000000000001</v>
      </c>
      <c r="M22" s="134">
        <f t="shared" si="0"/>
        <v>0.11408727862021067</v>
      </c>
      <c r="N22" s="138">
        <v>5</v>
      </c>
      <c r="O22" s="175">
        <f t="shared" si="3"/>
        <v>8411.869543269222</v>
      </c>
      <c r="P22" s="138">
        <f t="shared" si="4"/>
        <v>3.4536245475916685</v>
      </c>
      <c r="Q22" s="134">
        <f t="shared" si="2"/>
        <v>4.1056563345720151E-4</v>
      </c>
      <c r="R22" s="138">
        <v>3.9248925287459002</v>
      </c>
      <c r="S22" s="138">
        <v>0.53827512252732801</v>
      </c>
      <c r="T22" s="138">
        <v>0.240723952913627</v>
      </c>
      <c r="U22" s="138">
        <v>0.66835684077090296</v>
      </c>
    </row>
    <row r="23" spans="1:21" s="138" customFormat="1" x14ac:dyDescent="0.35">
      <c r="A23" s="135">
        <v>44659</v>
      </c>
      <c r="B23" s="138">
        <v>22</v>
      </c>
      <c r="C23" s="133">
        <v>7.41</v>
      </c>
      <c r="D23" s="131">
        <v>396.06</v>
      </c>
      <c r="E23" s="132">
        <v>115.64</v>
      </c>
      <c r="F23" s="133">
        <v>14.889473684210525</v>
      </c>
      <c r="G23" s="133">
        <v>4.3473684210526313</v>
      </c>
      <c r="H23" s="134">
        <v>0.29197596323789327</v>
      </c>
      <c r="I23" s="142">
        <v>7.4447368421052627</v>
      </c>
      <c r="J23" s="137">
        <v>148.89473684210526</v>
      </c>
      <c r="K23" s="175">
        <v>7.4447368421052627</v>
      </c>
      <c r="L23" s="138">
        <v>2.17</v>
      </c>
      <c r="M23" s="134">
        <f t="shared" si="0"/>
        <v>0.29148108872393075</v>
      </c>
      <c r="N23" s="138">
        <v>5</v>
      </c>
      <c r="O23" s="175">
        <f t="shared" si="3"/>
        <v>33.373169283776292</v>
      </c>
      <c r="P23" s="138">
        <f t="shared" si="4"/>
        <v>1.7180486059533095</v>
      </c>
      <c r="Q23" s="134">
        <f t="shared" si="2"/>
        <v>5.1479935613681888E-2</v>
      </c>
      <c r="R23" s="138">
        <v>1.52339745139853</v>
      </c>
      <c r="S23" s="138">
        <v>0.23503544645605101</v>
      </c>
      <c r="T23" s="138">
        <v>0.10511104707954801</v>
      </c>
      <c r="U23" s="138">
        <v>0.29183505216622702</v>
      </c>
    </row>
    <row r="24" spans="1:21" s="138" customFormat="1" x14ac:dyDescent="0.35">
      <c r="A24" s="135">
        <v>44659</v>
      </c>
      <c r="B24" s="138">
        <v>23</v>
      </c>
      <c r="C24" s="133">
        <v>7.31</v>
      </c>
      <c r="D24" s="131">
        <v>708.27</v>
      </c>
      <c r="E24" s="132">
        <v>58.85</v>
      </c>
      <c r="F24" s="133">
        <v>23.687959866220737</v>
      </c>
      <c r="G24" s="133">
        <v>1.968227424749164</v>
      </c>
      <c r="H24" s="134">
        <v>8.3089782145227109E-2</v>
      </c>
      <c r="I24" s="142">
        <v>11.843979933110369</v>
      </c>
      <c r="J24" s="137">
        <v>236.87959866220737</v>
      </c>
      <c r="K24" s="175">
        <v>11.843979933110369</v>
      </c>
      <c r="L24" s="138">
        <v>0.98</v>
      </c>
      <c r="M24" s="134">
        <f t="shared" si="0"/>
        <v>8.2742456972623432E-2</v>
      </c>
      <c r="N24" s="138">
        <v>5</v>
      </c>
      <c r="O24" s="175">
        <f t="shared" si="3"/>
        <v>41.232447492616863</v>
      </c>
      <c r="P24" s="138">
        <f t="shared" si="4"/>
        <v>1.4322963326647016</v>
      </c>
      <c r="Q24" s="134">
        <f t="shared" si="2"/>
        <v>3.4737116512939731E-2</v>
      </c>
      <c r="R24" s="138">
        <v>1.6152391145973899</v>
      </c>
      <c r="S24" s="138">
        <v>0.156032879932053</v>
      </c>
      <c r="T24" s="138">
        <v>6.9780025250626598E-2</v>
      </c>
      <c r="U24" s="138">
        <v>0.19374040954768099</v>
      </c>
    </row>
    <row r="25" spans="1:21" s="138" customFormat="1" x14ac:dyDescent="0.35">
      <c r="A25" s="135">
        <v>44673</v>
      </c>
      <c r="B25" s="138">
        <v>24</v>
      </c>
      <c r="C25" s="133" t="e">
        <v>#VALUE!</v>
      </c>
      <c r="D25" s="131">
        <v>467.79</v>
      </c>
      <c r="E25" s="132">
        <v>343.03</v>
      </c>
      <c r="F25" s="133">
        <v>16.94891304347826</v>
      </c>
      <c r="G25" s="133">
        <v>12.428623188405796</v>
      </c>
      <c r="H25" s="134">
        <v>0.73329912995147395</v>
      </c>
      <c r="I25" s="142">
        <v>8.4744565217391301</v>
      </c>
      <c r="J25" s="137">
        <v>169.4891304347826</v>
      </c>
      <c r="K25" s="175">
        <v>8.4744565217391301</v>
      </c>
      <c r="L25" s="138">
        <v>6.21</v>
      </c>
      <c r="M25" s="134">
        <f t="shared" si="0"/>
        <v>0.7327903546463157</v>
      </c>
      <c r="N25" s="138">
        <v>4</v>
      </c>
      <c r="O25" s="175">
        <f t="shared" si="3"/>
        <v>32.321081322882904</v>
      </c>
      <c r="P25" s="138">
        <f t="shared" si="4"/>
        <v>12.123676948529448</v>
      </c>
      <c r="Q25" s="134">
        <f t="shared" si="2"/>
        <v>0.37510121729578533</v>
      </c>
      <c r="R25" s="138">
        <v>1.5094858819511101</v>
      </c>
      <c r="S25" s="138">
        <v>1.0836343554966199</v>
      </c>
      <c r="T25" s="138">
        <v>0.54181717774831095</v>
      </c>
      <c r="U25" s="138">
        <v>1.7243040754643599</v>
      </c>
    </row>
    <row r="26" spans="1:21" s="138" customFormat="1" x14ac:dyDescent="0.35">
      <c r="A26" s="144">
        <v>44662</v>
      </c>
      <c r="B26" s="145">
        <v>25</v>
      </c>
      <c r="C26" s="146">
        <v>7.99</v>
      </c>
      <c r="D26" s="147" t="s">
        <v>33</v>
      </c>
      <c r="E26" s="148" t="s">
        <v>33</v>
      </c>
      <c r="F26" s="146" t="e">
        <v>#VALUE!</v>
      </c>
      <c r="G26" s="146" t="e">
        <v>#VALUE!</v>
      </c>
      <c r="H26" s="149" t="e">
        <v>#VALUE!</v>
      </c>
      <c r="I26" s="150" t="e">
        <v>#VALUE!</v>
      </c>
      <c r="J26" s="151" t="e">
        <v>#VALUE!</v>
      </c>
      <c r="K26" s="178" t="e">
        <v>#VALUE!</v>
      </c>
      <c r="L26" s="145" t="s">
        <v>96</v>
      </c>
      <c r="M26" s="149" t="e">
        <f t="shared" si="0"/>
        <v>#VALUE!</v>
      </c>
      <c r="N26" s="145">
        <v>1</v>
      </c>
      <c r="O26" s="178">
        <f t="shared" si="3"/>
        <v>17.367675773505759</v>
      </c>
      <c r="P26" s="145" t="e">
        <f t="shared" si="4"/>
        <v>#VALUE!</v>
      </c>
      <c r="Q26" s="149" t="e">
        <f t="shared" si="2"/>
        <v>#VALUE!</v>
      </c>
      <c r="R26" s="145">
        <v>1.2397417029445399</v>
      </c>
      <c r="S26" s="145" t="s">
        <v>96</v>
      </c>
      <c r="T26" s="145" t="s">
        <v>96</v>
      </c>
      <c r="U26" s="145" t="s">
        <v>96</v>
      </c>
    </row>
    <row r="27" spans="1:21" s="138" customFormat="1" x14ac:dyDescent="0.35">
      <c r="A27" s="144">
        <v>44662</v>
      </c>
      <c r="B27" s="145">
        <v>26</v>
      </c>
      <c r="C27" s="146">
        <v>312</v>
      </c>
      <c r="D27" s="147" t="s">
        <v>33</v>
      </c>
      <c r="E27" s="148" t="s">
        <v>33</v>
      </c>
      <c r="F27" s="146" t="e">
        <v>#VALUE!</v>
      </c>
      <c r="G27" s="146" t="e">
        <v>#VALUE!</v>
      </c>
      <c r="H27" s="149" t="e">
        <v>#VALUE!</v>
      </c>
      <c r="I27" s="150" t="e">
        <v>#VALUE!</v>
      </c>
      <c r="J27" s="151" t="e">
        <v>#VALUE!</v>
      </c>
      <c r="K27" s="178" t="e">
        <v>#VALUE!</v>
      </c>
      <c r="L27" s="145" t="s">
        <v>96</v>
      </c>
      <c r="M27" s="149" t="e">
        <f t="shared" si="0"/>
        <v>#VALUE!</v>
      </c>
      <c r="N27" s="153">
        <v>5</v>
      </c>
      <c r="O27" s="174">
        <f t="shared" si="3"/>
        <v>278.92509713147626</v>
      </c>
      <c r="P27" s="153">
        <f t="shared" si="4"/>
        <v>2.8409639444933403</v>
      </c>
      <c r="Q27" s="154">
        <f t="shared" si="2"/>
        <v>1.0185400932760819E-2</v>
      </c>
      <c r="R27" s="153">
        <v>2.44548759298723</v>
      </c>
      <c r="S27" s="153">
        <v>0.45346572199926499</v>
      </c>
      <c r="T27" s="153">
        <v>0.20279603597127599</v>
      </c>
      <c r="U27" s="153">
        <v>0.56305206142596398</v>
      </c>
    </row>
    <row r="28" spans="1:21" s="165" customFormat="1" x14ac:dyDescent="0.35">
      <c r="A28" s="164">
        <v>44673</v>
      </c>
      <c r="B28" s="165">
        <v>27</v>
      </c>
      <c r="C28" s="166">
        <v>2.96</v>
      </c>
      <c r="D28" s="167">
        <v>2748.61</v>
      </c>
      <c r="E28" s="168">
        <v>586.66999999999996</v>
      </c>
      <c r="F28" s="166">
        <v>117.46196581196583</v>
      </c>
      <c r="G28" s="166">
        <v>25.07136752136752</v>
      </c>
      <c r="H28" s="169">
        <v>0.21344243090143741</v>
      </c>
      <c r="I28" s="170">
        <v>58.730982905982913</v>
      </c>
      <c r="J28" s="171">
        <v>1174.6196581196582</v>
      </c>
      <c r="K28" s="177">
        <v>58.730982905982913</v>
      </c>
      <c r="L28" s="165">
        <v>12.54</v>
      </c>
      <c r="M28" s="169">
        <f t="shared" si="0"/>
        <v>0.21351592259360183</v>
      </c>
      <c r="N28" s="165">
        <v>1</v>
      </c>
      <c r="O28" s="177">
        <f t="shared" si="3"/>
        <v>5.7867449142235392</v>
      </c>
      <c r="P28" s="165" t="e">
        <f t="shared" si="4"/>
        <v>#VALUE!</v>
      </c>
      <c r="Q28" s="169" t="e">
        <f t="shared" si="2"/>
        <v>#VALUE!</v>
      </c>
      <c r="R28" s="165">
        <v>0.76243433862986898</v>
      </c>
      <c r="S28" s="165" t="s">
        <v>96</v>
      </c>
      <c r="T28" s="165" t="s">
        <v>96</v>
      </c>
      <c r="U28" s="165" t="s">
        <v>96</v>
      </c>
    </row>
    <row r="29" spans="1:21" s="138" customFormat="1" x14ac:dyDescent="0.35">
      <c r="A29" s="135">
        <v>44659</v>
      </c>
      <c r="B29" s="138">
        <v>28</v>
      </c>
      <c r="C29" s="133">
        <v>5.42</v>
      </c>
      <c r="D29" s="131">
        <v>1388.85</v>
      </c>
      <c r="E29" s="132">
        <v>145.01</v>
      </c>
      <c r="F29" s="133">
        <v>51.438888888888883</v>
      </c>
      <c r="G29" s="133">
        <v>5.3707407407407404</v>
      </c>
      <c r="H29" s="134">
        <v>0.10441012348345755</v>
      </c>
      <c r="I29" s="142">
        <v>25.719444444444441</v>
      </c>
      <c r="J29" s="137">
        <v>514.3888888888888</v>
      </c>
      <c r="K29" s="175">
        <v>25.719444444444441</v>
      </c>
      <c r="L29" s="138">
        <v>2.69</v>
      </c>
      <c r="M29" s="134">
        <f t="shared" si="0"/>
        <v>0.10459012852359867</v>
      </c>
      <c r="N29" s="138">
        <v>5</v>
      </c>
      <c r="O29" s="175">
        <f t="shared" si="3"/>
        <v>18.959062930426388</v>
      </c>
      <c r="P29" s="138">
        <f t="shared" si="4"/>
        <v>1.3961518342319255</v>
      </c>
      <c r="Q29" s="134">
        <f t="shared" si="2"/>
        <v>7.364033968109869E-2</v>
      </c>
      <c r="R29" s="138">
        <v>1.27781686811797</v>
      </c>
      <c r="S29" s="138">
        <v>0.144932651226516</v>
      </c>
      <c r="T29" s="138">
        <v>6.4815852060351703E-2</v>
      </c>
      <c r="U29" s="138">
        <v>0.17995765519218801</v>
      </c>
    </row>
    <row r="30" spans="1:21" s="138" customFormat="1" x14ac:dyDescent="0.35">
      <c r="A30" s="135">
        <v>44652</v>
      </c>
      <c r="B30" s="138">
        <v>29</v>
      </c>
      <c r="C30" s="133">
        <v>18.5</v>
      </c>
      <c r="D30" s="131">
        <v>382.7</v>
      </c>
      <c r="E30" s="132">
        <v>51.17</v>
      </c>
      <c r="F30" s="133">
        <v>20.5752688172043</v>
      </c>
      <c r="G30" s="133">
        <v>2.7510752688172042</v>
      </c>
      <c r="H30" s="134">
        <v>0.13370786516853933</v>
      </c>
      <c r="I30" s="142">
        <v>10.28763440860215</v>
      </c>
      <c r="J30" s="137">
        <v>205.75268817204301</v>
      </c>
      <c r="K30" s="175">
        <v>10.28763440860215</v>
      </c>
      <c r="L30" s="138">
        <v>1.3755376340000001</v>
      </c>
      <c r="M30" s="134">
        <f t="shared" si="0"/>
        <v>0.13370786512882155</v>
      </c>
      <c r="N30" s="138">
        <v>5</v>
      </c>
      <c r="O30" s="175">
        <f t="shared" si="3"/>
        <v>6088.7640134714275</v>
      </c>
      <c r="P30" s="138">
        <f t="shared" si="4"/>
        <v>1.52597314023898</v>
      </c>
      <c r="Q30" s="134">
        <f t="shared" si="2"/>
        <v>2.5062116660503757E-4</v>
      </c>
      <c r="R30" s="138">
        <v>3.7845291421226399</v>
      </c>
      <c r="S30" s="138">
        <v>0.18354688935368599</v>
      </c>
      <c r="T30" s="138">
        <v>8.2084664330695001E-2</v>
      </c>
      <c r="U30" s="138">
        <v>0.227903564492762</v>
      </c>
    </row>
    <row r="31" spans="1:21" s="138" customFormat="1" x14ac:dyDescent="0.35">
      <c r="A31" s="135">
        <v>44659</v>
      </c>
      <c r="B31" s="138">
        <v>30</v>
      </c>
      <c r="C31" s="133">
        <v>7.87</v>
      </c>
      <c r="D31" s="131">
        <v>720.79</v>
      </c>
      <c r="E31" s="132">
        <v>201.87</v>
      </c>
      <c r="F31" s="133">
        <v>28.831599999999998</v>
      </c>
      <c r="G31" s="133">
        <v>8.0747999999999998</v>
      </c>
      <c r="H31" s="134">
        <v>0.28006770349200183</v>
      </c>
      <c r="I31" s="142">
        <v>14.415799999999999</v>
      </c>
      <c r="J31" s="137">
        <v>288.31599999999997</v>
      </c>
      <c r="K31" s="175">
        <v>14.415799999999999</v>
      </c>
      <c r="L31" s="138">
        <v>4.04</v>
      </c>
      <c r="M31" s="134">
        <f t="shared" si="0"/>
        <v>0.28024806115512146</v>
      </c>
      <c r="N31" s="138">
        <v>5</v>
      </c>
      <c r="O31" s="175">
        <f t="shared" si="3"/>
        <v>23.22051810069912</v>
      </c>
      <c r="P31" s="138">
        <f t="shared" si="4"/>
        <v>1.2852433420679985</v>
      </c>
      <c r="Q31" s="134">
        <f t="shared" si="2"/>
        <v>5.5349468797136897E-2</v>
      </c>
      <c r="R31" s="138">
        <v>1.36587190557329</v>
      </c>
      <c r="S31" s="138">
        <v>0.108985362773953</v>
      </c>
      <c r="T31" s="138">
        <v>4.87397359430067E-2</v>
      </c>
      <c r="U31" s="138">
        <v>0.13532320128759401</v>
      </c>
    </row>
    <row r="32" spans="1:21" s="138" customFormat="1" x14ac:dyDescent="0.35">
      <c r="A32" s="135">
        <v>44659</v>
      </c>
      <c r="B32" s="138">
        <v>31</v>
      </c>
      <c r="C32" s="133">
        <v>3.72</v>
      </c>
      <c r="D32" s="131">
        <v>13813765</v>
      </c>
      <c r="E32" s="132">
        <v>299322.62</v>
      </c>
      <c r="F32" s="133">
        <v>460458.83333333331</v>
      </c>
      <c r="G32" s="133">
        <v>9977.4206666666669</v>
      </c>
      <c r="H32" s="134">
        <v>2.1668431452250711E-2</v>
      </c>
      <c r="I32" s="142">
        <v>230229.41666666666</v>
      </c>
      <c r="J32" s="137">
        <v>4604588.333333333</v>
      </c>
      <c r="K32" s="175">
        <v>230229.41666666666</v>
      </c>
      <c r="L32" s="138">
        <v>4988.71</v>
      </c>
      <c r="M32" s="134">
        <f t="shared" si="0"/>
        <v>2.1668430004419505E-2</v>
      </c>
      <c r="N32" s="138">
        <v>5</v>
      </c>
      <c r="O32" s="175">
        <f t="shared" si="3"/>
        <v>47.563920729050054</v>
      </c>
      <c r="P32" s="138">
        <f t="shared" si="4"/>
        <v>1.3534882009175377</v>
      </c>
      <c r="Q32" s="134">
        <f t="shared" si="2"/>
        <v>2.84561949513738E-2</v>
      </c>
      <c r="R32" s="138">
        <v>1.67727764663652</v>
      </c>
      <c r="S32" s="138">
        <v>0.131454474145136</v>
      </c>
      <c r="T32" s="138">
        <v>5.8788228027002599E-2</v>
      </c>
      <c r="U32" s="138">
        <v>0.16322228794882301</v>
      </c>
    </row>
    <row r="33" spans="1:21" s="138" customFormat="1" x14ac:dyDescent="0.35">
      <c r="A33" s="155">
        <v>44662</v>
      </c>
      <c r="B33" s="156">
        <v>32</v>
      </c>
      <c r="C33" s="157">
        <v>3.57</v>
      </c>
      <c r="D33" s="158">
        <v>1668284.5</v>
      </c>
      <c r="E33" s="159">
        <v>87994.185700000002</v>
      </c>
      <c r="F33" s="157">
        <v>55609.48333333333</v>
      </c>
      <c r="G33" s="157">
        <v>2933.1395233333333</v>
      </c>
      <c r="H33" s="160">
        <v>5.2745311546082217E-2</v>
      </c>
      <c r="I33" s="161">
        <v>27804.741666666661</v>
      </c>
      <c r="J33" s="162">
        <v>556094.83333333326</v>
      </c>
      <c r="K33" s="176">
        <v>27804.741666666661</v>
      </c>
      <c r="L33" s="156"/>
      <c r="M33" s="160"/>
      <c r="N33" s="156"/>
      <c r="O33" s="176"/>
      <c r="P33" s="156"/>
      <c r="Q33" s="160"/>
      <c r="R33" s="156"/>
      <c r="S33" s="156"/>
      <c r="T33" s="156"/>
      <c r="U33" s="156"/>
    </row>
    <row r="34" spans="1:21" s="138" customFormat="1" x14ac:dyDescent="0.35">
      <c r="A34" s="155">
        <v>44662</v>
      </c>
      <c r="B34" s="156">
        <v>33</v>
      </c>
      <c r="C34" s="157">
        <v>14.9</v>
      </c>
      <c r="D34" s="158">
        <v>386747.72</v>
      </c>
      <c r="E34" s="159">
        <v>66131.217300000004</v>
      </c>
      <c r="F34" s="157">
        <v>12891.590666666665</v>
      </c>
      <c r="G34" s="157">
        <v>2204.3739100000003</v>
      </c>
      <c r="H34" s="160">
        <v>0.17099316655312155</v>
      </c>
      <c r="I34" s="161">
        <v>6445.7953333333326</v>
      </c>
      <c r="J34" s="162">
        <v>128915.90666666665</v>
      </c>
      <c r="K34" s="176">
        <v>6445.7953333333326</v>
      </c>
      <c r="L34" s="156"/>
      <c r="M34" s="160"/>
      <c r="N34" s="156"/>
      <c r="O34" s="176"/>
      <c r="P34" s="156"/>
      <c r="Q34" s="160"/>
      <c r="R34" s="156"/>
      <c r="S34" s="156"/>
      <c r="T34" s="156"/>
      <c r="U34" s="156"/>
    </row>
    <row r="35" spans="1:21" s="138" customFormat="1" x14ac:dyDescent="0.35">
      <c r="A35" s="135">
        <v>44662</v>
      </c>
      <c r="B35" s="138">
        <v>34</v>
      </c>
      <c r="C35" s="133">
        <v>9.18</v>
      </c>
      <c r="D35" s="131">
        <v>8741229</v>
      </c>
      <c r="E35" s="132">
        <v>1019141.3</v>
      </c>
      <c r="F35" s="133">
        <v>291374.3</v>
      </c>
      <c r="G35" s="133">
        <v>33971.376666666671</v>
      </c>
      <c r="H35" s="134">
        <v>0.11659016140636519</v>
      </c>
      <c r="I35" s="142">
        <v>145687.15</v>
      </c>
      <c r="J35" s="137">
        <v>2913743</v>
      </c>
      <c r="K35" s="175">
        <v>145687.15</v>
      </c>
      <c r="L35" s="138">
        <v>16985.689999999999</v>
      </c>
      <c r="M35" s="134">
        <f t="shared" si="0"/>
        <v>0.11659017284640409</v>
      </c>
      <c r="N35" s="138">
        <v>5</v>
      </c>
      <c r="O35" s="175">
        <f>10^R35</f>
        <v>39.043436788232682</v>
      </c>
      <c r="P35" s="138">
        <f>10^S35</f>
        <v>1.6415215855168548</v>
      </c>
      <c r="Q35" s="134">
        <f t="shared" si="2"/>
        <v>4.2043470568953439E-2</v>
      </c>
      <c r="R35" s="138">
        <v>1.59154803933459</v>
      </c>
      <c r="S35" s="138">
        <v>0.215246597945178</v>
      </c>
      <c r="T35" s="138">
        <v>9.6261204986197099E-2</v>
      </c>
      <c r="U35" s="138">
        <v>0.26726395140436798</v>
      </c>
    </row>
    <row r="36" spans="1:21" s="138" customFormat="1" ht="15" thickBot="1" x14ac:dyDescent="0.4">
      <c r="A36" s="135">
        <v>44662</v>
      </c>
      <c r="B36" s="138">
        <v>35</v>
      </c>
      <c r="C36" s="133">
        <v>191</v>
      </c>
      <c r="D36" s="131">
        <v>23493094</v>
      </c>
      <c r="E36" s="132">
        <v>2479077.75</v>
      </c>
      <c r="F36" s="133">
        <v>783103.1333333333</v>
      </c>
      <c r="G36" s="133">
        <v>82635.925000000003</v>
      </c>
      <c r="H36" s="134">
        <v>0.10552368070378471</v>
      </c>
      <c r="I36" s="143">
        <v>391551.56666666665</v>
      </c>
      <c r="J36" s="140">
        <v>7831031.333333333</v>
      </c>
      <c r="K36" s="175">
        <v>391551.56666666665</v>
      </c>
      <c r="L36" s="138">
        <v>41317.96</v>
      </c>
      <c r="M36" s="134">
        <f t="shared" si="0"/>
        <v>0.10552367431892964</v>
      </c>
      <c r="N36" s="138">
        <v>5</v>
      </c>
      <c r="O36" s="175">
        <f>10^R36</f>
        <v>3993.0457450606932</v>
      </c>
      <c r="P36" s="138">
        <f>10^S36</f>
        <v>5.4513086389549761</v>
      </c>
      <c r="Q36" s="134">
        <f t="shared" si="2"/>
        <v>1.3652006480762513E-3</v>
      </c>
      <c r="R36" s="138">
        <v>3.60130428557967</v>
      </c>
      <c r="S36" s="138">
        <v>0.73650077135084302</v>
      </c>
      <c r="T36" s="138">
        <v>0.329373158044303</v>
      </c>
      <c r="U36" s="138">
        <v>0.91448649243564495</v>
      </c>
    </row>
    <row r="39" spans="1:21" x14ac:dyDescent="0.35">
      <c r="L39" t="e">
        <f>PEARSON(K2:K36,O2:O36)</f>
        <v>#VALUE!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D274A-A469-41CC-A3AD-85A085EA3C0C}">
  <dimension ref="A1:Q25"/>
  <sheetViews>
    <sheetView topLeftCell="I1" workbookViewId="0">
      <selection activeCell="M3" sqref="M3"/>
    </sheetView>
  </sheetViews>
  <sheetFormatPr defaultRowHeight="14.5" x14ac:dyDescent="0.35"/>
  <cols>
    <col min="1" max="1" width="8.81640625" bestFit="1" customWidth="1"/>
    <col min="2" max="2" width="15.453125" bestFit="1" customWidth="1"/>
    <col min="3" max="3" width="17.81640625" bestFit="1" customWidth="1"/>
    <col min="4" max="4" width="10.81640625" bestFit="1" customWidth="1"/>
    <col min="5" max="5" width="12" bestFit="1" customWidth="1"/>
    <col min="6" max="6" width="9.54296875" hidden="1" customWidth="1"/>
    <col min="7" max="7" width="10.7265625" hidden="1" customWidth="1"/>
    <col min="8" max="8" width="16.1796875" bestFit="1" customWidth="1"/>
    <col min="9" max="9" width="12.54296875" bestFit="1" customWidth="1"/>
    <col min="10" max="10" width="2.453125" style="1" bestFit="1" customWidth="1"/>
    <col min="11" max="11" width="12" customWidth="1"/>
    <col min="12" max="12" width="12" bestFit="1" customWidth="1"/>
    <col min="13" max="13" width="12.1796875" customWidth="1"/>
    <col min="14" max="14" width="12" bestFit="1" customWidth="1"/>
    <col min="15" max="16" width="12.1796875" bestFit="1" customWidth="1"/>
  </cols>
  <sheetData>
    <row r="1" spans="1:17" s="184" customFormat="1" ht="29.5" thickBot="1" x14ac:dyDescent="0.4">
      <c r="A1" s="180" t="s">
        <v>7</v>
      </c>
      <c r="B1" s="181" t="s">
        <v>125</v>
      </c>
      <c r="C1" s="9" t="s">
        <v>24</v>
      </c>
      <c r="D1" s="9" t="s">
        <v>25</v>
      </c>
      <c r="E1" s="179" t="s">
        <v>71</v>
      </c>
      <c r="F1" s="179" t="s">
        <v>101</v>
      </c>
      <c r="G1" s="179" t="s">
        <v>105</v>
      </c>
      <c r="H1" s="182" t="s">
        <v>126</v>
      </c>
      <c r="I1" s="183" t="s">
        <v>127</v>
      </c>
      <c r="J1" s="183" t="s">
        <v>117</v>
      </c>
      <c r="K1" s="183" t="s">
        <v>128</v>
      </c>
      <c r="L1" s="183" t="s">
        <v>130</v>
      </c>
      <c r="M1" s="183" t="s">
        <v>131</v>
      </c>
      <c r="N1" s="183" t="s">
        <v>123</v>
      </c>
      <c r="O1" s="183" t="s">
        <v>124</v>
      </c>
      <c r="P1" s="183" t="s">
        <v>119</v>
      </c>
      <c r="Q1" s="184" t="s">
        <v>120</v>
      </c>
    </row>
    <row r="2" spans="1:17" s="138" customFormat="1" x14ac:dyDescent="0.35">
      <c r="A2" s="136">
        <v>1</v>
      </c>
      <c r="B2" s="2">
        <v>24</v>
      </c>
      <c r="C2" s="131">
        <v>2006.65</v>
      </c>
      <c r="D2" s="132">
        <v>1202.8800000000001</v>
      </c>
      <c r="E2" s="133">
        <v>83.610416666666666</v>
      </c>
      <c r="F2" s="133">
        <v>50.120000000000005</v>
      </c>
      <c r="G2" s="134">
        <v>0.59944683925946229</v>
      </c>
      <c r="H2" s="141">
        <v>200</v>
      </c>
      <c r="I2" s="175">
        <v>41.805208333333333</v>
      </c>
      <c r="J2">
        <v>5</v>
      </c>
      <c r="K2" s="175">
        <f>10^N2</f>
        <v>4117.5766109877559</v>
      </c>
      <c r="L2" s="138">
        <f>10^O2</f>
        <v>1.3169178165331434</v>
      </c>
      <c r="M2" s="134">
        <f>L2/K2</f>
        <v>3.1982837016776989E-4</v>
      </c>
      <c r="N2" s="138">
        <v>3.61464168833231</v>
      </c>
      <c r="O2" s="138">
        <v>0.11955867326108</v>
      </c>
      <c r="P2" s="138">
        <v>5.3468264142292103E-2</v>
      </c>
      <c r="Q2" s="138">
        <v>0.14845170026128901</v>
      </c>
    </row>
    <row r="3" spans="1:17" s="138" customFormat="1" x14ac:dyDescent="0.35">
      <c r="A3" s="139">
        <v>3</v>
      </c>
      <c r="B3" s="2">
        <v>28.2</v>
      </c>
      <c r="C3" s="131">
        <v>542.95000000000005</v>
      </c>
      <c r="D3" s="132">
        <v>110.25</v>
      </c>
      <c r="E3" s="133">
        <v>19.253546099290784</v>
      </c>
      <c r="F3" s="133">
        <v>3.9095744680851063</v>
      </c>
      <c r="G3" s="134">
        <v>0.20305737176535588</v>
      </c>
      <c r="H3" s="142">
        <v>2</v>
      </c>
      <c r="I3" s="175">
        <v>9.6267730496453918</v>
      </c>
      <c r="J3">
        <v>4</v>
      </c>
      <c r="K3" s="175">
        <f t="shared" ref="K3:L7" si="0">10^N3</f>
        <v>0.28610377461925768</v>
      </c>
      <c r="L3" s="138">
        <f t="shared" si="0"/>
        <v>1.2828963081215115</v>
      </c>
      <c r="M3" s="134">
        <f>L3/K3</f>
        <v>4.4840244062797474</v>
      </c>
      <c r="N3" s="138">
        <v>-0.54347641243066502</v>
      </c>
      <c r="O3" s="138">
        <v>0.108191555337893</v>
      </c>
      <c r="P3" s="138">
        <v>5.4095777668946597E-2</v>
      </c>
      <c r="Q3" s="138">
        <v>0.17215690777398801</v>
      </c>
    </row>
    <row r="4" spans="1:17" s="138" customFormat="1" x14ac:dyDescent="0.35">
      <c r="A4" s="139">
        <v>5</v>
      </c>
      <c r="B4" s="2">
        <v>23.4</v>
      </c>
      <c r="C4" s="131">
        <v>91.44</v>
      </c>
      <c r="D4" s="132">
        <v>33.340000000000003</v>
      </c>
      <c r="E4" s="133">
        <v>3.907692307692308</v>
      </c>
      <c r="F4" s="133">
        <v>1.4247863247863251</v>
      </c>
      <c r="G4" s="134">
        <v>0.36461067366579181</v>
      </c>
      <c r="H4" s="142">
        <v>11</v>
      </c>
      <c r="I4" s="175">
        <v>1.953846153846154</v>
      </c>
      <c r="J4">
        <v>5</v>
      </c>
      <c r="K4" s="175">
        <f t="shared" si="0"/>
        <v>32439.403618233253</v>
      </c>
      <c r="L4" s="138">
        <f t="shared" si="0"/>
        <v>1.1572741943605735</v>
      </c>
      <c r="M4" s="134">
        <f t="shared" ref="M4:M25" si="1">L4/K4</f>
        <v>3.5674952843772475E-5</v>
      </c>
      <c r="N4" s="138">
        <v>4.5110728613316198</v>
      </c>
      <c r="O4" s="138">
        <v>6.3436269055153399E-2</v>
      </c>
      <c r="P4" s="138">
        <v>2.8369561969257901E-2</v>
      </c>
      <c r="Q4" s="138">
        <v>7.8766531466151493E-2</v>
      </c>
    </row>
    <row r="5" spans="1:17" s="138" customFormat="1" x14ac:dyDescent="0.35">
      <c r="A5" s="139">
        <v>6</v>
      </c>
      <c r="B5" s="2">
        <v>25.7</v>
      </c>
      <c r="C5" s="131">
        <v>157.74</v>
      </c>
      <c r="D5" s="132">
        <v>54.88</v>
      </c>
      <c r="E5" s="133">
        <v>6.137743190661479</v>
      </c>
      <c r="F5" s="133">
        <v>2.135408560311284</v>
      </c>
      <c r="G5" s="134">
        <v>0.34791428933688345</v>
      </c>
      <c r="H5" s="142">
        <v>6.38</v>
      </c>
      <c r="I5" s="175">
        <v>3.0688715953307395</v>
      </c>
      <c r="J5">
        <v>5</v>
      </c>
      <c r="K5" s="175">
        <f t="shared" si="0"/>
        <v>27.386804065140161</v>
      </c>
      <c r="L5" s="138">
        <f t="shared" si="0"/>
        <v>8.2936713028743938</v>
      </c>
      <c r="M5" s="134">
        <f t="shared" si="1"/>
        <v>0.30283457986363432</v>
      </c>
      <c r="N5" s="138">
        <v>1.4375413547126401</v>
      </c>
      <c r="O5" s="138">
        <v>0.91874681928738999</v>
      </c>
      <c r="P5" s="138">
        <v>0.410876068407664</v>
      </c>
      <c r="Q5" s="138">
        <v>1.14077484897337</v>
      </c>
    </row>
    <row r="6" spans="1:17" s="138" customFormat="1" x14ac:dyDescent="0.35">
      <c r="A6" s="139">
        <v>7</v>
      </c>
      <c r="B6" s="2">
        <v>25.5</v>
      </c>
      <c r="C6" s="131">
        <v>79.25</v>
      </c>
      <c r="D6" s="132">
        <v>76.44</v>
      </c>
      <c r="E6" s="133">
        <v>3.107843137254902</v>
      </c>
      <c r="F6" s="133">
        <v>2.9976470588235293</v>
      </c>
      <c r="G6" s="134">
        <v>0.96454258675078863</v>
      </c>
      <c r="H6" s="142">
        <v>14.4</v>
      </c>
      <c r="I6" s="175">
        <v>1.553921568627451</v>
      </c>
      <c r="J6">
        <v>3</v>
      </c>
      <c r="K6" s="175">
        <f t="shared" si="0"/>
        <v>27.922451057687788</v>
      </c>
      <c r="L6" s="138">
        <f t="shared" si="0"/>
        <v>1.7011210702219601</v>
      </c>
      <c r="M6" s="134">
        <f t="shared" si="1"/>
        <v>6.0923056744103296E-2</v>
      </c>
      <c r="N6" s="138">
        <v>1.44595353838188</v>
      </c>
      <c r="O6" s="138">
        <v>0.23073522381726599</v>
      </c>
      <c r="P6" s="138">
        <v>0.133215043582427</v>
      </c>
      <c r="Q6" s="138">
        <v>0.57317807091362305</v>
      </c>
    </row>
    <row r="7" spans="1:17" s="138" customFormat="1" x14ac:dyDescent="0.35">
      <c r="A7" s="138">
        <v>9</v>
      </c>
      <c r="B7" s="2">
        <v>29.1</v>
      </c>
      <c r="C7" s="131">
        <v>443.5</v>
      </c>
      <c r="D7" s="132">
        <v>143.91</v>
      </c>
      <c r="E7" s="133">
        <v>15.240549828178693</v>
      </c>
      <c r="F7" s="133">
        <v>4.9453608247422673</v>
      </c>
      <c r="G7" s="134">
        <v>0.32448703494926717</v>
      </c>
      <c r="H7" s="133">
        <v>4.8899999999999997</v>
      </c>
      <c r="I7" s="175">
        <v>7.6202749140893475</v>
      </c>
      <c r="J7">
        <v>5</v>
      </c>
      <c r="K7" s="175">
        <f t="shared" si="0"/>
        <v>0.26974608082172602</v>
      </c>
      <c r="L7" s="138">
        <f t="shared" si="0"/>
        <v>3.1498555241738826</v>
      </c>
      <c r="M7" s="134">
        <f>L7/K7</f>
        <v>11.67711321172302</v>
      </c>
      <c r="N7" s="138">
        <v>-0.569044856524061</v>
      </c>
      <c r="O7" s="138">
        <v>0.49829063426801101</v>
      </c>
      <c r="P7" s="138">
        <v>0.22284234615495199</v>
      </c>
      <c r="Q7" s="138">
        <v>0.61870954121270805</v>
      </c>
    </row>
    <row r="8" spans="1:17" s="138" customFormat="1" x14ac:dyDescent="0.35">
      <c r="A8" s="138">
        <v>13</v>
      </c>
      <c r="B8" s="2">
        <v>25.4</v>
      </c>
      <c r="C8" s="131">
        <v>94466.6</v>
      </c>
      <c r="D8" s="132">
        <v>59792.68</v>
      </c>
      <c r="E8" s="133">
        <v>3719.157480314961</v>
      </c>
      <c r="F8" s="133">
        <v>2354.0425196850397</v>
      </c>
      <c r="G8" s="134">
        <v>0.6329504819692886</v>
      </c>
      <c r="H8" s="133">
        <v>4.91</v>
      </c>
      <c r="I8" s="175">
        <v>1859.5787401574805</v>
      </c>
      <c r="J8">
        <v>5</v>
      </c>
      <c r="K8" s="175">
        <f t="shared" ref="K8:L23" si="2">10^N8</f>
        <v>2504.3889225260555</v>
      </c>
      <c r="L8" s="138">
        <f t="shared" si="2"/>
        <v>2.2584395663456576</v>
      </c>
      <c r="M8" s="134">
        <f t="shared" si="1"/>
        <v>9.0179266727776419E-4</v>
      </c>
      <c r="N8" s="138">
        <v>3.3987017741354202</v>
      </c>
      <c r="O8" s="138">
        <v>0.35380847375339802</v>
      </c>
      <c r="P8" s="138">
        <v>0.15822795966561001</v>
      </c>
      <c r="Q8" s="138">
        <v>0.43931124411901601</v>
      </c>
    </row>
    <row r="9" spans="1:17" s="138" customFormat="1" x14ac:dyDescent="0.35">
      <c r="A9" s="138">
        <v>14</v>
      </c>
      <c r="B9" s="2">
        <v>21.3</v>
      </c>
      <c r="C9" s="131">
        <v>150.44999999999999</v>
      </c>
      <c r="D9" s="132">
        <v>9.8800000000000008</v>
      </c>
      <c r="E9" s="133">
        <v>7.0633802816901401</v>
      </c>
      <c r="F9" s="133">
        <v>0.46384976525821597</v>
      </c>
      <c r="G9" s="134">
        <v>6.5669657693585917E-2</v>
      </c>
      <c r="H9" s="133">
        <v>4.42</v>
      </c>
      <c r="I9" s="175">
        <v>3.5316901408450705</v>
      </c>
      <c r="J9">
        <v>5</v>
      </c>
      <c r="K9" s="175">
        <f t="shared" si="2"/>
        <v>5.8225474871300809E-2</v>
      </c>
      <c r="L9" s="138">
        <f t="shared" si="2"/>
        <v>3.6439002170512458</v>
      </c>
      <c r="M9" s="134">
        <f t="shared" si="1"/>
        <v>62.582576185176208</v>
      </c>
      <c r="N9" s="138">
        <v>-1.23488696078994</v>
      </c>
      <c r="O9" s="138">
        <v>0.56156647593615205</v>
      </c>
      <c r="P9" s="138">
        <v>0.25114016281564699</v>
      </c>
      <c r="Q9" s="138">
        <v>0.69727687576807995</v>
      </c>
    </row>
    <row r="10" spans="1:17" s="138" customFormat="1" x14ac:dyDescent="0.35">
      <c r="A10" s="138">
        <v>15</v>
      </c>
      <c r="B10" s="2">
        <v>25</v>
      </c>
      <c r="C10" s="131">
        <v>922.2</v>
      </c>
      <c r="D10" s="132">
        <v>13.01</v>
      </c>
      <c r="E10" s="133">
        <v>36.888000000000005</v>
      </c>
      <c r="F10" s="133">
        <v>0.52039999999999997</v>
      </c>
      <c r="G10" s="134">
        <v>1.4107568857080892E-2</v>
      </c>
      <c r="H10" s="133">
        <v>13.3</v>
      </c>
      <c r="I10" s="175">
        <v>18.444000000000003</v>
      </c>
      <c r="J10">
        <v>5</v>
      </c>
      <c r="K10" s="175">
        <f t="shared" si="2"/>
        <v>63.394741881046329</v>
      </c>
      <c r="L10" s="138">
        <f t="shared" si="2"/>
        <v>4.6921237751958493</v>
      </c>
      <c r="M10" s="134">
        <f t="shared" si="1"/>
        <v>7.4014399869316197E-2</v>
      </c>
      <c r="N10" s="138">
        <v>1.8020532379015</v>
      </c>
      <c r="O10" s="138">
        <v>0.67136946000264297</v>
      </c>
      <c r="P10" s="138">
        <v>0.300245550116647</v>
      </c>
      <c r="Q10" s="138">
        <v>0.83361528797878404</v>
      </c>
    </row>
    <row r="11" spans="1:17" s="138" customFormat="1" x14ac:dyDescent="0.35">
      <c r="A11" s="138">
        <v>16</v>
      </c>
      <c r="B11" s="2">
        <v>28.8</v>
      </c>
      <c r="C11" s="131">
        <v>3409092</v>
      </c>
      <c r="D11" s="132">
        <v>209830.05</v>
      </c>
      <c r="E11" s="133">
        <v>118371.25</v>
      </c>
      <c r="F11" s="133">
        <v>7285.7656249999991</v>
      </c>
      <c r="G11" s="134">
        <v>6.1550128303958937E-2</v>
      </c>
      <c r="H11" s="133">
        <v>240</v>
      </c>
      <c r="I11" s="175">
        <v>59185.625</v>
      </c>
      <c r="J11">
        <v>5</v>
      </c>
      <c r="K11" s="175">
        <f t="shared" si="2"/>
        <v>4562.7700700779487</v>
      </c>
      <c r="L11" s="138">
        <f t="shared" si="2"/>
        <v>1.5660554945754153</v>
      </c>
      <c r="M11" s="134">
        <f t="shared" si="1"/>
        <v>3.4322472325427992E-4</v>
      </c>
      <c r="N11" s="138">
        <v>3.6592285840888201</v>
      </c>
      <c r="O11" s="138">
        <v>0.19480714760752699</v>
      </c>
      <c r="P11" s="138">
        <v>8.7120404910653204E-2</v>
      </c>
      <c r="Q11" s="138">
        <v>0.241885021777033</v>
      </c>
    </row>
    <row r="12" spans="1:17" s="138" customFormat="1" x14ac:dyDescent="0.35">
      <c r="A12" s="138">
        <v>17</v>
      </c>
      <c r="B12" s="2">
        <v>16.2</v>
      </c>
      <c r="C12" s="131">
        <v>3592.68</v>
      </c>
      <c r="D12" s="132">
        <v>1440.96</v>
      </c>
      <c r="E12" s="133">
        <v>221.77037037037036</v>
      </c>
      <c r="F12" s="133">
        <v>88.94814814814815</v>
      </c>
      <c r="G12" s="134">
        <v>0.40108220047429777</v>
      </c>
      <c r="H12" s="133">
        <v>5.62</v>
      </c>
      <c r="I12" s="175">
        <v>110.88518518518518</v>
      </c>
      <c r="J12">
        <v>5</v>
      </c>
      <c r="K12" s="175">
        <f t="shared" si="2"/>
        <v>1.4278524963134003</v>
      </c>
      <c r="L12" s="138">
        <f t="shared" si="2"/>
        <v>1.4781584928146623</v>
      </c>
      <c r="M12" s="134">
        <f t="shared" si="1"/>
        <v>1.0352319281096247</v>
      </c>
      <c r="N12" s="138">
        <v>0.15468334515312199</v>
      </c>
      <c r="O12" s="138">
        <v>0.16972100297929099</v>
      </c>
      <c r="P12" s="138">
        <v>7.5901539974227897E-2</v>
      </c>
      <c r="Q12" s="138">
        <v>0.21073645913842001</v>
      </c>
    </row>
    <row r="13" spans="1:17" s="138" customFormat="1" x14ac:dyDescent="0.35">
      <c r="A13" s="138">
        <v>18</v>
      </c>
      <c r="B13" s="2">
        <v>23.1</v>
      </c>
      <c r="C13" s="131">
        <v>10732.58</v>
      </c>
      <c r="D13" s="132">
        <v>1665.99</v>
      </c>
      <c r="E13" s="133">
        <v>464.61385281385276</v>
      </c>
      <c r="F13" s="133">
        <v>72.120779220779212</v>
      </c>
      <c r="G13" s="134">
        <v>0.15522735446649361</v>
      </c>
      <c r="H13" s="133">
        <v>13.5</v>
      </c>
      <c r="I13" s="175">
        <v>232.30692640692638</v>
      </c>
      <c r="J13">
        <v>5</v>
      </c>
      <c r="K13" s="175">
        <f t="shared" si="2"/>
        <v>43.228517742331832</v>
      </c>
      <c r="L13" s="138">
        <f t="shared" si="2"/>
        <v>2.3215144979232485</v>
      </c>
      <c r="M13" s="134">
        <f t="shared" si="1"/>
        <v>5.3703310202789789E-2</v>
      </c>
      <c r="N13" s="138">
        <v>1.6357703443154601</v>
      </c>
      <c r="O13" s="138">
        <v>0.36577140019190002</v>
      </c>
      <c r="P13" s="138">
        <v>0.163577943010873</v>
      </c>
      <c r="Q13" s="138">
        <v>0.45416517919086302</v>
      </c>
    </row>
    <row r="14" spans="1:17" s="138" customFormat="1" x14ac:dyDescent="0.35">
      <c r="A14" s="138">
        <v>19</v>
      </c>
      <c r="B14" s="2">
        <v>21</v>
      </c>
      <c r="C14" s="131">
        <v>423.41</v>
      </c>
      <c r="D14" s="132">
        <v>287.05</v>
      </c>
      <c r="E14" s="133">
        <v>20.162380952380953</v>
      </c>
      <c r="F14" s="133">
        <v>13.669047619047619</v>
      </c>
      <c r="G14" s="134">
        <v>0.67794808814151764</v>
      </c>
      <c r="H14" s="133">
        <v>6.68</v>
      </c>
      <c r="I14" s="175">
        <v>10.081190476190477</v>
      </c>
      <c r="J14">
        <v>5</v>
      </c>
      <c r="K14" s="175">
        <f t="shared" si="2"/>
        <v>14.997886625989612</v>
      </c>
      <c r="L14" s="138">
        <f t="shared" si="2"/>
        <v>1.9845023804957773</v>
      </c>
      <c r="M14" s="134">
        <f t="shared" si="1"/>
        <v>0.13231880130743642</v>
      </c>
      <c r="N14" s="138">
        <v>1.17603006630008</v>
      </c>
      <c r="O14" s="138">
        <v>0.29765162419836499</v>
      </c>
      <c r="P14" s="138">
        <v>0.13311385306415299</v>
      </c>
      <c r="Q14" s="138">
        <v>0.36958330577398602</v>
      </c>
    </row>
    <row r="15" spans="1:17" s="138" customFormat="1" x14ac:dyDescent="0.35">
      <c r="A15" s="138">
        <v>20</v>
      </c>
      <c r="B15" s="2">
        <v>27.8</v>
      </c>
      <c r="C15" s="131">
        <v>1143.3900000000001</v>
      </c>
      <c r="D15" s="132">
        <v>526.97</v>
      </c>
      <c r="E15" s="133">
        <v>41.129136690647485</v>
      </c>
      <c r="F15" s="133">
        <v>18.955755395683454</v>
      </c>
      <c r="G15" s="134">
        <v>0.46088386289892336</v>
      </c>
      <c r="H15" s="133">
        <v>25.3</v>
      </c>
      <c r="I15" s="175">
        <v>20.564568345323742</v>
      </c>
      <c r="J15">
        <v>4</v>
      </c>
      <c r="K15" s="175">
        <f t="shared" si="2"/>
        <v>292.77171895081915</v>
      </c>
      <c r="L15" s="138">
        <f t="shared" si="2"/>
        <v>4.8285754219826522</v>
      </c>
      <c r="M15" s="134">
        <f t="shared" si="1"/>
        <v>1.64926292720021E-2</v>
      </c>
      <c r="N15" s="138">
        <v>2.4665291226021901</v>
      </c>
      <c r="O15" s="138">
        <v>0.68381901944121404</v>
      </c>
      <c r="P15" s="138">
        <v>0.34190950972060702</v>
      </c>
      <c r="Q15" s="138">
        <v>1.0881086559517099</v>
      </c>
    </row>
    <row r="16" spans="1:17" s="138" customFormat="1" x14ac:dyDescent="0.35">
      <c r="A16" s="138">
        <v>21</v>
      </c>
      <c r="B16" s="2">
        <v>26.4</v>
      </c>
      <c r="C16" s="131">
        <v>518.34</v>
      </c>
      <c r="D16" s="132">
        <v>59.04</v>
      </c>
      <c r="E16" s="133">
        <v>19.634090909090911</v>
      </c>
      <c r="F16" s="133">
        <v>2.2363636363636363</v>
      </c>
      <c r="G16" s="134">
        <v>0.11390207199907396</v>
      </c>
      <c r="H16" s="133">
        <v>344</v>
      </c>
      <c r="I16" s="175">
        <v>9.8170454545454557</v>
      </c>
      <c r="J16">
        <v>5</v>
      </c>
      <c r="K16" s="175">
        <f t="shared" si="2"/>
        <v>16131.827292859572</v>
      </c>
      <c r="L16" s="138">
        <f t="shared" si="2"/>
        <v>1.6062542633077741</v>
      </c>
      <c r="M16" s="134">
        <f t="shared" si="1"/>
        <v>9.9570509536681576E-5</v>
      </c>
      <c r="N16" s="138">
        <v>4.2076835638091996</v>
      </c>
      <c r="O16" s="138">
        <v>0.20581429337799001</v>
      </c>
      <c r="P16" s="138">
        <v>9.2042950146854305E-2</v>
      </c>
      <c r="Q16" s="138">
        <v>0.25555219840319798</v>
      </c>
    </row>
    <row r="17" spans="1:17" s="138" customFormat="1" x14ac:dyDescent="0.35">
      <c r="A17" s="138">
        <v>22</v>
      </c>
      <c r="B17" s="2">
        <v>26.6</v>
      </c>
      <c r="C17" s="131">
        <v>396.06</v>
      </c>
      <c r="D17" s="132">
        <v>115.64</v>
      </c>
      <c r="E17" s="133">
        <v>14.889473684210525</v>
      </c>
      <c r="F17" s="133">
        <v>4.3473684210526313</v>
      </c>
      <c r="G17" s="134">
        <v>0.29197596323789327</v>
      </c>
      <c r="H17" s="133">
        <v>7.41</v>
      </c>
      <c r="I17" s="175">
        <v>7.4447368421052627</v>
      </c>
      <c r="J17">
        <v>5</v>
      </c>
      <c r="K17" s="175">
        <f t="shared" si="2"/>
        <v>2.8119469000014252</v>
      </c>
      <c r="L17" s="138">
        <f t="shared" si="2"/>
        <v>2.041378502901452</v>
      </c>
      <c r="M17" s="134">
        <f t="shared" si="1"/>
        <v>0.72596623460436516</v>
      </c>
      <c r="N17" s="138">
        <v>0.44900711533281201</v>
      </c>
      <c r="O17" s="138">
        <v>0.30992353704389802</v>
      </c>
      <c r="P17" s="138">
        <v>0.13860201933146599</v>
      </c>
      <c r="Q17" s="138">
        <v>0.384820898143379</v>
      </c>
    </row>
    <row r="18" spans="1:17" s="138" customFormat="1" x14ac:dyDescent="0.35">
      <c r="A18" s="138">
        <v>23</v>
      </c>
      <c r="B18" s="2">
        <v>29.9</v>
      </c>
      <c r="C18" s="131">
        <v>708.27</v>
      </c>
      <c r="D18" s="132">
        <v>58.85</v>
      </c>
      <c r="E18" s="133">
        <v>23.687959866220737</v>
      </c>
      <c r="F18" s="133">
        <v>1.968227424749164</v>
      </c>
      <c r="G18" s="134">
        <v>8.3089782145227109E-2</v>
      </c>
      <c r="H18" s="133">
        <v>7.31</v>
      </c>
      <c r="I18" s="175">
        <v>11.843979933110369</v>
      </c>
      <c r="J18">
        <v>5</v>
      </c>
      <c r="K18" s="175">
        <f t="shared" si="2"/>
        <v>6.0932496167744015</v>
      </c>
      <c r="L18" s="138">
        <f t="shared" si="2"/>
        <v>1.2118011681760255</v>
      </c>
      <c r="M18" s="134">
        <f t="shared" si="1"/>
        <v>0.19887600941868513</v>
      </c>
      <c r="N18" s="138">
        <v>0.78484896984729402</v>
      </c>
      <c r="O18" s="138">
        <v>8.3431366820485603E-2</v>
      </c>
      <c r="P18" s="138">
        <v>3.73116415332653E-2</v>
      </c>
      <c r="Q18" s="138">
        <v>0.103593724501929</v>
      </c>
    </row>
    <row r="19" spans="1:17" s="138" customFormat="1" x14ac:dyDescent="0.35">
      <c r="A19" s="138">
        <v>24</v>
      </c>
      <c r="B19" s="2">
        <v>27.6</v>
      </c>
      <c r="C19" s="131">
        <v>467.79</v>
      </c>
      <c r="D19" s="132">
        <v>343.03</v>
      </c>
      <c r="E19" s="133">
        <v>16.94891304347826</v>
      </c>
      <c r="F19" s="133">
        <v>12.428623188405796</v>
      </c>
      <c r="G19" s="134">
        <v>0.73329912995147395</v>
      </c>
      <c r="H19" s="133" t="e">
        <v>#VALUE!</v>
      </c>
      <c r="I19" s="175">
        <v>8.4744565217391301</v>
      </c>
      <c r="J19">
        <v>4</v>
      </c>
      <c r="K19" s="175">
        <f t="shared" si="2"/>
        <v>1.009479458214066</v>
      </c>
      <c r="L19" s="138">
        <f t="shared" si="2"/>
        <v>8.1864445552688974</v>
      </c>
      <c r="M19" s="134">
        <f t="shared" si="1"/>
        <v>8.1095702232040008</v>
      </c>
      <c r="N19" s="138">
        <v>4.0974859591558204E-3</v>
      </c>
      <c r="O19" s="138">
        <v>0.91309532480203404</v>
      </c>
      <c r="P19" s="138">
        <v>0.45654766240101702</v>
      </c>
      <c r="Q19" s="138">
        <v>1.45293842139403</v>
      </c>
    </row>
    <row r="20" spans="1:17" s="138" customFormat="1" x14ac:dyDescent="0.35">
      <c r="A20" s="138">
        <v>28</v>
      </c>
      <c r="B20" s="2">
        <v>27</v>
      </c>
      <c r="C20" s="131">
        <v>1388.85</v>
      </c>
      <c r="D20" s="132">
        <v>145.01</v>
      </c>
      <c r="E20" s="133">
        <v>51.438888888888883</v>
      </c>
      <c r="F20" s="133">
        <v>5.3707407407407404</v>
      </c>
      <c r="G20" s="134">
        <v>0.10441012348345755</v>
      </c>
      <c r="H20" s="133">
        <v>5.42</v>
      </c>
      <c r="I20" s="175">
        <v>25.719444444444441</v>
      </c>
      <c r="J20">
        <v>5</v>
      </c>
      <c r="K20" s="175">
        <f t="shared" si="2"/>
        <v>0.22959450558391623</v>
      </c>
      <c r="L20" s="138">
        <f t="shared" si="2"/>
        <v>5.0048726574914744</v>
      </c>
      <c r="M20" s="134">
        <f t="shared" si="1"/>
        <v>21.798747512545354</v>
      </c>
      <c r="N20" s="138">
        <v>-0.63903850923198302</v>
      </c>
      <c r="O20" s="138">
        <v>0.69939303189479196</v>
      </c>
      <c r="P20" s="138">
        <v>0.31277807246128703</v>
      </c>
      <c r="Q20" s="138">
        <v>0.86841114829833999</v>
      </c>
    </row>
    <row r="21" spans="1:17" s="138" customFormat="1" x14ac:dyDescent="0.35">
      <c r="A21" s="138">
        <v>29</v>
      </c>
      <c r="B21" s="2">
        <v>18.600000000000001</v>
      </c>
      <c r="C21" s="131">
        <v>382.7</v>
      </c>
      <c r="D21" s="132">
        <v>51.17</v>
      </c>
      <c r="E21" s="133">
        <v>20.5752688172043</v>
      </c>
      <c r="F21" s="133">
        <v>2.7510752688172042</v>
      </c>
      <c r="G21" s="134">
        <v>0.13370786516853933</v>
      </c>
      <c r="H21" s="133">
        <v>18.5</v>
      </c>
      <c r="I21" s="175">
        <v>10.28763440860215</v>
      </c>
      <c r="J21">
        <v>5</v>
      </c>
      <c r="K21" s="175">
        <f t="shared" si="2"/>
        <v>5872.9985345768264</v>
      </c>
      <c r="L21" s="138">
        <f t="shared" si="2"/>
        <v>1.2725981214666453</v>
      </c>
      <c r="M21" s="134">
        <f t="shared" si="1"/>
        <v>2.1668626579324376E-4</v>
      </c>
      <c r="N21" s="138">
        <v>3.7688598924783601</v>
      </c>
      <c r="O21" s="138">
        <v>0.10469127782109799</v>
      </c>
      <c r="P21" s="138">
        <v>4.6819362771858102E-2</v>
      </c>
      <c r="Q21" s="138">
        <v>0.12999139059640499</v>
      </c>
    </row>
    <row r="22" spans="1:17" s="138" customFormat="1" x14ac:dyDescent="0.35">
      <c r="A22" s="138">
        <v>30</v>
      </c>
      <c r="B22" s="2">
        <v>25</v>
      </c>
      <c r="C22" s="131">
        <v>720.79</v>
      </c>
      <c r="D22" s="132">
        <v>201.87</v>
      </c>
      <c r="E22" s="133">
        <v>28.831599999999998</v>
      </c>
      <c r="F22" s="133">
        <v>8.0747999999999998</v>
      </c>
      <c r="G22" s="134">
        <v>0.28006770349200183</v>
      </c>
      <c r="H22" s="133">
        <v>7.87</v>
      </c>
      <c r="I22" s="175">
        <v>14.415799999999999</v>
      </c>
      <c r="J22">
        <v>5</v>
      </c>
      <c r="K22" s="175">
        <f t="shared" si="2"/>
        <v>2.0774941795160999</v>
      </c>
      <c r="L22" s="138">
        <f t="shared" si="2"/>
        <v>1.4490122623134554</v>
      </c>
      <c r="M22" s="134">
        <f t="shared" si="1"/>
        <v>0.69748078074084729</v>
      </c>
      <c r="N22" s="138">
        <v>0.31753981570159701</v>
      </c>
      <c r="O22" s="138">
        <v>0.16107206071792099</v>
      </c>
      <c r="P22" s="138">
        <v>7.2033615408248902E-2</v>
      </c>
      <c r="Q22" s="138">
        <v>0.19999737890993299</v>
      </c>
    </row>
    <row r="23" spans="1:17" s="138" customFormat="1" x14ac:dyDescent="0.35">
      <c r="A23" s="138">
        <v>31</v>
      </c>
      <c r="B23" s="2">
        <v>30</v>
      </c>
      <c r="C23" s="131">
        <v>13813765</v>
      </c>
      <c r="D23" s="132">
        <v>299322.62</v>
      </c>
      <c r="E23" s="133">
        <v>460458.83333333331</v>
      </c>
      <c r="F23" s="133">
        <v>9977.4206666666669</v>
      </c>
      <c r="G23" s="134">
        <v>2.1668431452250711E-2</v>
      </c>
      <c r="H23" s="133">
        <v>3.72</v>
      </c>
      <c r="I23" s="175">
        <v>230229.41666666666</v>
      </c>
      <c r="J23">
        <v>5</v>
      </c>
      <c r="K23" s="175">
        <f t="shared" si="2"/>
        <v>2.3822002218136165</v>
      </c>
      <c r="L23" s="138">
        <f t="shared" si="2"/>
        <v>1.8243691258742434</v>
      </c>
      <c r="M23" s="134">
        <f t="shared" si="1"/>
        <v>0.76583366468050906</v>
      </c>
      <c r="N23" s="138">
        <v>0.37697826074644503</v>
      </c>
      <c r="O23" s="138">
        <v>0.26111271398772001</v>
      </c>
      <c r="P23" s="138">
        <v>0.1167731556532</v>
      </c>
      <c r="Q23" s="138">
        <v>0.324214256431828</v>
      </c>
    </row>
    <row r="24" spans="1:17" s="138" customFormat="1" x14ac:dyDescent="0.35">
      <c r="A24" s="138">
        <v>34</v>
      </c>
      <c r="B24" s="2">
        <v>30</v>
      </c>
      <c r="C24" s="131">
        <v>8741229</v>
      </c>
      <c r="D24" s="132">
        <v>1019141.3</v>
      </c>
      <c r="E24" s="133">
        <v>291374.3</v>
      </c>
      <c r="F24" s="133">
        <v>33971.376666666671</v>
      </c>
      <c r="G24" s="134">
        <v>0.11659016140636519</v>
      </c>
      <c r="H24" s="133">
        <v>9.18</v>
      </c>
      <c r="I24" s="175">
        <v>145687.15</v>
      </c>
      <c r="J24">
        <v>5</v>
      </c>
      <c r="K24" s="175">
        <f>10^N24</f>
        <v>1002.2331476689466</v>
      </c>
      <c r="L24" s="138">
        <f>10^O24</f>
        <v>1.9199831065259267</v>
      </c>
      <c r="M24" s="134">
        <f t="shared" si="1"/>
        <v>1.9157050542496399E-3</v>
      </c>
      <c r="N24" s="138">
        <v>3.0009687624172798</v>
      </c>
      <c r="O24" s="138">
        <v>0.28329740746665</v>
      </c>
      <c r="P24" s="138">
        <v>0.12669445218897701</v>
      </c>
      <c r="Q24" s="138">
        <v>0.35176019163580202</v>
      </c>
    </row>
    <row r="25" spans="1:17" s="138" customFormat="1" x14ac:dyDescent="0.35">
      <c r="A25" s="138">
        <v>35</v>
      </c>
      <c r="B25" s="2">
        <v>30</v>
      </c>
      <c r="C25" s="131">
        <v>23493094</v>
      </c>
      <c r="D25" s="132">
        <v>2479077.75</v>
      </c>
      <c r="E25" s="133">
        <v>783103.1333333333</v>
      </c>
      <c r="F25" s="133">
        <v>82635.925000000003</v>
      </c>
      <c r="G25" s="134">
        <v>0.10552368070378471</v>
      </c>
      <c r="H25" s="133">
        <v>191</v>
      </c>
      <c r="I25" s="175">
        <v>391551.56666666665</v>
      </c>
      <c r="J25">
        <v>5</v>
      </c>
      <c r="K25" s="175">
        <f>10^N25</f>
        <v>7310.786636912314</v>
      </c>
      <c r="L25" s="138">
        <f>10^O25</f>
        <v>1.7216022687112902</v>
      </c>
      <c r="M25" s="134">
        <f t="shared" si="1"/>
        <v>2.3548796514165582E-4</v>
      </c>
      <c r="N25" s="138">
        <v>3.8639641093367798</v>
      </c>
      <c r="O25" s="138">
        <v>0.23593282629585899</v>
      </c>
      <c r="P25" s="138">
        <v>0.105512367544238</v>
      </c>
      <c r="Q25" s="138">
        <v>0.29294929640603101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AC952-1EA1-4F46-9687-55773045DFFB}">
  <dimension ref="A1:AC36"/>
  <sheetViews>
    <sheetView workbookViewId="0">
      <selection sqref="A1:XFD1048576"/>
    </sheetView>
  </sheetViews>
  <sheetFormatPr defaultRowHeight="14.5" x14ac:dyDescent="0.35"/>
  <cols>
    <col min="1" max="1" width="8.81640625" bestFit="1" customWidth="1"/>
    <col min="2" max="2" width="15.453125" bestFit="1" customWidth="1"/>
    <col min="3" max="3" width="17.81640625" bestFit="1" customWidth="1"/>
    <col min="4" max="4" width="10.81640625" bestFit="1" customWidth="1"/>
    <col min="5" max="5" width="12" bestFit="1" customWidth="1"/>
    <col min="6" max="6" width="9.54296875" hidden="1" customWidth="1"/>
    <col min="7" max="7" width="10.7265625" hidden="1" customWidth="1"/>
    <col min="8" max="8" width="16.1796875" bestFit="1" customWidth="1"/>
    <col min="9" max="9" width="12.54296875" bestFit="1" customWidth="1"/>
    <col min="10" max="10" width="12.453125" hidden="1" customWidth="1"/>
    <col min="11" max="11" width="9.54296875" hidden="1" customWidth="1"/>
    <col min="12" max="12" width="2.453125" style="1" bestFit="1" customWidth="1"/>
    <col min="13" max="13" width="12" customWidth="1"/>
    <col min="14" max="14" width="11.453125" bestFit="1" customWidth="1"/>
    <col min="15" max="15" width="12.1796875" hidden="1" customWidth="1"/>
    <col min="16" max="16" width="12" bestFit="1" customWidth="1"/>
    <col min="17" max="18" width="12.1796875" bestFit="1" customWidth="1"/>
  </cols>
  <sheetData>
    <row r="1" spans="1:29" s="184" customFormat="1" ht="29.5" thickBot="1" x14ac:dyDescent="0.4">
      <c r="A1" s="180" t="s">
        <v>7</v>
      </c>
      <c r="B1" s="181" t="s">
        <v>125</v>
      </c>
      <c r="C1" s="9" t="s">
        <v>24</v>
      </c>
      <c r="D1" s="9" t="s">
        <v>25</v>
      </c>
      <c r="E1" s="179" t="s">
        <v>71</v>
      </c>
      <c r="F1" s="179" t="s">
        <v>101</v>
      </c>
      <c r="G1" s="179" t="s">
        <v>105</v>
      </c>
      <c r="H1" s="182" t="s">
        <v>126</v>
      </c>
      <c r="I1" s="183" t="s">
        <v>127</v>
      </c>
      <c r="J1" s="183" t="s">
        <v>129</v>
      </c>
      <c r="K1" s="183" t="s">
        <v>122</v>
      </c>
      <c r="L1" s="183" t="s">
        <v>117</v>
      </c>
      <c r="M1" s="183" t="s">
        <v>128</v>
      </c>
      <c r="N1" s="183" t="s">
        <v>130</v>
      </c>
      <c r="O1" s="183" t="s">
        <v>131</v>
      </c>
      <c r="P1" s="183" t="s">
        <v>123</v>
      </c>
      <c r="Q1" s="183" t="s">
        <v>124</v>
      </c>
      <c r="R1" s="183" t="s">
        <v>119</v>
      </c>
      <c r="S1" s="184" t="s">
        <v>120</v>
      </c>
      <c r="U1" t="s">
        <v>133</v>
      </c>
      <c r="V1" t="s">
        <v>134</v>
      </c>
      <c r="W1" t="s">
        <v>116</v>
      </c>
      <c r="X1" t="s">
        <v>115</v>
      </c>
      <c r="Y1" t="s">
        <v>117</v>
      </c>
      <c r="Z1" t="s">
        <v>118</v>
      </c>
      <c r="AA1" t="s">
        <v>93</v>
      </c>
      <c r="AB1" t="s">
        <v>119</v>
      </c>
      <c r="AC1" t="s">
        <v>120</v>
      </c>
    </row>
    <row r="2" spans="1:29" s="138" customFormat="1" x14ac:dyDescent="0.35">
      <c r="A2" s="136">
        <v>1</v>
      </c>
      <c r="B2" s="2">
        <v>24</v>
      </c>
      <c r="C2" s="131">
        <v>2006.65</v>
      </c>
      <c r="D2" s="132">
        <v>1202.8800000000001</v>
      </c>
      <c r="E2" s="133">
        <v>83.610416666666666</v>
      </c>
      <c r="F2" s="133">
        <v>50.120000000000005</v>
      </c>
      <c r="G2" s="134">
        <v>0.59944683925946229</v>
      </c>
      <c r="H2" s="141">
        <v>200</v>
      </c>
      <c r="I2" s="175">
        <v>41.805208333333333</v>
      </c>
      <c r="J2" s="138">
        <v>25.06</v>
      </c>
      <c r="K2" s="134">
        <f>J2/I2</f>
        <v>0.59944683925946229</v>
      </c>
      <c r="L2" s="138">
        <v>5</v>
      </c>
      <c r="M2" s="175">
        <f>10^P2</f>
        <v>2039.7735074425541</v>
      </c>
      <c r="N2" s="138">
        <f>10^Q2</f>
        <v>2.4659551383479621</v>
      </c>
      <c r="O2" s="134">
        <f>N2/M2</f>
        <v>1.2089357614217422E-3</v>
      </c>
      <c r="P2" s="138">
        <v>3.3095819468725698</v>
      </c>
      <c r="Q2" s="138">
        <v>0.39198517147092499</v>
      </c>
      <c r="R2" s="138">
        <v>0.17530109791618001</v>
      </c>
      <c r="S2" s="138">
        <v>0.48671387524517701</v>
      </c>
      <c r="U2" t="s">
        <v>135</v>
      </c>
      <c r="V2">
        <v>1.62128016755041</v>
      </c>
      <c r="W2">
        <v>25.06</v>
      </c>
      <c r="X2">
        <v>41.81</v>
      </c>
      <c r="Y2">
        <v>5</v>
      </c>
      <c r="Z2">
        <v>3.61464168833231</v>
      </c>
      <c r="AA2">
        <v>0.11955867326108</v>
      </c>
      <c r="AB2">
        <v>5.3468264142292103E-2</v>
      </c>
      <c r="AC2">
        <v>0.14845170026128901</v>
      </c>
    </row>
    <row r="3" spans="1:29" s="156" customFormat="1" x14ac:dyDescent="0.35">
      <c r="A3" s="163">
        <v>2</v>
      </c>
      <c r="B3" s="188">
        <v>25.4</v>
      </c>
      <c r="C3" s="158">
        <v>116491.73</v>
      </c>
      <c r="D3" s="159">
        <v>36158.949999999997</v>
      </c>
      <c r="E3" s="157">
        <v>4586.2885826771653</v>
      </c>
      <c r="F3" s="157">
        <v>1423.5807086614172</v>
      </c>
      <c r="G3" s="160">
        <v>0.31039928757174434</v>
      </c>
      <c r="H3" s="161">
        <v>27.2</v>
      </c>
      <c r="I3" s="176">
        <v>2293.1442913385827</v>
      </c>
      <c r="K3" s="160"/>
      <c r="M3" s="176"/>
      <c r="O3" s="160"/>
    </row>
    <row r="4" spans="1:29" s="138" customFormat="1" x14ac:dyDescent="0.35">
      <c r="A4" s="139">
        <v>3</v>
      </c>
      <c r="B4" s="2">
        <v>28.2</v>
      </c>
      <c r="C4" s="131">
        <v>542.95000000000005</v>
      </c>
      <c r="D4" s="132">
        <v>110.25</v>
      </c>
      <c r="E4" s="133">
        <v>19.253546099290784</v>
      </c>
      <c r="F4" s="133">
        <v>3.9095744680851063</v>
      </c>
      <c r="G4" s="134">
        <v>0.20305737176535588</v>
      </c>
      <c r="H4" s="142">
        <v>2</v>
      </c>
      <c r="I4" s="175">
        <v>9.6267730496453918</v>
      </c>
      <c r="J4" s="138">
        <v>1.95</v>
      </c>
      <c r="K4" s="134">
        <f t="shared" ref="K4:K36" si="0">J4/I4</f>
        <v>0.20256008840593051</v>
      </c>
      <c r="L4" s="138">
        <v>4</v>
      </c>
      <c r="M4" s="175">
        <f t="shared" ref="M4:N10" si="1">10^P4</f>
        <v>62.421840043249077</v>
      </c>
      <c r="N4" s="138">
        <f t="shared" si="1"/>
        <v>1.2630108066633452</v>
      </c>
      <c r="O4" s="134">
        <f>N4/M4</f>
        <v>2.023347606844441E-2</v>
      </c>
      <c r="P4" s="138">
        <v>1.7953365664576599</v>
      </c>
      <c r="Q4" s="138">
        <v>0.101407066512718</v>
      </c>
      <c r="R4" s="138">
        <v>5.0703533256358901E-2</v>
      </c>
      <c r="S4" s="138">
        <v>0.16136127207652901</v>
      </c>
      <c r="U4" t="s">
        <v>151</v>
      </c>
      <c r="V4">
        <v>0.98362628712453504</v>
      </c>
      <c r="W4">
        <v>1.95</v>
      </c>
      <c r="X4">
        <v>9.6300000000000008</v>
      </c>
      <c r="Y4">
        <v>4</v>
      </c>
      <c r="Z4">
        <v>-0.54347641243066502</v>
      </c>
      <c r="AA4">
        <v>0.108191555337893</v>
      </c>
      <c r="AB4">
        <v>5.4095777668946597E-2</v>
      </c>
      <c r="AC4">
        <v>0.17215690777398801</v>
      </c>
    </row>
    <row r="5" spans="1:29" s="138" customFormat="1" x14ac:dyDescent="0.35">
      <c r="A5" s="152">
        <v>4</v>
      </c>
      <c r="B5" s="2">
        <v>28.1</v>
      </c>
      <c r="C5" s="147" t="s">
        <v>33</v>
      </c>
      <c r="D5" s="148" t="s">
        <v>33</v>
      </c>
      <c r="E5" s="146" t="e">
        <v>#VALUE!</v>
      </c>
      <c r="F5" s="146" t="e">
        <v>#VALUE!</v>
      </c>
      <c r="G5" s="149" t="e">
        <v>#VALUE!</v>
      </c>
      <c r="H5" s="150">
        <v>21.8</v>
      </c>
      <c r="I5" s="178" t="e">
        <v>#VALUE!</v>
      </c>
      <c r="J5" s="145" t="s">
        <v>96</v>
      </c>
      <c r="K5" s="149" t="e">
        <f t="shared" si="0"/>
        <v>#VALUE!</v>
      </c>
      <c r="L5" s="153">
        <v>5</v>
      </c>
      <c r="M5" s="174">
        <f t="shared" si="1"/>
        <v>48052097.660856597</v>
      </c>
      <c r="N5" s="153">
        <f t="shared" si="1"/>
        <v>3.5219700643675207</v>
      </c>
      <c r="O5" s="154">
        <f t="shared" ref="O5:O36" si="2">N5/M5</f>
        <v>7.3294824488724239E-8</v>
      </c>
      <c r="P5" s="153">
        <v>7.6817123510607601</v>
      </c>
      <c r="Q5" s="153">
        <v>0.54678566028110198</v>
      </c>
      <c r="R5" s="153">
        <v>0.24452998110213001</v>
      </c>
      <c r="S5" s="153">
        <v>0.67892406910511804</v>
      </c>
      <c r="U5" t="s">
        <v>156</v>
      </c>
      <c r="V5" t="s">
        <v>96</v>
      </c>
      <c r="W5" t="s">
        <v>96</v>
      </c>
      <c r="X5" t="s">
        <v>96</v>
      </c>
      <c r="Y5">
        <v>5</v>
      </c>
      <c r="Z5">
        <v>5.5501589635507704</v>
      </c>
      <c r="AA5">
        <v>0.31038099530991903</v>
      </c>
      <c r="AB5">
        <v>0.13880660088740401</v>
      </c>
      <c r="AC5">
        <v>0.385388907602978</v>
      </c>
    </row>
    <row r="6" spans="1:29" s="138" customFormat="1" x14ac:dyDescent="0.35">
      <c r="A6" s="139">
        <v>5</v>
      </c>
      <c r="B6" s="2">
        <v>23.4</v>
      </c>
      <c r="C6" s="131">
        <v>91.44</v>
      </c>
      <c r="D6" s="132">
        <v>33.340000000000003</v>
      </c>
      <c r="E6" s="133">
        <v>3.907692307692308</v>
      </c>
      <c r="F6" s="133">
        <v>1.4247863247863251</v>
      </c>
      <c r="G6" s="134">
        <v>0.36461067366579181</v>
      </c>
      <c r="H6" s="142">
        <v>11</v>
      </c>
      <c r="I6" s="175">
        <v>1.953846153846154</v>
      </c>
      <c r="J6" s="138">
        <v>0.71</v>
      </c>
      <c r="K6" s="134">
        <f t="shared" si="0"/>
        <v>0.36338582677165349</v>
      </c>
      <c r="L6" s="138">
        <v>5</v>
      </c>
      <c r="M6" s="175">
        <f t="shared" si="1"/>
        <v>14871.106451419813</v>
      </c>
      <c r="N6" s="138">
        <f t="shared" si="1"/>
        <v>1.4663010073006808</v>
      </c>
      <c r="O6" s="134">
        <f t="shared" si="2"/>
        <v>9.8600666472983679E-5</v>
      </c>
      <c r="P6" s="138">
        <v>4.17234328243382</v>
      </c>
      <c r="Q6" s="138">
        <v>0.166223132918246</v>
      </c>
      <c r="R6" s="138">
        <v>7.4337244927636201E-2</v>
      </c>
      <c r="S6" s="138">
        <v>0.206393279813225</v>
      </c>
      <c r="U6" t="s">
        <v>157</v>
      </c>
      <c r="V6">
        <v>0.29003461136251801</v>
      </c>
      <c r="W6">
        <v>0.71</v>
      </c>
      <c r="X6">
        <v>1.95</v>
      </c>
      <c r="Y6">
        <v>5</v>
      </c>
      <c r="Z6">
        <v>4.5110728613316198</v>
      </c>
      <c r="AA6">
        <v>6.3436269055153399E-2</v>
      </c>
      <c r="AB6">
        <v>2.8369561969257901E-2</v>
      </c>
      <c r="AC6">
        <v>7.8766531466151493E-2</v>
      </c>
    </row>
    <row r="7" spans="1:29" s="138" customFormat="1" x14ac:dyDescent="0.35">
      <c r="A7" s="139">
        <v>6</v>
      </c>
      <c r="B7" s="2">
        <v>25.7</v>
      </c>
      <c r="C7" s="131">
        <v>157.74</v>
      </c>
      <c r="D7" s="132">
        <v>54.88</v>
      </c>
      <c r="E7" s="133">
        <v>6.137743190661479</v>
      </c>
      <c r="F7" s="133">
        <v>2.135408560311284</v>
      </c>
      <c r="G7" s="134">
        <v>0.34791428933688345</v>
      </c>
      <c r="H7" s="142">
        <v>6.38</v>
      </c>
      <c r="I7" s="175">
        <v>3.0688715953307395</v>
      </c>
      <c r="J7" s="138">
        <v>1.07</v>
      </c>
      <c r="K7" s="134">
        <f t="shared" si="0"/>
        <v>0.3486623557753265</v>
      </c>
      <c r="L7" s="138">
        <v>5</v>
      </c>
      <c r="M7" s="175">
        <f t="shared" si="1"/>
        <v>203.95820687609145</v>
      </c>
      <c r="N7" s="138">
        <f t="shared" si="1"/>
        <v>2.8019156413578257</v>
      </c>
      <c r="O7" s="134">
        <f t="shared" si="2"/>
        <v>1.3737695012488728E-2</v>
      </c>
      <c r="P7" s="138">
        <v>2.3095411851583401</v>
      </c>
      <c r="Q7" s="138">
        <v>0.44745505563058802</v>
      </c>
      <c r="R7" s="138">
        <v>0.20010798425318899</v>
      </c>
      <c r="S7" s="138">
        <v>0.55558883339076404</v>
      </c>
      <c r="U7" t="s">
        <v>158</v>
      </c>
      <c r="V7">
        <v>0.48713837547718603</v>
      </c>
      <c r="W7">
        <v>1.07</v>
      </c>
      <c r="X7">
        <v>3.07</v>
      </c>
      <c r="Y7">
        <v>5</v>
      </c>
      <c r="Z7">
        <v>1.4375413547126401</v>
      </c>
      <c r="AA7">
        <v>0.91874681928738999</v>
      </c>
      <c r="AB7">
        <v>0.410876068407664</v>
      </c>
      <c r="AC7">
        <v>1.14077484897337</v>
      </c>
    </row>
    <row r="8" spans="1:29" s="138" customFormat="1" x14ac:dyDescent="0.35">
      <c r="A8" s="139">
        <v>7</v>
      </c>
      <c r="B8" s="2">
        <v>25.5</v>
      </c>
      <c r="C8" s="131">
        <v>79.25</v>
      </c>
      <c r="D8" s="132">
        <v>76.44</v>
      </c>
      <c r="E8" s="133">
        <v>3.107843137254902</v>
      </c>
      <c r="F8" s="133">
        <v>2.9976470588235293</v>
      </c>
      <c r="G8" s="134">
        <v>0.96454258675078863</v>
      </c>
      <c r="H8" s="142">
        <v>14.4</v>
      </c>
      <c r="I8" s="175">
        <v>1.553921568627451</v>
      </c>
      <c r="J8" s="138">
        <v>1.5</v>
      </c>
      <c r="K8" s="134">
        <f t="shared" si="0"/>
        <v>0.96529968454258674</v>
      </c>
      <c r="L8" s="138">
        <v>3</v>
      </c>
      <c r="M8" s="175">
        <f t="shared" si="1"/>
        <v>4.5966052219662474</v>
      </c>
      <c r="N8" s="138">
        <f t="shared" si="1"/>
        <v>7.1569296058878615</v>
      </c>
      <c r="O8" s="134">
        <f t="shared" si="2"/>
        <v>1.5570033231669191</v>
      </c>
      <c r="P8" s="138">
        <v>0.66243720610317303</v>
      </c>
      <c r="Q8" s="138">
        <v>0.85472674560226003</v>
      </c>
      <c r="R8" s="138">
        <v>0.49347671665703802</v>
      </c>
      <c r="S8" s="138">
        <v>2.1232589419922099</v>
      </c>
      <c r="U8" t="s">
        <v>159</v>
      </c>
      <c r="V8">
        <v>0.190331698170291</v>
      </c>
      <c r="W8">
        <v>1.5</v>
      </c>
      <c r="X8">
        <v>1.55</v>
      </c>
      <c r="Y8">
        <v>3</v>
      </c>
      <c r="Z8">
        <v>1.44595353838188</v>
      </c>
      <c r="AA8">
        <v>0.23073522381726599</v>
      </c>
      <c r="AB8">
        <v>0.133215043582427</v>
      </c>
      <c r="AC8">
        <v>0.57317807091362305</v>
      </c>
    </row>
    <row r="9" spans="1:29" s="165" customFormat="1" ht="15" thickBot="1" x14ac:dyDescent="0.4">
      <c r="A9" s="172">
        <v>8</v>
      </c>
      <c r="B9" s="2">
        <v>30.3</v>
      </c>
      <c r="C9" s="167">
        <v>2790.39</v>
      </c>
      <c r="D9" s="168">
        <v>712.45</v>
      </c>
      <c r="E9" s="166">
        <v>92.09207920792079</v>
      </c>
      <c r="F9" s="166">
        <v>23.513201320132016</v>
      </c>
      <c r="G9" s="169">
        <v>0.25532273266460964</v>
      </c>
      <c r="H9" s="173">
        <v>14.2</v>
      </c>
      <c r="I9" s="177">
        <v>46.046039603960395</v>
      </c>
      <c r="J9" s="165">
        <v>11.75660066</v>
      </c>
      <c r="K9" s="169">
        <f t="shared" si="0"/>
        <v>0.25532273266317612</v>
      </c>
      <c r="L9" s="165">
        <v>2</v>
      </c>
      <c r="M9" s="177">
        <f t="shared" si="1"/>
        <v>10.037242189465228</v>
      </c>
      <c r="N9" s="165">
        <f t="shared" si="1"/>
        <v>1.0366316868201679</v>
      </c>
      <c r="O9" s="169">
        <f t="shared" si="2"/>
        <v>0.10327853679850266</v>
      </c>
      <c r="P9" s="165">
        <v>1.00161440340449</v>
      </c>
      <c r="Q9" s="165">
        <v>1.5624479827477901E-2</v>
      </c>
      <c r="R9" s="165">
        <v>1.1048175638522E-2</v>
      </c>
      <c r="S9" s="165">
        <v>0.14038038162427799</v>
      </c>
    </row>
    <row r="10" spans="1:29" s="138" customFormat="1" x14ac:dyDescent="0.35">
      <c r="A10" s="138">
        <v>9</v>
      </c>
      <c r="B10" s="2">
        <v>29.1</v>
      </c>
      <c r="C10" s="131">
        <v>443.5</v>
      </c>
      <c r="D10" s="132">
        <v>143.91</v>
      </c>
      <c r="E10" s="133">
        <v>15.240549828178693</v>
      </c>
      <c r="F10" s="133">
        <v>4.9453608247422673</v>
      </c>
      <c r="G10" s="134">
        <v>0.32448703494926717</v>
      </c>
      <c r="H10" s="133">
        <v>4.8899999999999997</v>
      </c>
      <c r="I10" s="175">
        <v>7.6202749140893475</v>
      </c>
      <c r="J10" s="138">
        <v>2.4700000000000002</v>
      </c>
      <c r="K10" s="134">
        <f t="shared" si="0"/>
        <v>0.32413528748590759</v>
      </c>
      <c r="L10" s="138">
        <v>5</v>
      </c>
      <c r="M10" s="175">
        <f t="shared" si="1"/>
        <v>34.073820175214557</v>
      </c>
      <c r="N10" s="138">
        <f t="shared" si="1"/>
        <v>1.7280964111079999</v>
      </c>
      <c r="O10" s="134">
        <f t="shared" si="2"/>
        <v>5.0716250840726826E-2</v>
      </c>
      <c r="P10" s="138">
        <v>1.5324208270814801</v>
      </c>
      <c r="Q10" s="138">
        <v>0.23756796826103599</v>
      </c>
      <c r="R10" s="138">
        <v>0.106243625261638</v>
      </c>
      <c r="S10" s="138">
        <v>0.29497959331614299</v>
      </c>
      <c r="U10" t="s">
        <v>160</v>
      </c>
      <c r="V10">
        <v>0.88195497133960099</v>
      </c>
      <c r="W10">
        <v>2.4700000000000002</v>
      </c>
      <c r="X10">
        <v>7.62</v>
      </c>
      <c r="Y10">
        <v>5</v>
      </c>
      <c r="Z10">
        <v>-0.569044856524061</v>
      </c>
      <c r="AA10">
        <v>0.49829063426801101</v>
      </c>
      <c r="AB10">
        <v>0.22284234615495199</v>
      </c>
      <c r="AC10">
        <v>0.61870954121270805</v>
      </c>
    </row>
    <row r="11" spans="1:29" s="138" customFormat="1" x14ac:dyDescent="0.35">
      <c r="A11" s="156">
        <v>10</v>
      </c>
      <c r="B11" s="2">
        <v>29</v>
      </c>
      <c r="C11" s="158">
        <v>507.41</v>
      </c>
      <c r="D11" s="159">
        <v>139.54</v>
      </c>
      <c r="E11" s="157">
        <v>17.496896551724138</v>
      </c>
      <c r="F11" s="157">
        <v>4.8117241379310345</v>
      </c>
      <c r="G11" s="160">
        <v>0.27500443428391241</v>
      </c>
      <c r="H11" s="157">
        <v>32.1</v>
      </c>
      <c r="I11" s="176">
        <v>8.748448275862069</v>
      </c>
      <c r="J11" s="156"/>
      <c r="K11" s="160"/>
      <c r="L11" s="156"/>
      <c r="M11" s="176"/>
      <c r="N11" s="156"/>
      <c r="O11" s="160"/>
      <c r="P11" s="156"/>
      <c r="Q11" s="156"/>
      <c r="R11" s="156"/>
      <c r="S11" s="156"/>
    </row>
    <row r="12" spans="1:29" s="138" customFormat="1" x14ac:dyDescent="0.35">
      <c r="A12" s="145">
        <v>11</v>
      </c>
      <c r="B12" s="2">
        <v>25.5</v>
      </c>
      <c r="C12" s="147" t="s">
        <v>33</v>
      </c>
      <c r="D12" s="148" t="s">
        <v>33</v>
      </c>
      <c r="E12" s="146" t="e">
        <v>#VALUE!</v>
      </c>
      <c r="F12" s="146" t="e">
        <v>#VALUE!</v>
      </c>
      <c r="G12" s="149" t="e">
        <v>#VALUE!</v>
      </c>
      <c r="H12" s="146">
        <v>2</v>
      </c>
      <c r="I12" s="178" t="e">
        <v>#VALUE!</v>
      </c>
      <c r="J12" s="145"/>
      <c r="K12" s="149"/>
      <c r="L12" s="145"/>
      <c r="M12" s="178"/>
      <c r="N12" s="145"/>
      <c r="O12" s="149"/>
      <c r="P12" s="145"/>
      <c r="Q12" s="145"/>
      <c r="R12" s="145"/>
      <c r="S12" s="145"/>
    </row>
    <row r="13" spans="1:29" s="138" customFormat="1" x14ac:dyDescent="0.35">
      <c r="A13" s="156">
        <v>12</v>
      </c>
      <c r="B13" s="2">
        <v>28.4</v>
      </c>
      <c r="C13" s="158">
        <v>394.74</v>
      </c>
      <c r="D13" s="159">
        <v>66.260000000000005</v>
      </c>
      <c r="E13" s="157">
        <v>13.899295774647888</v>
      </c>
      <c r="F13" s="157">
        <v>2.3330985915492959</v>
      </c>
      <c r="G13" s="160">
        <v>0.16785732380807622</v>
      </c>
      <c r="H13" s="157">
        <v>4.92</v>
      </c>
      <c r="I13" s="176">
        <v>6.9496478873239438</v>
      </c>
      <c r="J13" s="156"/>
      <c r="K13" s="160"/>
      <c r="L13" s="156"/>
      <c r="M13" s="176"/>
      <c r="N13" s="156"/>
      <c r="O13" s="160"/>
      <c r="P13" s="156"/>
      <c r="Q13" s="156"/>
      <c r="R13" s="156"/>
      <c r="S13" s="156"/>
    </row>
    <row r="14" spans="1:29" s="138" customFormat="1" x14ac:dyDescent="0.35">
      <c r="A14" s="138">
        <v>13</v>
      </c>
      <c r="B14" s="2">
        <v>25.4</v>
      </c>
      <c r="C14" s="131">
        <v>94466.6</v>
      </c>
      <c r="D14" s="132">
        <v>59792.68</v>
      </c>
      <c r="E14" s="133">
        <v>3719.157480314961</v>
      </c>
      <c r="F14" s="133">
        <v>2354.0425196850397</v>
      </c>
      <c r="G14" s="134">
        <v>0.6329504819692886</v>
      </c>
      <c r="H14" s="133">
        <v>4.91</v>
      </c>
      <c r="I14" s="175">
        <v>1859.5787401574805</v>
      </c>
      <c r="J14" s="138">
        <v>1177.02</v>
      </c>
      <c r="K14" s="134">
        <f t="shared" si="0"/>
        <v>0.63294980448116045</v>
      </c>
      <c r="L14" s="138">
        <v>5</v>
      </c>
      <c r="M14" s="175">
        <f t="shared" ref="M14:M32" si="3">10^P14</f>
        <v>1849.9687430484266</v>
      </c>
      <c r="N14" s="138">
        <f t="shared" ref="N14:N32" si="4">10^Q14</f>
        <v>2.7423627055111042</v>
      </c>
      <c r="O14" s="134">
        <f t="shared" si="2"/>
        <v>1.4823832650232606E-3</v>
      </c>
      <c r="P14" s="138">
        <v>3.2671643906536798</v>
      </c>
      <c r="Q14" s="138">
        <v>0.43812489413864603</v>
      </c>
      <c r="R14" s="138">
        <v>0.195935409185783</v>
      </c>
      <c r="S14" s="138">
        <v>0.54400390776879304</v>
      </c>
      <c r="U14" t="s">
        <v>136</v>
      </c>
      <c r="V14">
        <v>3.2694148666483098</v>
      </c>
      <c r="W14">
        <v>1177.02</v>
      </c>
      <c r="X14">
        <v>1859.58</v>
      </c>
      <c r="Y14">
        <v>5</v>
      </c>
      <c r="Z14">
        <v>3.3987017741354202</v>
      </c>
      <c r="AA14">
        <v>0.35380847375339802</v>
      </c>
      <c r="AB14">
        <v>0.15822795966561001</v>
      </c>
      <c r="AC14">
        <v>0.43931124411901601</v>
      </c>
    </row>
    <row r="15" spans="1:29" s="138" customFormat="1" x14ac:dyDescent="0.35">
      <c r="A15" s="138">
        <v>14</v>
      </c>
      <c r="B15" s="2">
        <v>21.3</v>
      </c>
      <c r="C15" s="131">
        <v>150.44999999999999</v>
      </c>
      <c r="D15" s="132">
        <v>9.8800000000000008</v>
      </c>
      <c r="E15" s="133">
        <v>7.0633802816901401</v>
      </c>
      <c r="F15" s="133">
        <v>0.46384976525821597</v>
      </c>
      <c r="G15" s="134">
        <v>6.5669657693585917E-2</v>
      </c>
      <c r="H15" s="133">
        <v>4.42</v>
      </c>
      <c r="I15" s="175">
        <v>3.5316901408450705</v>
      </c>
      <c r="J15" s="138">
        <v>0.23</v>
      </c>
      <c r="K15" s="134">
        <f t="shared" si="0"/>
        <v>6.5124626121635096E-2</v>
      </c>
      <c r="L15" s="138">
        <v>5</v>
      </c>
      <c r="M15" s="175">
        <f t="shared" si="3"/>
        <v>12.590909251247872</v>
      </c>
      <c r="N15" s="138">
        <f t="shared" si="4"/>
        <v>1.3531183482801341</v>
      </c>
      <c r="O15" s="134">
        <f t="shared" si="2"/>
        <v>0.1074678818883575</v>
      </c>
      <c r="P15" s="138">
        <v>1.1000570937727601</v>
      </c>
      <c r="Q15" s="138">
        <v>0.13133578311441399</v>
      </c>
      <c r="R15" s="138">
        <v>5.8735147784399901E-2</v>
      </c>
      <c r="S15" s="138">
        <v>0.163074913569066</v>
      </c>
      <c r="U15" t="s">
        <v>137</v>
      </c>
      <c r="V15">
        <v>0.54777470538782302</v>
      </c>
      <c r="W15">
        <v>0.23</v>
      </c>
      <c r="X15">
        <v>3.53</v>
      </c>
      <c r="Y15">
        <v>5</v>
      </c>
      <c r="Z15">
        <v>-1.23488696078994</v>
      </c>
      <c r="AA15">
        <v>0.56156647593615205</v>
      </c>
      <c r="AB15">
        <v>0.25114016281564699</v>
      </c>
      <c r="AC15">
        <v>0.69727687576807995</v>
      </c>
    </row>
    <row r="16" spans="1:29" s="138" customFormat="1" x14ac:dyDescent="0.35">
      <c r="A16" s="138">
        <v>15</v>
      </c>
      <c r="B16" s="2">
        <v>25</v>
      </c>
      <c r="C16" s="131">
        <v>922.2</v>
      </c>
      <c r="D16" s="132">
        <v>13.01</v>
      </c>
      <c r="E16" s="133">
        <v>36.888000000000005</v>
      </c>
      <c r="F16" s="133">
        <v>0.52039999999999997</v>
      </c>
      <c r="G16" s="134">
        <v>1.4107568857080892E-2</v>
      </c>
      <c r="H16" s="133">
        <v>13.3</v>
      </c>
      <c r="I16" s="175">
        <v>18.444000000000003</v>
      </c>
      <c r="J16" s="138">
        <v>0.26019999999999999</v>
      </c>
      <c r="K16" s="134">
        <f t="shared" si="0"/>
        <v>1.4107568857080892E-2</v>
      </c>
      <c r="L16" s="138">
        <v>5</v>
      </c>
      <c r="M16" s="175">
        <f t="shared" si="3"/>
        <v>23.910719279760887</v>
      </c>
      <c r="N16" s="138">
        <f t="shared" si="4"/>
        <v>2.066364885844056</v>
      </c>
      <c r="O16" s="134">
        <f t="shared" si="2"/>
        <v>8.6420021985416415E-2</v>
      </c>
      <c r="P16" s="138">
        <v>1.37859264071354</v>
      </c>
      <c r="Q16" s="138">
        <v>0.31520701317409999</v>
      </c>
      <c r="R16" s="138">
        <v>0.14096486168839201</v>
      </c>
      <c r="S16" s="138">
        <v>0.39138120023961898</v>
      </c>
      <c r="U16" t="s">
        <v>138</v>
      </c>
      <c r="V16">
        <v>1.26576091671761</v>
      </c>
      <c r="W16">
        <v>0.26019999999999999</v>
      </c>
      <c r="X16">
        <v>18.440000000000001</v>
      </c>
      <c r="Y16">
        <v>5</v>
      </c>
      <c r="Z16">
        <v>1.8020532379015</v>
      </c>
      <c r="AA16">
        <v>0.67136946000264297</v>
      </c>
      <c r="AB16">
        <v>0.300245550116647</v>
      </c>
      <c r="AC16">
        <v>0.83361528797878404</v>
      </c>
    </row>
    <row r="17" spans="1:29" s="138" customFormat="1" x14ac:dyDescent="0.35">
      <c r="A17" s="138">
        <v>16</v>
      </c>
      <c r="B17" s="2">
        <v>28.8</v>
      </c>
      <c r="C17" s="131">
        <v>3409092</v>
      </c>
      <c r="D17" s="132">
        <v>209830.05</v>
      </c>
      <c r="E17" s="133">
        <v>118371.25</v>
      </c>
      <c r="F17" s="133">
        <v>7285.7656249999991</v>
      </c>
      <c r="G17" s="134">
        <v>6.1550128303958937E-2</v>
      </c>
      <c r="H17" s="133">
        <v>240</v>
      </c>
      <c r="I17" s="175">
        <v>59185.625</v>
      </c>
      <c r="J17" s="138">
        <v>3642.8828130000002</v>
      </c>
      <c r="K17" s="134">
        <f t="shared" si="0"/>
        <v>6.1550128312406943E-2</v>
      </c>
      <c r="L17" s="138">
        <v>5</v>
      </c>
      <c r="M17" s="175">
        <f t="shared" si="3"/>
        <v>76.556726570879647</v>
      </c>
      <c r="N17" s="138">
        <f t="shared" si="4"/>
        <v>1.4082111560773272</v>
      </c>
      <c r="O17" s="134">
        <f t="shared" si="2"/>
        <v>1.8394349120629424E-2</v>
      </c>
      <c r="P17" s="138">
        <v>1.88398335550812</v>
      </c>
      <c r="Q17" s="138">
        <v>0.14866778054723501</v>
      </c>
      <c r="R17" s="138">
        <v>6.6486252673527896E-2</v>
      </c>
      <c r="S17" s="138">
        <v>0.18459543079835999</v>
      </c>
      <c r="U17" t="s">
        <v>139</v>
      </c>
      <c r="V17">
        <v>4.7722162748096801</v>
      </c>
      <c r="W17">
        <v>3642.8828130000002</v>
      </c>
      <c r="X17">
        <v>59185.63</v>
      </c>
      <c r="Y17">
        <v>5</v>
      </c>
      <c r="Z17">
        <v>3.6592285840888201</v>
      </c>
      <c r="AA17">
        <v>0.19480714760752699</v>
      </c>
      <c r="AB17">
        <v>8.7120404910653204E-2</v>
      </c>
      <c r="AC17">
        <v>0.241885021777033</v>
      </c>
    </row>
    <row r="18" spans="1:29" s="138" customFormat="1" x14ac:dyDescent="0.35">
      <c r="A18" s="138">
        <v>17</v>
      </c>
      <c r="B18" s="2">
        <v>16.2</v>
      </c>
      <c r="C18" s="131">
        <v>3592.68</v>
      </c>
      <c r="D18" s="132">
        <v>1440.96</v>
      </c>
      <c r="E18" s="133">
        <v>221.77037037037036</v>
      </c>
      <c r="F18" s="133">
        <v>88.94814814814815</v>
      </c>
      <c r="G18" s="134">
        <v>0.40108220047429777</v>
      </c>
      <c r="H18" s="133">
        <v>5.62</v>
      </c>
      <c r="I18" s="175">
        <v>110.88518518518518</v>
      </c>
      <c r="J18" s="138">
        <v>44.47</v>
      </c>
      <c r="K18" s="134">
        <f t="shared" si="0"/>
        <v>0.40104545910017037</v>
      </c>
      <c r="L18" s="138">
        <v>5</v>
      </c>
      <c r="M18" s="175">
        <f t="shared" si="3"/>
        <v>51.539935002012456</v>
      </c>
      <c r="N18" s="138">
        <f t="shared" si="4"/>
        <v>1.2680758441009943</v>
      </c>
      <c r="O18" s="134">
        <f t="shared" si="2"/>
        <v>2.4603753265336488E-2</v>
      </c>
      <c r="P18" s="138">
        <v>1.71214386651824</v>
      </c>
      <c r="Q18" s="138">
        <v>0.103145229641526</v>
      </c>
      <c r="R18" s="138">
        <v>4.6127949006655698E-2</v>
      </c>
      <c r="S18" s="138">
        <v>0.12807171823234301</v>
      </c>
      <c r="U18" t="s">
        <v>140</v>
      </c>
      <c r="V18">
        <v>2.0448923834743602</v>
      </c>
      <c r="W18">
        <v>44.47</v>
      </c>
      <c r="X18">
        <v>110.89</v>
      </c>
      <c r="Y18">
        <v>5</v>
      </c>
      <c r="Z18">
        <v>0.15468334515312199</v>
      </c>
      <c r="AA18">
        <v>0.16972100297929099</v>
      </c>
      <c r="AB18">
        <v>7.5901539974227897E-2</v>
      </c>
      <c r="AC18">
        <v>0.21073645913842001</v>
      </c>
    </row>
    <row r="19" spans="1:29" s="138" customFormat="1" x14ac:dyDescent="0.35">
      <c r="A19" s="138">
        <v>18</v>
      </c>
      <c r="B19" s="2">
        <v>23.1</v>
      </c>
      <c r="C19" s="131">
        <v>10732.58</v>
      </c>
      <c r="D19" s="132">
        <v>1665.99</v>
      </c>
      <c r="E19" s="133">
        <v>464.61385281385276</v>
      </c>
      <c r="F19" s="133">
        <v>72.120779220779212</v>
      </c>
      <c r="G19" s="134">
        <v>0.15522735446649361</v>
      </c>
      <c r="H19" s="133">
        <v>13.5</v>
      </c>
      <c r="I19" s="175">
        <v>232.30692640692638</v>
      </c>
      <c r="J19" s="138">
        <v>36.060389610000001</v>
      </c>
      <c r="K19" s="134">
        <f t="shared" si="0"/>
        <v>0.1552273544648165</v>
      </c>
      <c r="L19" s="138">
        <v>5</v>
      </c>
      <c r="M19" s="175">
        <f t="shared" si="3"/>
        <v>13.633996230453084</v>
      </c>
      <c r="N19" s="138">
        <f t="shared" si="4"/>
        <v>1.389446396390257</v>
      </c>
      <c r="O19" s="134">
        <f t="shared" si="2"/>
        <v>0.10191042838098856</v>
      </c>
      <c r="P19" s="138">
        <v>1.13462316958809</v>
      </c>
      <c r="Q19" s="138">
        <v>0.14284179674061501</v>
      </c>
      <c r="R19" s="138">
        <v>6.3880793508044501E-2</v>
      </c>
      <c r="S19" s="138">
        <v>0.17736151645156101</v>
      </c>
      <c r="U19" t="s">
        <v>141</v>
      </c>
      <c r="V19">
        <v>2.3660679048124802</v>
      </c>
      <c r="W19">
        <v>36.060389610000001</v>
      </c>
      <c r="X19">
        <v>232.31</v>
      </c>
      <c r="Y19">
        <v>5</v>
      </c>
      <c r="Z19">
        <v>1.6357703443154601</v>
      </c>
      <c r="AA19">
        <v>0.36577140019190002</v>
      </c>
      <c r="AB19">
        <v>0.163577943010873</v>
      </c>
      <c r="AC19">
        <v>0.45416517919086302</v>
      </c>
    </row>
    <row r="20" spans="1:29" s="138" customFormat="1" x14ac:dyDescent="0.35">
      <c r="A20" s="138">
        <v>19</v>
      </c>
      <c r="B20" s="2">
        <v>21</v>
      </c>
      <c r="C20" s="131">
        <v>423.41</v>
      </c>
      <c r="D20" s="132">
        <v>287.05</v>
      </c>
      <c r="E20" s="133">
        <v>20.162380952380953</v>
      </c>
      <c r="F20" s="133">
        <v>13.669047619047619</v>
      </c>
      <c r="G20" s="134">
        <v>0.67794808814151764</v>
      </c>
      <c r="H20" s="133">
        <v>6.68</v>
      </c>
      <c r="I20" s="175">
        <v>10.081190476190477</v>
      </c>
      <c r="J20" s="138">
        <v>6.83</v>
      </c>
      <c r="K20" s="134">
        <f t="shared" si="0"/>
        <v>0.6774993505113247</v>
      </c>
      <c r="L20" s="138">
        <v>5</v>
      </c>
      <c r="M20" s="175">
        <f t="shared" si="3"/>
        <v>78.035938174830136</v>
      </c>
      <c r="N20" s="138">
        <f t="shared" si="4"/>
        <v>1.3605064814806909</v>
      </c>
      <c r="O20" s="134">
        <f t="shared" si="2"/>
        <v>1.7434357980455617E-2</v>
      </c>
      <c r="P20" s="138">
        <v>1.89229465597919</v>
      </c>
      <c r="Q20" s="138">
        <v>0.13370061510849501</v>
      </c>
      <c r="R20" s="138">
        <v>5.9792732803226001E-2</v>
      </c>
      <c r="S20" s="138">
        <v>0.166011240317917</v>
      </c>
      <c r="U20" t="s">
        <v>142</v>
      </c>
      <c r="V20">
        <v>1.00346053210951</v>
      </c>
      <c r="W20">
        <v>6.83</v>
      </c>
      <c r="X20">
        <v>10.08</v>
      </c>
      <c r="Y20">
        <v>5</v>
      </c>
      <c r="Z20">
        <v>1.17603006630008</v>
      </c>
      <c r="AA20">
        <v>0.29765162419836499</v>
      </c>
      <c r="AB20">
        <v>0.13311385306415299</v>
      </c>
      <c r="AC20">
        <v>0.36958330577398602</v>
      </c>
    </row>
    <row r="21" spans="1:29" s="138" customFormat="1" x14ac:dyDescent="0.35">
      <c r="A21" s="138">
        <v>20</v>
      </c>
      <c r="B21" s="2">
        <v>27.8</v>
      </c>
      <c r="C21" s="131">
        <v>1143.3900000000001</v>
      </c>
      <c r="D21" s="132">
        <v>526.97</v>
      </c>
      <c r="E21" s="133">
        <v>41.129136690647485</v>
      </c>
      <c r="F21" s="133">
        <v>18.955755395683454</v>
      </c>
      <c r="G21" s="134">
        <v>0.46088386289892336</v>
      </c>
      <c r="H21" s="133">
        <v>25.3</v>
      </c>
      <c r="I21" s="175">
        <v>20.564568345323742</v>
      </c>
      <c r="J21" s="138">
        <v>9.4778776980000004</v>
      </c>
      <c r="K21" s="134">
        <f t="shared" si="0"/>
        <v>0.46088386290661976</v>
      </c>
      <c r="L21" s="138">
        <v>4</v>
      </c>
      <c r="M21" s="175">
        <f t="shared" si="3"/>
        <v>12.898837671343088</v>
      </c>
      <c r="N21" s="138">
        <f t="shared" si="4"/>
        <v>1.621047110003915</v>
      </c>
      <c r="O21" s="134">
        <f t="shared" si="2"/>
        <v>0.12567389026108458</v>
      </c>
      <c r="P21" s="138">
        <v>1.1105505773019699</v>
      </c>
      <c r="Q21" s="138">
        <v>0.20979563626581699</v>
      </c>
      <c r="R21" s="138">
        <v>0.10489781813290799</v>
      </c>
      <c r="S21" s="138">
        <v>0.33383167374939698</v>
      </c>
      <c r="U21" t="s">
        <v>143</v>
      </c>
      <c r="V21">
        <v>1.3130231103232399</v>
      </c>
      <c r="W21">
        <v>9.4778776980000004</v>
      </c>
      <c r="X21">
        <v>20.56</v>
      </c>
      <c r="Y21">
        <v>4</v>
      </c>
      <c r="Z21">
        <v>2.4665291226021901</v>
      </c>
      <c r="AA21">
        <v>0.68381901944121404</v>
      </c>
      <c r="AB21">
        <v>0.34190950972060702</v>
      </c>
      <c r="AC21">
        <v>1.0881086559517099</v>
      </c>
    </row>
    <row r="22" spans="1:29" s="138" customFormat="1" x14ac:dyDescent="0.35">
      <c r="A22" s="138">
        <v>21</v>
      </c>
      <c r="B22" s="2">
        <v>26.4</v>
      </c>
      <c r="C22" s="131">
        <v>518.34</v>
      </c>
      <c r="D22" s="132">
        <v>59.04</v>
      </c>
      <c r="E22" s="133">
        <v>19.634090909090911</v>
      </c>
      <c r="F22" s="133">
        <v>2.2363636363636363</v>
      </c>
      <c r="G22" s="134">
        <v>0.11390207199907396</v>
      </c>
      <c r="H22" s="133">
        <v>344</v>
      </c>
      <c r="I22" s="175">
        <v>9.8170454545454557</v>
      </c>
      <c r="J22" s="138">
        <v>1.1200000000000001</v>
      </c>
      <c r="K22" s="134">
        <f t="shared" si="0"/>
        <v>0.11408727862021067</v>
      </c>
      <c r="L22" s="138">
        <v>5</v>
      </c>
      <c r="M22" s="175">
        <f t="shared" si="3"/>
        <v>8411.869543269222</v>
      </c>
      <c r="N22" s="138">
        <f t="shared" si="4"/>
        <v>3.4536245475916685</v>
      </c>
      <c r="O22" s="134">
        <f t="shared" si="2"/>
        <v>4.1056563345720151E-4</v>
      </c>
      <c r="P22" s="138">
        <v>3.9248925287459002</v>
      </c>
      <c r="Q22" s="138">
        <v>0.53827512252732801</v>
      </c>
      <c r="R22" s="138">
        <v>0.240723952913627</v>
      </c>
      <c r="S22" s="138">
        <v>0.66835684077090296</v>
      </c>
      <c r="U22" t="s">
        <v>144</v>
      </c>
      <c r="V22">
        <v>0.99211148778695002</v>
      </c>
      <c r="W22">
        <v>1.1200000000000001</v>
      </c>
      <c r="X22">
        <v>9.82</v>
      </c>
      <c r="Y22">
        <v>5</v>
      </c>
      <c r="Z22">
        <v>4.2076835638091996</v>
      </c>
      <c r="AA22">
        <v>0.20581429337799001</v>
      </c>
      <c r="AB22">
        <v>9.2042950146854305E-2</v>
      </c>
      <c r="AC22">
        <v>0.25555219840319798</v>
      </c>
    </row>
    <row r="23" spans="1:29" s="138" customFormat="1" x14ac:dyDescent="0.35">
      <c r="A23" s="138">
        <v>22</v>
      </c>
      <c r="B23" s="2">
        <v>26.6</v>
      </c>
      <c r="C23" s="131">
        <v>396.06</v>
      </c>
      <c r="D23" s="132">
        <v>115.64</v>
      </c>
      <c r="E23" s="133">
        <v>14.889473684210525</v>
      </c>
      <c r="F23" s="133">
        <v>4.3473684210526313</v>
      </c>
      <c r="G23" s="134">
        <v>0.29197596323789327</v>
      </c>
      <c r="H23" s="133">
        <v>7.41</v>
      </c>
      <c r="I23" s="175">
        <v>7.4447368421052627</v>
      </c>
      <c r="J23" s="138">
        <v>2.17</v>
      </c>
      <c r="K23" s="134">
        <f t="shared" si="0"/>
        <v>0.29148108872393075</v>
      </c>
      <c r="L23" s="138">
        <v>5</v>
      </c>
      <c r="M23" s="175">
        <f t="shared" si="3"/>
        <v>33.373169283776292</v>
      </c>
      <c r="N23" s="138">
        <f t="shared" si="4"/>
        <v>1.7180486059533095</v>
      </c>
      <c r="O23" s="134">
        <f t="shared" si="2"/>
        <v>5.1479935613681888E-2</v>
      </c>
      <c r="P23" s="138">
        <v>1.52339745139853</v>
      </c>
      <c r="Q23" s="138">
        <v>0.23503544645605101</v>
      </c>
      <c r="R23" s="138">
        <v>0.10511104707954801</v>
      </c>
      <c r="S23" s="138">
        <v>0.29183505216622702</v>
      </c>
      <c r="U23" t="s">
        <v>145</v>
      </c>
      <c r="V23">
        <v>0.871572935545879</v>
      </c>
      <c r="W23">
        <v>2.17</v>
      </c>
      <c r="X23">
        <v>7.44</v>
      </c>
      <c r="Y23">
        <v>5</v>
      </c>
      <c r="Z23">
        <v>0.44900711533281201</v>
      </c>
      <c r="AA23">
        <v>0.30992353704389802</v>
      </c>
      <c r="AB23">
        <v>0.13860201933146599</v>
      </c>
      <c r="AC23">
        <v>0.384820898143379</v>
      </c>
    </row>
    <row r="24" spans="1:29" s="138" customFormat="1" x14ac:dyDescent="0.35">
      <c r="A24" s="138">
        <v>23</v>
      </c>
      <c r="B24" s="2">
        <v>29.9</v>
      </c>
      <c r="C24" s="131">
        <v>708.27</v>
      </c>
      <c r="D24" s="132">
        <v>58.85</v>
      </c>
      <c r="E24" s="133">
        <v>23.687959866220737</v>
      </c>
      <c r="F24" s="133">
        <v>1.968227424749164</v>
      </c>
      <c r="G24" s="134">
        <v>8.3089782145227109E-2</v>
      </c>
      <c r="H24" s="133">
        <v>7.31</v>
      </c>
      <c r="I24" s="175">
        <v>11.843979933110369</v>
      </c>
      <c r="J24" s="138">
        <v>0.98</v>
      </c>
      <c r="K24" s="134">
        <f t="shared" si="0"/>
        <v>8.2742456972623432E-2</v>
      </c>
      <c r="L24" s="138">
        <v>5</v>
      </c>
      <c r="M24" s="175">
        <f t="shared" si="3"/>
        <v>41.232447492616863</v>
      </c>
      <c r="N24" s="138">
        <f t="shared" si="4"/>
        <v>1.4322963326647016</v>
      </c>
      <c r="O24" s="134">
        <f t="shared" si="2"/>
        <v>3.4737116512939731E-2</v>
      </c>
      <c r="P24" s="138">
        <v>1.6152391145973899</v>
      </c>
      <c r="Q24" s="138">
        <v>0.156032879932053</v>
      </c>
      <c r="R24" s="138">
        <v>6.9780025250626598E-2</v>
      </c>
      <c r="S24" s="138">
        <v>0.19374040954768099</v>
      </c>
      <c r="U24" t="s">
        <v>146</v>
      </c>
      <c r="V24">
        <v>1.0733517023868999</v>
      </c>
      <c r="W24">
        <v>0.98</v>
      </c>
      <c r="X24">
        <v>11.84</v>
      </c>
      <c r="Y24">
        <v>5</v>
      </c>
      <c r="Z24">
        <v>0.78484896984729402</v>
      </c>
      <c r="AA24">
        <v>8.3431366820485603E-2</v>
      </c>
      <c r="AB24">
        <v>3.73116415332653E-2</v>
      </c>
      <c r="AC24">
        <v>0.103593724501929</v>
      </c>
    </row>
    <row r="25" spans="1:29" s="138" customFormat="1" x14ac:dyDescent="0.35">
      <c r="A25" s="138">
        <v>24</v>
      </c>
      <c r="B25" s="2">
        <v>27.6</v>
      </c>
      <c r="C25" s="131">
        <v>467.79</v>
      </c>
      <c r="D25" s="132">
        <v>343.03</v>
      </c>
      <c r="E25" s="133">
        <v>16.94891304347826</v>
      </c>
      <c r="F25" s="133">
        <v>12.428623188405796</v>
      </c>
      <c r="G25" s="134">
        <v>0.73329912995147395</v>
      </c>
      <c r="H25" s="133" t="e">
        <v>#VALUE!</v>
      </c>
      <c r="I25" s="175">
        <v>8.4744565217391301</v>
      </c>
      <c r="J25" s="138">
        <v>6.21</v>
      </c>
      <c r="K25" s="134">
        <f t="shared" si="0"/>
        <v>0.7327903546463157</v>
      </c>
      <c r="L25" s="138">
        <v>4</v>
      </c>
      <c r="M25" s="175">
        <f t="shared" si="3"/>
        <v>32.321081322882904</v>
      </c>
      <c r="N25" s="138">
        <f t="shared" si="4"/>
        <v>12.123676948529448</v>
      </c>
      <c r="O25" s="134">
        <f t="shared" si="2"/>
        <v>0.37510121729578533</v>
      </c>
      <c r="P25" s="138">
        <v>1.5094858819511101</v>
      </c>
      <c r="Q25" s="138">
        <v>1.0836343554966199</v>
      </c>
      <c r="R25" s="138">
        <v>0.54181717774831095</v>
      </c>
      <c r="S25" s="138">
        <v>1.7243040754643599</v>
      </c>
      <c r="U25" t="s">
        <v>147</v>
      </c>
      <c r="V25">
        <v>1.35945602012099</v>
      </c>
      <c r="W25">
        <v>6.21</v>
      </c>
      <c r="X25">
        <v>22.88</v>
      </c>
      <c r="Y25">
        <v>4</v>
      </c>
      <c r="Z25">
        <v>4.0974859591558204E-3</v>
      </c>
      <c r="AA25">
        <v>0.91309532480203404</v>
      </c>
      <c r="AB25">
        <v>0.45654766240101702</v>
      </c>
      <c r="AC25">
        <v>1.45293842139403</v>
      </c>
    </row>
    <row r="26" spans="1:29" s="138" customFormat="1" x14ac:dyDescent="0.35">
      <c r="A26" s="145">
        <v>25</v>
      </c>
      <c r="B26" s="2">
        <v>27.4</v>
      </c>
      <c r="C26" s="147" t="s">
        <v>33</v>
      </c>
      <c r="D26" s="148" t="s">
        <v>33</v>
      </c>
      <c r="E26" s="146" t="e">
        <v>#VALUE!</v>
      </c>
      <c r="F26" s="146" t="e">
        <v>#VALUE!</v>
      </c>
      <c r="G26" s="149" t="e">
        <v>#VALUE!</v>
      </c>
      <c r="H26" s="146">
        <v>7.99</v>
      </c>
      <c r="I26" s="178" t="e">
        <v>#VALUE!</v>
      </c>
      <c r="J26" s="145" t="s">
        <v>96</v>
      </c>
      <c r="K26" s="149" t="e">
        <f t="shared" si="0"/>
        <v>#VALUE!</v>
      </c>
      <c r="L26" s="145">
        <v>1</v>
      </c>
      <c r="M26" s="178">
        <f t="shared" si="3"/>
        <v>17.367675773505759</v>
      </c>
      <c r="N26" s="145" t="e">
        <f t="shared" si="4"/>
        <v>#VALUE!</v>
      </c>
      <c r="O26" s="149" t="e">
        <f t="shared" si="2"/>
        <v>#VALUE!</v>
      </c>
      <c r="P26" s="145">
        <v>1.2397417029445399</v>
      </c>
      <c r="Q26" s="145" t="s">
        <v>96</v>
      </c>
      <c r="R26" s="145" t="s">
        <v>96</v>
      </c>
      <c r="S26" s="145" t="s">
        <v>96</v>
      </c>
    </row>
    <row r="27" spans="1:29" s="138" customFormat="1" x14ac:dyDescent="0.35">
      <c r="A27" s="145">
        <v>26</v>
      </c>
      <c r="B27" s="2">
        <v>29.7</v>
      </c>
      <c r="C27" s="147" t="s">
        <v>33</v>
      </c>
      <c r="D27" s="148" t="s">
        <v>33</v>
      </c>
      <c r="E27" s="146" t="e">
        <v>#VALUE!</v>
      </c>
      <c r="F27" s="146" t="e">
        <v>#VALUE!</v>
      </c>
      <c r="G27" s="149" t="e">
        <v>#VALUE!</v>
      </c>
      <c r="H27" s="146">
        <v>312</v>
      </c>
      <c r="I27" s="178" t="e">
        <v>#VALUE!</v>
      </c>
      <c r="J27" s="145" t="s">
        <v>96</v>
      </c>
      <c r="K27" s="149" t="e">
        <f t="shared" si="0"/>
        <v>#VALUE!</v>
      </c>
      <c r="L27" s="153">
        <v>5</v>
      </c>
      <c r="M27" s="174">
        <f t="shared" si="3"/>
        <v>278.92509713147626</v>
      </c>
      <c r="N27" s="153">
        <f t="shared" si="4"/>
        <v>2.8409639444933403</v>
      </c>
      <c r="O27" s="154">
        <f t="shared" si="2"/>
        <v>1.0185400932760819E-2</v>
      </c>
      <c r="P27" s="153">
        <v>2.44548759298723</v>
      </c>
      <c r="Q27" s="153">
        <v>0.45346572199926499</v>
      </c>
      <c r="R27" s="153">
        <v>0.20279603597127599</v>
      </c>
      <c r="S27" s="153">
        <v>0.56305206142596398</v>
      </c>
      <c r="U27" t="s">
        <v>148</v>
      </c>
      <c r="V27" t="s">
        <v>96</v>
      </c>
      <c r="W27" t="s">
        <v>96</v>
      </c>
      <c r="X27" t="s">
        <v>96</v>
      </c>
      <c r="Y27">
        <v>5</v>
      </c>
      <c r="Z27">
        <v>4.3298215927820296</v>
      </c>
      <c r="AA27">
        <v>0.38117920529530902</v>
      </c>
      <c r="AB27">
        <v>0.170468522929932</v>
      </c>
      <c r="AC27">
        <v>0.47329649607910601</v>
      </c>
    </row>
    <row r="28" spans="1:29" s="165" customFormat="1" x14ac:dyDescent="0.35">
      <c r="A28" s="165">
        <v>27</v>
      </c>
      <c r="B28" s="2">
        <v>23.4</v>
      </c>
      <c r="C28" s="167">
        <v>2748.61</v>
      </c>
      <c r="D28" s="168">
        <v>586.66999999999996</v>
      </c>
      <c r="E28" s="166">
        <v>117.46196581196583</v>
      </c>
      <c r="F28" s="166">
        <v>25.07136752136752</v>
      </c>
      <c r="G28" s="169">
        <v>0.21344243090143741</v>
      </c>
      <c r="H28" s="166">
        <v>2.96</v>
      </c>
      <c r="I28" s="177">
        <v>58.730982905982913</v>
      </c>
      <c r="J28" s="165">
        <v>12.54</v>
      </c>
      <c r="K28" s="169">
        <f t="shared" si="0"/>
        <v>0.21351592259360183</v>
      </c>
      <c r="L28" s="165">
        <v>1</v>
      </c>
      <c r="M28" s="177">
        <f t="shared" si="3"/>
        <v>5.7867449142235392</v>
      </c>
      <c r="N28" s="165" t="e">
        <f t="shared" si="4"/>
        <v>#VALUE!</v>
      </c>
      <c r="O28" s="169" t="e">
        <f t="shared" si="2"/>
        <v>#VALUE!</v>
      </c>
      <c r="P28" s="165">
        <v>0.76243433862986898</v>
      </c>
      <c r="Q28" s="165" t="s">
        <v>96</v>
      </c>
      <c r="R28" s="165" t="s">
        <v>96</v>
      </c>
      <c r="S28" s="165" t="s">
        <v>96</v>
      </c>
    </row>
    <row r="29" spans="1:29" s="138" customFormat="1" x14ac:dyDescent="0.35">
      <c r="A29" s="138">
        <v>28</v>
      </c>
      <c r="B29" s="2">
        <v>27</v>
      </c>
      <c r="C29" s="131">
        <v>1388.85</v>
      </c>
      <c r="D29" s="132">
        <v>145.01</v>
      </c>
      <c r="E29" s="133">
        <v>51.438888888888883</v>
      </c>
      <c r="F29" s="133">
        <v>5.3707407407407404</v>
      </c>
      <c r="G29" s="134">
        <v>0.10441012348345755</v>
      </c>
      <c r="H29" s="133">
        <v>5.42</v>
      </c>
      <c r="I29" s="175">
        <v>25.719444444444441</v>
      </c>
      <c r="J29" s="138">
        <v>2.69</v>
      </c>
      <c r="K29" s="134">
        <f t="shared" si="0"/>
        <v>0.10459012852359867</v>
      </c>
      <c r="L29" s="138">
        <v>5</v>
      </c>
      <c r="M29" s="175">
        <f t="shared" si="3"/>
        <v>18.959062930426388</v>
      </c>
      <c r="N29" s="138">
        <f t="shared" si="4"/>
        <v>1.3961518342319255</v>
      </c>
      <c r="O29" s="134">
        <f t="shared" si="2"/>
        <v>7.364033968109869E-2</v>
      </c>
      <c r="P29" s="138">
        <v>1.27781686811797</v>
      </c>
      <c r="Q29" s="138">
        <v>0.144932651226516</v>
      </c>
      <c r="R29" s="138">
        <v>6.4815852060351703E-2</v>
      </c>
      <c r="S29" s="138">
        <v>0.17995765519218801</v>
      </c>
      <c r="U29" t="s">
        <v>149</v>
      </c>
      <c r="V29">
        <v>1.41027096425218</v>
      </c>
      <c r="W29">
        <v>2.69</v>
      </c>
      <c r="X29">
        <v>25.72</v>
      </c>
      <c r="Y29">
        <v>5</v>
      </c>
      <c r="Z29">
        <v>-0.63903850923198302</v>
      </c>
      <c r="AA29">
        <v>0.69939303189479196</v>
      </c>
      <c r="AB29">
        <v>0.31277807246128703</v>
      </c>
      <c r="AC29">
        <v>0.86841114829833999</v>
      </c>
    </row>
    <row r="30" spans="1:29" s="138" customFormat="1" x14ac:dyDescent="0.35">
      <c r="A30" s="138">
        <v>29</v>
      </c>
      <c r="B30" s="2">
        <v>18.600000000000001</v>
      </c>
      <c r="C30" s="131">
        <v>382.7</v>
      </c>
      <c r="D30" s="132">
        <v>51.17</v>
      </c>
      <c r="E30" s="133">
        <v>20.5752688172043</v>
      </c>
      <c r="F30" s="133">
        <v>2.7510752688172042</v>
      </c>
      <c r="G30" s="134">
        <v>0.13370786516853933</v>
      </c>
      <c r="H30" s="133">
        <v>18.5</v>
      </c>
      <c r="I30" s="175">
        <v>10.28763440860215</v>
      </c>
      <c r="J30" s="138">
        <v>1.3755376340000001</v>
      </c>
      <c r="K30" s="134">
        <f t="shared" si="0"/>
        <v>0.13370786512882155</v>
      </c>
      <c r="L30" s="138">
        <v>5</v>
      </c>
      <c r="M30" s="175">
        <f t="shared" si="3"/>
        <v>6088.7640134714275</v>
      </c>
      <c r="N30" s="138">
        <f t="shared" si="4"/>
        <v>1.52597314023898</v>
      </c>
      <c r="O30" s="134">
        <f t="shared" si="2"/>
        <v>2.5062116660503757E-4</v>
      </c>
      <c r="P30" s="138">
        <v>3.7845291421226399</v>
      </c>
      <c r="Q30" s="138">
        <v>0.18354688935368599</v>
      </c>
      <c r="R30" s="138">
        <v>8.2084664330695001E-2</v>
      </c>
      <c r="S30" s="138">
        <v>0.227903564492762</v>
      </c>
      <c r="U30" t="s">
        <v>150</v>
      </c>
      <c r="V30">
        <v>1.01241537476243</v>
      </c>
      <c r="W30">
        <v>1.3755376340000001</v>
      </c>
      <c r="X30">
        <v>10.29</v>
      </c>
      <c r="Y30">
        <v>5</v>
      </c>
      <c r="Z30">
        <v>3.7688598924783601</v>
      </c>
      <c r="AA30">
        <v>0.10469127782109799</v>
      </c>
      <c r="AB30">
        <v>4.6819362771858102E-2</v>
      </c>
      <c r="AC30">
        <v>0.12999139059640499</v>
      </c>
    </row>
    <row r="31" spans="1:29" s="138" customFormat="1" x14ac:dyDescent="0.35">
      <c r="A31" s="138">
        <v>30</v>
      </c>
      <c r="B31" s="2">
        <v>25</v>
      </c>
      <c r="C31" s="131">
        <v>720.79</v>
      </c>
      <c r="D31" s="132">
        <v>201.87</v>
      </c>
      <c r="E31" s="133">
        <v>28.831599999999998</v>
      </c>
      <c r="F31" s="133">
        <v>8.0747999999999998</v>
      </c>
      <c r="G31" s="134">
        <v>0.28006770349200183</v>
      </c>
      <c r="H31" s="133">
        <v>7.87</v>
      </c>
      <c r="I31" s="175">
        <v>14.415799999999999</v>
      </c>
      <c r="J31" s="138">
        <v>4.04</v>
      </c>
      <c r="K31" s="134">
        <f t="shared" si="0"/>
        <v>0.28024806115512146</v>
      </c>
      <c r="L31" s="138">
        <v>5</v>
      </c>
      <c r="M31" s="175">
        <f t="shared" si="3"/>
        <v>23.22051810069912</v>
      </c>
      <c r="N31" s="138">
        <f t="shared" si="4"/>
        <v>1.2852433420679985</v>
      </c>
      <c r="O31" s="134">
        <f t="shared" si="2"/>
        <v>5.5349468797136897E-2</v>
      </c>
      <c r="P31" s="138">
        <v>1.36587190557329</v>
      </c>
      <c r="Q31" s="138">
        <v>0.108985362773953</v>
      </c>
      <c r="R31" s="138">
        <v>4.87397359430067E-2</v>
      </c>
      <c r="S31" s="138">
        <v>0.13532320128759401</v>
      </c>
      <c r="U31" t="s">
        <v>152</v>
      </c>
      <c r="V31">
        <v>1.15896526038341</v>
      </c>
      <c r="W31">
        <v>4.04</v>
      </c>
      <c r="X31">
        <v>14.42</v>
      </c>
      <c r="Y31">
        <v>5</v>
      </c>
      <c r="Z31">
        <v>0.31753981570159701</v>
      </c>
      <c r="AA31">
        <v>0.16107206071792099</v>
      </c>
      <c r="AB31">
        <v>7.2033615408248902E-2</v>
      </c>
      <c r="AC31">
        <v>0.19999737890993299</v>
      </c>
    </row>
    <row r="32" spans="1:29" s="138" customFormat="1" x14ac:dyDescent="0.35">
      <c r="A32" s="138">
        <v>31</v>
      </c>
      <c r="B32" s="2">
        <v>30</v>
      </c>
      <c r="C32" s="131">
        <v>13813765</v>
      </c>
      <c r="D32" s="132">
        <v>299322.62</v>
      </c>
      <c r="E32" s="133">
        <v>460458.83333333331</v>
      </c>
      <c r="F32" s="133">
        <v>9977.4206666666669</v>
      </c>
      <c r="G32" s="134">
        <v>2.1668431452250711E-2</v>
      </c>
      <c r="H32" s="133">
        <v>3.72</v>
      </c>
      <c r="I32" s="175">
        <v>230229.41666666666</v>
      </c>
      <c r="J32" s="138">
        <v>4988.71</v>
      </c>
      <c r="K32" s="134">
        <f t="shared" si="0"/>
        <v>2.1668430004419505E-2</v>
      </c>
      <c r="L32" s="138">
        <v>5</v>
      </c>
      <c r="M32" s="175">
        <f t="shared" si="3"/>
        <v>47.563920729050054</v>
      </c>
      <c r="N32" s="138">
        <f t="shared" si="4"/>
        <v>1.3534882009175377</v>
      </c>
      <c r="O32" s="134">
        <f t="shared" si="2"/>
        <v>2.84561949513738E-2</v>
      </c>
      <c r="P32" s="138">
        <v>1.67727764663652</v>
      </c>
      <c r="Q32" s="138">
        <v>0.131454474145136</v>
      </c>
      <c r="R32" s="138">
        <v>5.8788228027002599E-2</v>
      </c>
      <c r="S32" s="138">
        <v>0.16322228794882301</v>
      </c>
      <c r="U32" t="s">
        <v>153</v>
      </c>
      <c r="V32">
        <v>5.3621608194122299</v>
      </c>
      <c r="W32">
        <v>4988.71</v>
      </c>
      <c r="X32">
        <v>230229.42</v>
      </c>
      <c r="Y32">
        <v>5</v>
      </c>
      <c r="Z32">
        <v>0.37697826074644503</v>
      </c>
      <c r="AA32">
        <v>0.26111271398772001</v>
      </c>
      <c r="AB32">
        <v>0.1167731556532</v>
      </c>
      <c r="AC32">
        <v>0.324214256431828</v>
      </c>
    </row>
    <row r="33" spans="1:29" s="138" customFormat="1" x14ac:dyDescent="0.35">
      <c r="A33" s="156">
        <v>32</v>
      </c>
      <c r="B33" s="2">
        <v>30</v>
      </c>
      <c r="C33" s="158">
        <v>1668284.5</v>
      </c>
      <c r="D33" s="159">
        <v>87994.185700000002</v>
      </c>
      <c r="E33" s="157">
        <v>55609.48333333333</v>
      </c>
      <c r="F33" s="157">
        <v>2933.1395233333333</v>
      </c>
      <c r="G33" s="160">
        <v>5.2745311546082217E-2</v>
      </c>
      <c r="H33" s="157">
        <v>3.57</v>
      </c>
      <c r="I33" s="176">
        <v>27804.741666666661</v>
      </c>
      <c r="J33" s="156"/>
      <c r="K33" s="160"/>
      <c r="L33" s="156"/>
      <c r="M33" s="176"/>
      <c r="N33" s="156"/>
      <c r="O33" s="160"/>
      <c r="P33" s="156"/>
      <c r="Q33" s="156"/>
      <c r="R33" s="156"/>
      <c r="S33" s="156"/>
    </row>
    <row r="34" spans="1:29" s="138" customFormat="1" x14ac:dyDescent="0.35">
      <c r="A34" s="156">
        <v>33</v>
      </c>
      <c r="B34" s="2">
        <v>30</v>
      </c>
      <c r="C34" s="158">
        <v>386747.72</v>
      </c>
      <c r="D34" s="159">
        <v>66131.217300000004</v>
      </c>
      <c r="E34" s="157">
        <v>12891.590666666665</v>
      </c>
      <c r="F34" s="157">
        <v>2204.3739100000003</v>
      </c>
      <c r="G34" s="160">
        <v>0.17099316655312155</v>
      </c>
      <c r="H34" s="157">
        <v>14.9</v>
      </c>
      <c r="I34" s="176">
        <v>6445.7953333333326</v>
      </c>
      <c r="J34" s="156"/>
      <c r="K34" s="160"/>
      <c r="L34" s="156"/>
      <c r="M34" s="176"/>
      <c r="N34" s="156"/>
      <c r="O34" s="160"/>
      <c r="P34" s="156"/>
      <c r="Q34" s="156"/>
      <c r="R34" s="156"/>
      <c r="S34" s="156"/>
    </row>
    <row r="35" spans="1:29" s="138" customFormat="1" x14ac:dyDescent="0.35">
      <c r="A35" s="138">
        <v>34</v>
      </c>
      <c r="B35" s="2">
        <v>30</v>
      </c>
      <c r="C35" s="131">
        <v>8741229</v>
      </c>
      <c r="D35" s="132">
        <v>1019141.3</v>
      </c>
      <c r="E35" s="133">
        <v>291374.3</v>
      </c>
      <c r="F35" s="133">
        <v>33971.376666666671</v>
      </c>
      <c r="G35" s="134">
        <v>0.11659016140636519</v>
      </c>
      <c r="H35" s="133">
        <v>9.18</v>
      </c>
      <c r="I35" s="175">
        <v>145687.15</v>
      </c>
      <c r="J35" s="138">
        <v>16985.689999999999</v>
      </c>
      <c r="K35" s="134">
        <f t="shared" si="0"/>
        <v>0.11659017284640409</v>
      </c>
      <c r="L35" s="138">
        <v>5</v>
      </c>
      <c r="M35" s="175">
        <f>10^P35</f>
        <v>39.043436788232682</v>
      </c>
      <c r="N35" s="138">
        <f>10^Q35</f>
        <v>1.6415215855168548</v>
      </c>
      <c r="O35" s="134">
        <f t="shared" si="2"/>
        <v>4.2043470568953439E-2</v>
      </c>
      <c r="P35" s="138">
        <v>1.59154803933459</v>
      </c>
      <c r="Q35" s="138">
        <v>0.215246597945178</v>
      </c>
      <c r="R35" s="138">
        <v>9.6261204986197099E-2</v>
      </c>
      <c r="S35" s="138">
        <v>0.26726395140436798</v>
      </c>
      <c r="U35" t="s">
        <v>154</v>
      </c>
      <c r="V35">
        <v>5.1634212475132903</v>
      </c>
      <c r="W35">
        <v>16985.689999999999</v>
      </c>
      <c r="X35">
        <v>145687.15</v>
      </c>
      <c r="Y35">
        <v>5</v>
      </c>
      <c r="Z35">
        <v>3.0009687624172798</v>
      </c>
      <c r="AA35">
        <v>0.28329740746665</v>
      </c>
      <c r="AB35">
        <v>0.12669445218897701</v>
      </c>
      <c r="AC35">
        <v>0.35176019163580202</v>
      </c>
    </row>
    <row r="36" spans="1:29" s="138" customFormat="1" x14ac:dyDescent="0.35">
      <c r="A36" s="138">
        <v>35</v>
      </c>
      <c r="B36" s="2">
        <v>30</v>
      </c>
      <c r="C36" s="131">
        <v>23493094</v>
      </c>
      <c r="D36" s="132">
        <v>2479077.75</v>
      </c>
      <c r="E36" s="133">
        <v>783103.1333333333</v>
      </c>
      <c r="F36" s="133">
        <v>82635.925000000003</v>
      </c>
      <c r="G36" s="134">
        <v>0.10552368070378471</v>
      </c>
      <c r="H36" s="133">
        <v>191</v>
      </c>
      <c r="I36" s="175">
        <v>391551.56666666665</v>
      </c>
      <c r="J36" s="138">
        <v>41317.96</v>
      </c>
      <c r="K36" s="134">
        <f t="shared" si="0"/>
        <v>0.10552367431892964</v>
      </c>
      <c r="L36" s="138">
        <v>5</v>
      </c>
      <c r="M36" s="175">
        <f>10^P36</f>
        <v>3993.0457450606932</v>
      </c>
      <c r="N36" s="138">
        <f>10^Q36</f>
        <v>5.4513086389549761</v>
      </c>
      <c r="O36" s="134">
        <f t="shared" si="2"/>
        <v>1.3652006480762513E-3</v>
      </c>
      <c r="P36" s="138">
        <v>3.60130428557967</v>
      </c>
      <c r="Q36" s="138">
        <v>0.73650077135084302</v>
      </c>
      <c r="R36" s="138">
        <v>0.329373158044303</v>
      </c>
      <c r="S36" s="138">
        <v>0.91448649243564495</v>
      </c>
      <c r="U36" t="s">
        <v>155</v>
      </c>
      <c r="V36">
        <v>5.5927889696927497</v>
      </c>
      <c r="W36">
        <v>41317.96</v>
      </c>
      <c r="X36">
        <v>391551.57</v>
      </c>
      <c r="Y36">
        <v>5</v>
      </c>
      <c r="Z36">
        <v>3.8639641093367798</v>
      </c>
      <c r="AA36">
        <v>0.23593282629585899</v>
      </c>
      <c r="AB36">
        <v>0.105512367544238</v>
      </c>
      <c r="AC36">
        <v>0.29294929640603101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D9674-6087-43CE-BE25-D12501CACA92}">
  <dimension ref="A1:G39"/>
  <sheetViews>
    <sheetView tabSelected="1" topLeftCell="A8" workbookViewId="0">
      <selection activeCell="E40" sqref="E40"/>
    </sheetView>
  </sheetViews>
  <sheetFormatPr defaultRowHeight="14.5" x14ac:dyDescent="0.35"/>
  <cols>
    <col min="1" max="1" width="10.26953125" style="2" bestFit="1" customWidth="1"/>
    <col min="2" max="2" width="19.1796875" style="2" bestFit="1" customWidth="1"/>
    <col min="3" max="3" width="6.26953125" style="2" bestFit="1" customWidth="1"/>
    <col min="4" max="4" width="14.26953125" style="2" bestFit="1" customWidth="1"/>
    <col min="5" max="5" width="15.7265625" style="2" bestFit="1" customWidth="1"/>
    <col min="6" max="7" width="12.7265625" style="2" bestFit="1" customWidth="1"/>
  </cols>
  <sheetData>
    <row r="1" spans="1:7" ht="28.9" customHeight="1" thickBot="1" x14ac:dyDescent="0.4">
      <c r="A1" s="206" t="s">
        <v>69</v>
      </c>
      <c r="B1" s="206"/>
      <c r="C1" s="206"/>
      <c r="D1" s="206"/>
      <c r="E1" s="206"/>
      <c r="F1" s="206"/>
      <c r="G1" s="206"/>
    </row>
    <row r="2" spans="1:7" x14ac:dyDescent="0.35">
      <c r="A2" s="200" t="s">
        <v>68</v>
      </c>
      <c r="B2" s="201"/>
      <c r="C2" s="201"/>
      <c r="D2" s="201"/>
      <c r="E2" s="201"/>
      <c r="F2" s="201"/>
      <c r="G2" s="202"/>
    </row>
    <row r="3" spans="1:7" ht="24.65" customHeight="1" thickBot="1" x14ac:dyDescent="0.4">
      <c r="A3" s="203"/>
      <c r="B3" s="204"/>
      <c r="C3" s="204"/>
      <c r="D3" s="204"/>
      <c r="E3" s="204"/>
      <c r="F3" s="204"/>
      <c r="G3" s="205"/>
    </row>
    <row r="4" spans="1:7" x14ac:dyDescent="0.35">
      <c r="A4" s="3" t="s">
        <v>21</v>
      </c>
      <c r="B4" s="3" t="s">
        <v>22</v>
      </c>
      <c r="C4" s="3" t="s">
        <v>23</v>
      </c>
      <c r="D4" s="3" t="s">
        <v>24</v>
      </c>
      <c r="E4" s="3" t="s">
        <v>25</v>
      </c>
      <c r="F4" s="3" t="s">
        <v>26</v>
      </c>
      <c r="G4" s="3" t="s">
        <v>27</v>
      </c>
    </row>
    <row r="5" spans="1:7" x14ac:dyDescent="0.35">
      <c r="A5" s="2" t="s">
        <v>28</v>
      </c>
      <c r="B5" s="2">
        <v>24</v>
      </c>
      <c r="C5" s="2" t="s">
        <v>29</v>
      </c>
      <c r="D5" s="2">
        <v>2006.65</v>
      </c>
      <c r="E5" s="2">
        <v>1202.8800000000001</v>
      </c>
      <c r="F5" s="2">
        <v>30.01</v>
      </c>
      <c r="G5" s="2">
        <v>0.95</v>
      </c>
    </row>
    <row r="6" spans="1:7" x14ac:dyDescent="0.35">
      <c r="A6" s="2" t="s">
        <v>30</v>
      </c>
      <c r="B6" s="2">
        <v>25.4</v>
      </c>
      <c r="C6" s="2" t="s">
        <v>29</v>
      </c>
      <c r="D6" s="2">
        <v>116491.73</v>
      </c>
      <c r="E6" s="2">
        <v>36158.949999999997</v>
      </c>
      <c r="F6" s="2">
        <v>23.86</v>
      </c>
      <c r="G6" s="2">
        <v>0.47</v>
      </c>
    </row>
    <row r="7" spans="1:7" x14ac:dyDescent="0.35">
      <c r="A7" s="2" t="s">
        <v>31</v>
      </c>
      <c r="B7" s="2">
        <v>28.2</v>
      </c>
      <c r="C7" s="2" t="s">
        <v>29</v>
      </c>
      <c r="D7" s="2">
        <v>542.95000000000005</v>
      </c>
      <c r="E7" s="2">
        <v>110.25</v>
      </c>
      <c r="F7" s="2">
        <v>32.049999999999997</v>
      </c>
      <c r="G7" s="2">
        <v>0.34</v>
      </c>
    </row>
    <row r="8" spans="1:7" x14ac:dyDescent="0.35">
      <c r="A8" s="2" t="s">
        <v>32</v>
      </c>
      <c r="B8" s="2">
        <v>28.1</v>
      </c>
      <c r="C8" s="2" t="s">
        <v>29</v>
      </c>
      <c r="D8" s="2" t="s">
        <v>33</v>
      </c>
      <c r="E8" s="2" t="s">
        <v>33</v>
      </c>
      <c r="F8" s="2" t="s">
        <v>33</v>
      </c>
      <c r="G8" s="2" t="s">
        <v>33</v>
      </c>
    </row>
    <row r="9" spans="1:7" x14ac:dyDescent="0.35">
      <c r="A9" s="2" t="s">
        <v>34</v>
      </c>
      <c r="B9" s="2">
        <v>23.4</v>
      </c>
      <c r="C9" s="2" t="s">
        <v>29</v>
      </c>
      <c r="D9" s="2">
        <v>91.44</v>
      </c>
      <c r="E9" s="2">
        <v>33.340000000000003</v>
      </c>
      <c r="F9" s="2">
        <v>34.5</v>
      </c>
      <c r="G9" s="2">
        <v>0.55000000000000004</v>
      </c>
    </row>
    <row r="10" spans="1:7" x14ac:dyDescent="0.35">
      <c r="A10" s="2" t="s">
        <v>35</v>
      </c>
      <c r="B10" s="2">
        <v>25.7</v>
      </c>
      <c r="C10" s="2" t="s">
        <v>29</v>
      </c>
      <c r="D10" s="2">
        <v>157.74</v>
      </c>
      <c r="E10" s="2">
        <v>54.88</v>
      </c>
      <c r="F10" s="2">
        <v>33.69</v>
      </c>
      <c r="G10" s="2">
        <v>0.53</v>
      </c>
    </row>
    <row r="11" spans="1:7" x14ac:dyDescent="0.35">
      <c r="A11" s="2" t="s">
        <v>36</v>
      </c>
      <c r="B11" s="2">
        <v>25.5</v>
      </c>
      <c r="C11" s="2" t="s">
        <v>29</v>
      </c>
      <c r="D11" s="2">
        <v>79.25</v>
      </c>
      <c r="E11" s="2">
        <v>76.44</v>
      </c>
      <c r="F11" s="2">
        <v>35.130000000000003</v>
      </c>
      <c r="G11" s="2">
        <v>1.75</v>
      </c>
    </row>
    <row r="12" spans="1:7" x14ac:dyDescent="0.35">
      <c r="A12" s="2" t="s">
        <v>37</v>
      </c>
      <c r="B12" s="2">
        <v>30.3</v>
      </c>
      <c r="C12" s="2" t="s">
        <v>29</v>
      </c>
      <c r="D12" s="2">
        <v>2790.39</v>
      </c>
      <c r="E12" s="2">
        <v>712.45</v>
      </c>
      <c r="F12" s="2">
        <v>29.4</v>
      </c>
      <c r="G12" s="2">
        <v>0.38</v>
      </c>
    </row>
    <row r="13" spans="1:7" x14ac:dyDescent="0.35">
      <c r="A13" s="2" t="s">
        <v>38</v>
      </c>
      <c r="B13" s="2">
        <v>29.1</v>
      </c>
      <c r="C13" s="2" t="s">
        <v>29</v>
      </c>
      <c r="D13" s="2">
        <v>443.5</v>
      </c>
      <c r="E13" s="2">
        <v>143.91</v>
      </c>
      <c r="F13" s="2">
        <v>32.43</v>
      </c>
      <c r="G13" s="2">
        <v>0.59</v>
      </c>
    </row>
    <row r="14" spans="1:7" x14ac:dyDescent="0.35">
      <c r="A14" s="2" t="s">
        <v>39</v>
      </c>
      <c r="B14" s="2">
        <v>29</v>
      </c>
      <c r="C14" s="2" t="s">
        <v>29</v>
      </c>
      <c r="D14" s="2">
        <v>507.41</v>
      </c>
      <c r="E14" s="2">
        <v>139.54</v>
      </c>
      <c r="F14" s="2">
        <v>31.94</v>
      </c>
      <c r="G14" s="2">
        <v>0.41</v>
      </c>
    </row>
    <row r="15" spans="1:7" x14ac:dyDescent="0.35">
      <c r="A15" s="2" t="s">
        <v>40</v>
      </c>
      <c r="B15" s="2">
        <v>25.5</v>
      </c>
      <c r="C15" s="2" t="s">
        <v>29</v>
      </c>
      <c r="D15" s="2" t="s">
        <v>33</v>
      </c>
      <c r="E15" s="2" t="s">
        <v>33</v>
      </c>
      <c r="F15" s="2" t="s">
        <v>33</v>
      </c>
      <c r="G15" s="2" t="s">
        <v>33</v>
      </c>
    </row>
    <row r="16" spans="1:7" x14ac:dyDescent="0.35">
      <c r="A16" s="2" t="s">
        <v>41</v>
      </c>
      <c r="B16" s="2">
        <v>28.4</v>
      </c>
      <c r="C16" s="2" t="s">
        <v>29</v>
      </c>
      <c r="D16" s="2">
        <v>394.74</v>
      </c>
      <c r="E16" s="2">
        <v>66.260000000000005</v>
      </c>
      <c r="F16" s="2">
        <v>32.58</v>
      </c>
      <c r="G16" s="2">
        <v>0.27</v>
      </c>
    </row>
    <row r="17" spans="1:7" x14ac:dyDescent="0.35">
      <c r="A17" s="2" t="s">
        <v>42</v>
      </c>
      <c r="B17" s="2">
        <v>25.4</v>
      </c>
      <c r="C17" s="2" t="s">
        <v>29</v>
      </c>
      <c r="D17" s="2">
        <v>94466.6</v>
      </c>
      <c r="E17" s="2">
        <v>59792.68</v>
      </c>
      <c r="F17" s="2">
        <v>23.81</v>
      </c>
      <c r="G17" s="2">
        <v>1.56</v>
      </c>
    </row>
    <row r="18" spans="1:7" x14ac:dyDescent="0.35">
      <c r="A18" s="2" t="s">
        <v>43</v>
      </c>
      <c r="B18" s="2">
        <v>21.3</v>
      </c>
      <c r="C18" s="2" t="s">
        <v>29</v>
      </c>
      <c r="D18" s="2">
        <v>150.44999999999999</v>
      </c>
      <c r="E18" s="2">
        <v>9.8800000000000008</v>
      </c>
      <c r="F18" s="2">
        <v>33.71</v>
      </c>
      <c r="G18" s="2">
        <v>0.1</v>
      </c>
    </row>
    <row r="19" spans="1:7" x14ac:dyDescent="0.35">
      <c r="A19" s="2" t="s">
        <v>44</v>
      </c>
      <c r="B19" s="2">
        <v>25</v>
      </c>
      <c r="C19" s="2" t="s">
        <v>29</v>
      </c>
      <c r="D19" s="2">
        <v>922.2</v>
      </c>
      <c r="E19" s="2">
        <v>13.01</v>
      </c>
      <c r="F19" s="2">
        <v>31.02</v>
      </c>
      <c r="G19" s="2">
        <v>0.02</v>
      </c>
    </row>
    <row r="20" spans="1:7" x14ac:dyDescent="0.35">
      <c r="A20" s="2" t="s">
        <v>45</v>
      </c>
      <c r="B20" s="2">
        <v>28.8</v>
      </c>
      <c r="C20" s="2" t="s">
        <v>29</v>
      </c>
      <c r="D20" s="2">
        <v>3409092</v>
      </c>
      <c r="E20" s="2">
        <v>209830.05</v>
      </c>
      <c r="F20" s="2">
        <v>18.809999999999999</v>
      </c>
      <c r="G20" s="2">
        <v>0.09</v>
      </c>
    </row>
    <row r="21" spans="1:7" x14ac:dyDescent="0.35">
      <c r="A21" s="2" t="s">
        <v>46</v>
      </c>
      <c r="B21" s="2">
        <v>16.2</v>
      </c>
      <c r="C21" s="2" t="s">
        <v>29</v>
      </c>
      <c r="D21" s="2">
        <v>3592.68</v>
      </c>
      <c r="E21" s="2">
        <v>1440.96</v>
      </c>
      <c r="F21" s="2">
        <v>29.06</v>
      </c>
      <c r="G21" s="2">
        <v>0.61</v>
      </c>
    </row>
    <row r="22" spans="1:7" x14ac:dyDescent="0.35">
      <c r="A22" s="2" t="s">
        <v>47</v>
      </c>
      <c r="B22" s="2">
        <v>23.1</v>
      </c>
      <c r="C22" s="2" t="s">
        <v>29</v>
      </c>
      <c r="D22" s="2">
        <v>10732.58</v>
      </c>
      <c r="E22" s="2">
        <v>1665.99</v>
      </c>
      <c r="F22" s="2">
        <v>27.07</v>
      </c>
      <c r="G22" s="2">
        <v>0.25</v>
      </c>
    </row>
    <row r="23" spans="1:7" x14ac:dyDescent="0.35">
      <c r="A23" s="2" t="s">
        <v>48</v>
      </c>
      <c r="B23" s="2">
        <v>21</v>
      </c>
      <c r="C23" s="2" t="s">
        <v>29</v>
      </c>
      <c r="D23" s="2">
        <v>423.41</v>
      </c>
      <c r="E23" s="2">
        <v>287.05</v>
      </c>
      <c r="F23" s="2">
        <v>32.369999999999997</v>
      </c>
      <c r="G23" s="2">
        <v>1.1000000000000001</v>
      </c>
    </row>
    <row r="24" spans="1:7" x14ac:dyDescent="0.35">
      <c r="A24" s="2" t="s">
        <v>49</v>
      </c>
      <c r="B24" s="2">
        <v>27.8</v>
      </c>
      <c r="C24" s="2" t="s">
        <v>29</v>
      </c>
      <c r="D24" s="2">
        <v>1143.3900000000001</v>
      </c>
      <c r="E24" s="2">
        <v>526.97</v>
      </c>
      <c r="F24" s="2">
        <v>30.78</v>
      </c>
      <c r="G24" s="2">
        <v>0.71</v>
      </c>
    </row>
    <row r="25" spans="1:7" x14ac:dyDescent="0.35">
      <c r="A25" s="2" t="s">
        <v>50</v>
      </c>
      <c r="B25" s="2">
        <v>26.4</v>
      </c>
      <c r="C25" s="2" t="s">
        <v>29</v>
      </c>
      <c r="D25" s="2">
        <v>518.34</v>
      </c>
      <c r="E25" s="2">
        <v>59.04</v>
      </c>
      <c r="F25" s="2">
        <v>31.88</v>
      </c>
      <c r="G25" s="2">
        <v>0.17</v>
      </c>
    </row>
    <row r="26" spans="1:7" x14ac:dyDescent="0.35">
      <c r="A26" s="2" t="s">
        <v>51</v>
      </c>
      <c r="B26" s="2">
        <v>26.6</v>
      </c>
      <c r="C26" s="2" t="s">
        <v>29</v>
      </c>
      <c r="D26" s="2">
        <v>396.06</v>
      </c>
      <c r="E26" s="2">
        <v>115.64</v>
      </c>
      <c r="F26" s="2">
        <v>32.31</v>
      </c>
      <c r="G26" s="2">
        <v>0.44</v>
      </c>
    </row>
    <row r="27" spans="1:7" x14ac:dyDescent="0.35">
      <c r="A27" s="2" t="s">
        <v>52</v>
      </c>
      <c r="B27" s="2">
        <v>29.9</v>
      </c>
      <c r="C27" s="2" t="s">
        <v>29</v>
      </c>
      <c r="D27" s="2">
        <v>708.27</v>
      </c>
      <c r="E27" s="2">
        <v>58.85</v>
      </c>
      <c r="F27" s="2">
        <v>31.59</v>
      </c>
      <c r="G27" s="2">
        <v>0.14000000000000001</v>
      </c>
    </row>
    <row r="28" spans="1:7" x14ac:dyDescent="0.35">
      <c r="A28" s="2" t="s">
        <v>53</v>
      </c>
      <c r="B28" s="2">
        <v>27.6</v>
      </c>
      <c r="C28" s="2" t="s">
        <v>29</v>
      </c>
      <c r="D28" s="2">
        <v>467.79</v>
      </c>
      <c r="E28" s="2">
        <v>343.03</v>
      </c>
      <c r="F28" s="2">
        <v>32.26</v>
      </c>
      <c r="G28" s="2">
        <v>1.21</v>
      </c>
    </row>
    <row r="29" spans="1:7" x14ac:dyDescent="0.35">
      <c r="A29" s="2" t="s">
        <v>54</v>
      </c>
      <c r="B29" s="2">
        <v>27.4</v>
      </c>
      <c r="C29" s="2" t="s">
        <v>29</v>
      </c>
      <c r="D29" s="2" t="s">
        <v>33</v>
      </c>
      <c r="E29" s="2" t="s">
        <v>33</v>
      </c>
      <c r="F29" s="2" t="s">
        <v>33</v>
      </c>
      <c r="G29" s="2" t="s">
        <v>33</v>
      </c>
    </row>
    <row r="30" spans="1:7" x14ac:dyDescent="0.35">
      <c r="A30" s="2" t="s">
        <v>55</v>
      </c>
      <c r="B30" s="2">
        <v>29.7</v>
      </c>
      <c r="C30" s="2" t="s">
        <v>29</v>
      </c>
      <c r="D30" s="2" t="s">
        <v>33</v>
      </c>
      <c r="E30" s="2" t="s">
        <v>33</v>
      </c>
      <c r="F30" s="2" t="s">
        <v>33</v>
      </c>
      <c r="G30" s="2" t="s">
        <v>33</v>
      </c>
    </row>
    <row r="31" spans="1:7" x14ac:dyDescent="0.35">
      <c r="A31" s="2" t="s">
        <v>56</v>
      </c>
      <c r="B31" s="2">
        <v>23.4</v>
      </c>
      <c r="C31" s="2" t="s">
        <v>29</v>
      </c>
      <c r="D31" s="2">
        <v>2748.61</v>
      </c>
      <c r="E31" s="2">
        <v>586.66999999999996</v>
      </c>
      <c r="F31" s="2">
        <v>29.41</v>
      </c>
      <c r="G31" s="2">
        <v>0.32</v>
      </c>
    </row>
    <row r="32" spans="1:7" x14ac:dyDescent="0.35">
      <c r="A32" s="2" t="s">
        <v>57</v>
      </c>
      <c r="B32" s="2">
        <v>27</v>
      </c>
      <c r="C32" s="2" t="s">
        <v>29</v>
      </c>
      <c r="D32" s="2">
        <v>1388.85</v>
      </c>
      <c r="E32" s="2">
        <v>145.01</v>
      </c>
      <c r="F32" s="2">
        <v>30.41</v>
      </c>
      <c r="G32" s="2">
        <v>0.16</v>
      </c>
    </row>
    <row r="33" spans="1:7" x14ac:dyDescent="0.35">
      <c r="A33" s="2" t="s">
        <v>58</v>
      </c>
      <c r="B33" s="2">
        <v>18.600000000000001</v>
      </c>
      <c r="C33" s="2" t="s">
        <v>29</v>
      </c>
      <c r="D33" s="2">
        <v>382.7</v>
      </c>
      <c r="E33" s="2">
        <v>51.17</v>
      </c>
      <c r="F33" s="2">
        <v>32.33</v>
      </c>
      <c r="G33" s="2">
        <v>0.2</v>
      </c>
    </row>
    <row r="34" spans="1:7" x14ac:dyDescent="0.35">
      <c r="A34" s="2" t="s">
        <v>59</v>
      </c>
      <c r="B34" s="2">
        <v>25</v>
      </c>
      <c r="C34" s="2" t="s">
        <v>29</v>
      </c>
      <c r="D34" s="2">
        <v>720.79</v>
      </c>
      <c r="E34" s="2">
        <v>201.87</v>
      </c>
      <c r="F34" s="2">
        <v>31.41</v>
      </c>
      <c r="G34" s="2">
        <v>0.42</v>
      </c>
    </row>
    <row r="35" spans="1:7" x14ac:dyDescent="0.35">
      <c r="A35" s="2" t="s">
        <v>60</v>
      </c>
      <c r="B35" s="2">
        <v>30</v>
      </c>
      <c r="C35" s="2" t="s">
        <v>29</v>
      </c>
      <c r="D35" s="2">
        <v>13813765</v>
      </c>
      <c r="E35" s="2">
        <v>299322.62</v>
      </c>
      <c r="F35" s="2">
        <v>16.850000000000001</v>
      </c>
      <c r="G35" s="2">
        <v>0.04</v>
      </c>
    </row>
    <row r="36" spans="1:7" x14ac:dyDescent="0.35">
      <c r="A36" s="2" t="s">
        <v>61</v>
      </c>
      <c r="B36" s="2">
        <v>30</v>
      </c>
      <c r="C36" s="2" t="s">
        <v>29</v>
      </c>
      <c r="D36" s="2">
        <v>1668284.5</v>
      </c>
      <c r="E36" s="2">
        <v>87994.18</v>
      </c>
      <c r="F36" s="2">
        <v>20.75</v>
      </c>
      <c r="G36" s="2">
        <v>0.1</v>
      </c>
    </row>
    <row r="37" spans="1:7" x14ac:dyDescent="0.35">
      <c r="A37" s="2" t="s">
        <v>63</v>
      </c>
      <c r="B37" s="2">
        <v>30</v>
      </c>
      <c r="C37" s="2" t="s">
        <v>29</v>
      </c>
      <c r="D37" s="2">
        <v>386747.72</v>
      </c>
      <c r="E37" s="2">
        <v>66131.210000000006</v>
      </c>
      <c r="F37" s="2">
        <v>23.46</v>
      </c>
      <c r="G37" s="2">
        <v>0.31</v>
      </c>
    </row>
    <row r="38" spans="1:7" x14ac:dyDescent="0.35">
      <c r="A38" s="2" t="s">
        <v>65</v>
      </c>
      <c r="B38" s="2">
        <v>30</v>
      </c>
      <c r="C38" s="2" t="s">
        <v>29</v>
      </c>
      <c r="D38" s="2">
        <v>8741229</v>
      </c>
      <c r="E38" s="2">
        <v>1019141.3</v>
      </c>
      <c r="F38" s="2">
        <v>17.7</v>
      </c>
      <c r="G38" s="2">
        <v>0.21</v>
      </c>
    </row>
    <row r="39" spans="1:7" x14ac:dyDescent="0.35">
      <c r="A39" s="2" t="s">
        <v>66</v>
      </c>
      <c r="B39" s="2">
        <v>30</v>
      </c>
      <c r="C39" s="2" t="s">
        <v>29</v>
      </c>
      <c r="D39" s="2">
        <v>23493094</v>
      </c>
      <c r="E39" s="2">
        <v>2479077.75</v>
      </c>
      <c r="F39" s="2">
        <v>15.88</v>
      </c>
      <c r="G39" s="2">
        <v>0.19</v>
      </c>
    </row>
  </sheetData>
  <mergeCells count="2">
    <mergeCell ref="A2:G3"/>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Inventory</vt:lpstr>
      <vt:lpstr>SHERLOCK Pred. clean (drc-ll.4)</vt:lpstr>
      <vt:lpstr>SHERLOCK Prediction (drc-ll.4)</vt:lpstr>
      <vt:lpstr>SHERLOCK Pred. clean (CT-BC)</vt:lpstr>
      <vt:lpstr>SHERLOCK Prediction (CT-BC)</vt:lpstr>
      <vt:lpstr>Tech Rep Data - 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Major</dc:creator>
  <cp:lastModifiedBy>Shelly Trigg</cp:lastModifiedBy>
  <cp:lastPrinted>2022-03-15T17:08:36Z</cp:lastPrinted>
  <dcterms:created xsi:type="dcterms:W3CDTF">2020-11-24T15:55:39Z</dcterms:created>
  <dcterms:modified xsi:type="dcterms:W3CDTF">2022-06-20T21:03:54Z</dcterms:modified>
</cp:coreProperties>
</file>