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aron\Desktop\大學修課\基物實\phys_exp6\"/>
    </mc:Choice>
  </mc:AlternateContent>
  <xr:revisionPtr revIDLastSave="0" documentId="13_ncr:1_{2EB7375D-8A70-4A75-A4B6-CE2D0CA8BBEB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9" i="1"/>
  <c r="J18" i="1" s="1"/>
  <c r="J16" i="1"/>
  <c r="D19" i="1"/>
  <c r="H22" i="1"/>
  <c r="H21" i="1"/>
  <c r="H20" i="1"/>
  <c r="H16" i="1"/>
  <c r="D18" i="1"/>
  <c r="D15" i="1"/>
  <c r="H17" i="1"/>
  <c r="G20" i="1"/>
  <c r="G21" i="1"/>
  <c r="G22" i="1"/>
  <c r="F21" i="1"/>
  <c r="F22" i="1"/>
  <c r="F20" i="1"/>
  <c r="B19" i="1"/>
  <c r="B18" i="1"/>
  <c r="C18" i="1" s="1"/>
  <c r="H18" i="1"/>
  <c r="C20" i="1"/>
  <c r="B17" i="1"/>
  <c r="C15" i="1"/>
  <c r="H9" i="1"/>
  <c r="H10" i="1"/>
  <c r="H11" i="1"/>
  <c r="B10" i="1"/>
  <c r="B11" i="1" s="1"/>
  <c r="C8" i="1"/>
  <c r="C1" i="1"/>
  <c r="C6" i="1"/>
  <c r="B3" i="1"/>
  <c r="B4" i="1" s="1"/>
  <c r="B5" i="1" s="1"/>
  <c r="N22" i="1" l="1"/>
  <c r="O22" i="1"/>
  <c r="N20" i="1"/>
  <c r="M20" i="1"/>
  <c r="L20" i="1"/>
  <c r="J17" i="1"/>
  <c r="P16" i="1" s="1" a="1"/>
  <c r="P16" i="1" s="1"/>
  <c r="L22" i="1"/>
  <c r="M22" i="1"/>
  <c r="Q22" i="1"/>
  <c r="T22" i="1"/>
  <c r="S22" i="1"/>
  <c r="O21" i="1"/>
  <c r="O20" i="1"/>
  <c r="J20" i="1"/>
  <c r="J21" i="1"/>
  <c r="J22" i="1"/>
  <c r="N21" i="1"/>
  <c r="I16" i="1"/>
  <c r="B12" i="1"/>
  <c r="C11" i="1"/>
  <c r="I17" i="1" s="1"/>
  <c r="C4" i="1"/>
  <c r="C5" i="1" s="1"/>
  <c r="I2" i="1" s="1"/>
  <c r="R22" i="1" l="1"/>
  <c r="L21" i="1"/>
  <c r="T21" i="1" s="1"/>
  <c r="M21" i="1"/>
  <c r="Q20" i="1"/>
  <c r="S20" i="1"/>
  <c r="R20" i="1"/>
  <c r="T20" i="1"/>
  <c r="I4" i="1"/>
  <c r="I3" i="1"/>
  <c r="I11" i="1"/>
  <c r="I18" i="1"/>
  <c r="I9" i="1"/>
  <c r="I10" i="1"/>
  <c r="R21" i="1" l="1"/>
  <c r="Q21" i="1"/>
  <c r="S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<sst xmlns="http://schemas.openxmlformats.org/spreadsheetml/2006/main" count="33" uniqueCount="13">
  <si>
    <t>d1</t>
    <phoneticPr fontId="1" type="noConversion"/>
  </si>
  <si>
    <t>d2</t>
    <phoneticPr fontId="1" type="noConversion"/>
  </si>
  <si>
    <t>A</t>
    <phoneticPr fontId="1" type="noConversion"/>
  </si>
  <si>
    <t>T</t>
    <phoneticPr fontId="1" type="noConversion"/>
  </si>
  <si>
    <t>m</t>
    <phoneticPr fontId="1" type="noConversion"/>
  </si>
  <si>
    <t>l</t>
    <phoneticPr fontId="1" type="noConversion"/>
  </si>
  <si>
    <t>K</t>
    <phoneticPr fontId="1" type="noConversion"/>
  </si>
  <si>
    <t>t</t>
    <phoneticPr fontId="1" type="noConversion"/>
  </si>
  <si>
    <t>h(cm)</t>
    <phoneticPr fontId="1" type="noConversion"/>
  </si>
  <si>
    <t>dave(cm)</t>
    <phoneticPr fontId="1" type="noConversion"/>
  </si>
  <si>
    <t>m_i</t>
    <phoneticPr fontId="1" type="noConversion"/>
  </si>
  <si>
    <t>m_f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</si>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</sst>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0.000000"/>
    <numFmt numFmtId="186" formatCode="0.000000_);[Red]\(0.000000\)"/>
    <numFmt numFmtId="188" formatCode="0.00000"/>
    <numFmt numFmtId="189" formatCode="0.0%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/>
    <xf numFmtId="11" fontId="0" fillId="0" borderId="5" xfId="0" applyNumberFormat="1" applyBorder="1"/>
    <xf numFmtId="180" fontId="0" fillId="0" borderId="0" xfId="0" applyNumberFormat="1"/>
    <xf numFmtId="186" fontId="0" fillId="0" borderId="0" xfId="0" applyNumberFormat="1"/>
    <xf numFmtId="188" fontId="0" fillId="0" borderId="0" xfId="0" applyNumberFormat="1"/>
    <xf numFmtId="189" fontId="0" fillId="0" borderId="0" xfId="1" applyNumberFormat="1" applyFont="1" applyAlignme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532742782152232"/>
                  <c:y val="0.18416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Sheet1!$J$20:$J$22</c:f>
                <c:numCache>
                  <c:formatCode>General</c:formatCode>
                  <c:ptCount val="3"/>
                  <c:pt idx="0">
                    <c:v>1.1861435846986272E-4</c:v>
                  </c:pt>
                  <c:pt idx="1">
                    <c:v>1.0603678193831728E-4</c:v>
                  </c:pt>
                  <c:pt idx="2">
                    <c:v>1.8823563157065781E-4</c:v>
                  </c:pt>
                </c:numCache>
              </c:numRef>
            </c:plus>
            <c:minus>
              <c:numRef>
                <c:f>Sheet1!$J$20:$J$22</c:f>
                <c:numCache>
                  <c:formatCode>General</c:formatCode>
                  <c:ptCount val="3"/>
                  <c:pt idx="0">
                    <c:v>1.1861435846986272E-4</c:v>
                  </c:pt>
                  <c:pt idx="1">
                    <c:v>1.0603678193831728E-4</c:v>
                  </c:pt>
                  <c:pt idx="2">
                    <c:v>1.8823563157065781E-4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Sheet1!$H$20:$H$22</c:f>
                <c:numCache>
                  <c:formatCode>General</c:formatCode>
                  <c:ptCount val="3"/>
                  <c:pt idx="0">
                    <c:v>1.4433756729740646E-5</c:v>
                  </c:pt>
                  <c:pt idx="1">
                    <c:v>1.4433756729740646E-5</c:v>
                  </c:pt>
                  <c:pt idx="2">
                    <c:v>1.4433756729740646E-5</c:v>
                  </c:pt>
                </c:numCache>
              </c:numRef>
            </c:plus>
            <c:minus>
              <c:numRef>
                <c:f>Sheet1!$H$20:$H$22</c:f>
                <c:numCache>
                  <c:formatCode>General</c:formatCode>
                  <c:ptCount val="3"/>
                  <c:pt idx="0">
                    <c:v>1.4433756729740646E-5</c:v>
                  </c:pt>
                  <c:pt idx="1">
                    <c:v>1.4433756729740646E-5</c:v>
                  </c:pt>
                  <c:pt idx="2">
                    <c:v>1.4433756729740646E-5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Sheet1!$J$16:$J$18</c:f>
              <c:numCache>
                <c:formatCode>0.00000</c:formatCode>
                <c:ptCount val="3"/>
                <c:pt idx="0">
                  <c:v>1.4179074539192456E-2</c:v>
                </c:pt>
                <c:pt idx="1">
                  <c:v>1.2153492462164963E-2</c:v>
                </c:pt>
                <c:pt idx="2">
                  <c:v>2.4675272574698561E-2</c:v>
                </c:pt>
              </c:numCache>
            </c:numRef>
          </c:xVal>
          <c:yVal>
            <c:numRef>
              <c:f>Sheet1!$H$16:$H$18</c:f>
              <c:numCache>
                <c:formatCode>0.000000</c:formatCode>
                <c:ptCount val="3"/>
                <c:pt idx="0">
                  <c:v>1.8637500000000001E-2</c:v>
                </c:pt>
                <c:pt idx="1">
                  <c:v>1.6149999999999998E-2</c:v>
                </c:pt>
                <c:pt idx="2">
                  <c:v>3.2750000000000001E-2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39-4E0F-8CD1-ABC6A9642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053743"/>
        <c:axId val="1773052303"/>
      </c:scatterChart>
      <c:valAx>
        <c:axId val="177305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3052303"/>
        <c:crosses val="autoZero"/>
        <c:crossBetween val="midCat"/>
      </c:valAx>
      <c:valAx>
        <c:axId val="177305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305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578303</xdr:colOff>
      <xdr:row>30</xdr:row>
      <xdr:rowOff>95249</xdr:rowOff>
    </xdr:from>
    <xdr:to>
      <xdr:col>9</xdr:col>
      <xdr:colOff>34017</xdr:colOff>
      <xdr:row>42</xdr:row>
      <xdr:rowOff>176893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9FE043B-328D-5082-FCDD-68E3DFA62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zoomScale="70" zoomScaleNormal="70" workbookViewId="0">
      <selection activeCell="C12" sqref="C12"/>
    </sheetView>
  </sheetViews>
  <sheetFormatPr defaultRowHeight="15" x14ac:dyDescent="0.45"/>
  <cols>
    <col min="4" max="4" width="12.5703125" bestFit="1" customWidth="1"/>
    <col min="8" max="8" width="12.5703125" bestFit="1" customWidth="1"/>
    <col min="12" max="13" width="12.7109375" bestFit="1" customWidth="1"/>
    <col min="14" max="15" width="11.78515625" bestFit="1" customWidth="1"/>
  </cols>
  <sheetData>
    <row r="1" spans="1:17" x14ac:dyDescent="0.45">
      <c r="A1" t="s">
        <v>8</v>
      </c>
      <c r="B1">
        <v>0.5</v>
      </c>
      <c r="C1">
        <f>0.005</f>
        <v>5.0000000000000001E-3</v>
      </c>
      <c r="F1" t="s">
        <v>7</v>
      </c>
      <c r="G1" t="s">
        <v>3</v>
      </c>
      <c r="H1" t="s">
        <v>4</v>
      </c>
      <c r="I1" t="s">
        <v>6</v>
      </c>
    </row>
    <row r="2" spans="1:17" x14ac:dyDescent="0.45">
      <c r="A2" t="s">
        <v>0</v>
      </c>
      <c r="B2">
        <v>86</v>
      </c>
      <c r="F2" s="1">
        <v>120</v>
      </c>
      <c r="G2">
        <v>57.6</v>
      </c>
      <c r="H2">
        <v>2.3599999999999999E-2</v>
      </c>
      <c r="I2">
        <f>C$1*H2*C$6/C$5/G2/F2</f>
        <v>1.045515102668946</v>
      </c>
    </row>
    <row r="3" spans="1:17" x14ac:dyDescent="0.45">
      <c r="A3" t="s">
        <v>1</v>
      </c>
      <c r="B3">
        <f>86-5.2</f>
        <v>80.8</v>
      </c>
      <c r="F3">
        <v>60</v>
      </c>
      <c r="G3">
        <v>56.4</v>
      </c>
      <c r="H3">
        <v>1.3299999999999999E-2</v>
      </c>
      <c r="I3">
        <f>C$1*H3*C$6/C$5/G3/F3</f>
        <v>1.2034923215720432</v>
      </c>
    </row>
    <row r="4" spans="1:17" x14ac:dyDescent="0.45">
      <c r="A4" t="s">
        <v>9</v>
      </c>
      <c r="B4">
        <f>AVERAGE(B2:B3)/10</f>
        <v>8.34</v>
      </c>
      <c r="C4">
        <f>B4/100</f>
        <v>8.3400000000000002E-2</v>
      </c>
      <c r="F4">
        <v>180</v>
      </c>
      <c r="G4">
        <v>60.5</v>
      </c>
      <c r="H4">
        <v>3.1199999999999999E-2</v>
      </c>
      <c r="I4">
        <f>C$1*H4*C$6/C$5/G4/F4</f>
        <v>0.8773012566225038</v>
      </c>
    </row>
    <row r="5" spans="1:17" x14ac:dyDescent="0.45">
      <c r="A5" t="s">
        <v>2</v>
      </c>
      <c r="B5">
        <f>B4^2*PI()/4</f>
        <v>54.628840494007555</v>
      </c>
      <c r="C5">
        <f>C4^2*PI()/4</f>
        <v>5.4628840494007555E-3</v>
      </c>
    </row>
    <row r="6" spans="1:17" x14ac:dyDescent="0.45">
      <c r="A6" t="s">
        <v>5</v>
      </c>
      <c r="B6">
        <v>80</v>
      </c>
      <c r="C6">
        <f>B6*4.182/0.001</f>
        <v>334560.00000000006</v>
      </c>
    </row>
    <row r="8" spans="1:17" x14ac:dyDescent="0.45">
      <c r="A8" t="s">
        <v>8</v>
      </c>
      <c r="B8">
        <v>0.5</v>
      </c>
      <c r="C8">
        <f>0.005</f>
        <v>5.0000000000000001E-3</v>
      </c>
      <c r="F8" t="s">
        <v>7</v>
      </c>
      <c r="G8" t="s">
        <v>3</v>
      </c>
      <c r="H8" t="s">
        <v>4</v>
      </c>
      <c r="I8" t="s">
        <v>6</v>
      </c>
    </row>
    <row r="9" spans="1:17" x14ac:dyDescent="0.45">
      <c r="A9" t="s">
        <v>0</v>
      </c>
      <c r="B9">
        <v>80.900000000000006</v>
      </c>
      <c r="F9" s="1">
        <v>70</v>
      </c>
      <c r="G9">
        <v>38</v>
      </c>
      <c r="H9">
        <f>N9-L9</f>
        <v>6.7999999999999996E-3</v>
      </c>
      <c r="I9">
        <f>C$1*H9*C$6/C$12/G9/F9</f>
        <v>0.83295466732641366</v>
      </c>
      <c r="L9">
        <v>7.0499999999999998E-3</v>
      </c>
      <c r="N9">
        <v>1.3849999999999999E-2</v>
      </c>
    </row>
    <row r="10" spans="1:17" x14ac:dyDescent="0.45">
      <c r="A10" t="s">
        <v>1</v>
      </c>
      <c r="B10">
        <f>86-5.2</f>
        <v>80.8</v>
      </c>
      <c r="F10">
        <v>60</v>
      </c>
      <c r="G10">
        <v>39</v>
      </c>
      <c r="H10">
        <f>N10-L10</f>
        <v>6.5099999999999993E-3</v>
      </c>
      <c r="I10">
        <f>C$1*H10*C$6/C$12/G10/F10</f>
        <v>0.90648207593165986</v>
      </c>
      <c r="L10">
        <v>7.0499999999999998E-3</v>
      </c>
      <c r="N10">
        <v>1.3559999999999999E-2</v>
      </c>
    </row>
    <row r="11" spans="1:17" x14ac:dyDescent="0.45">
      <c r="A11" t="s">
        <v>9</v>
      </c>
      <c r="B11">
        <f>AVERAGE(B9:B10)/10</f>
        <v>8.0849999999999991</v>
      </c>
      <c r="C11">
        <f>B11/100</f>
        <v>8.0849999999999991E-2</v>
      </c>
      <c r="F11">
        <v>70</v>
      </c>
      <c r="G11">
        <v>43</v>
      </c>
      <c r="H11">
        <f>N11-L11</f>
        <v>7.4500000000000009E-3</v>
      </c>
      <c r="I11">
        <f>C$1*H11*C$6/C$12/G11/F11</f>
        <v>0.80646192311938347</v>
      </c>
      <c r="L11">
        <v>7.0499999999999998E-3</v>
      </c>
      <c r="N11">
        <v>1.4500000000000001E-2</v>
      </c>
    </row>
    <row r="12" spans="1:17" x14ac:dyDescent="0.45">
      <c r="A12" t="s">
        <v>2</v>
      </c>
      <c r="B12">
        <f>B11^2*PI()/4</f>
        <v>51.339298461387756</v>
      </c>
      <c r="C12">
        <f>C11^2*PI()/4</f>
        <v>5.133929846138776E-3</v>
      </c>
    </row>
    <row r="13" spans="1:17" x14ac:dyDescent="0.45">
      <c r="A13" t="s">
        <v>5</v>
      </c>
      <c r="B13">
        <v>80</v>
      </c>
      <c r="C13">
        <f>B13*4.182/0.001</f>
        <v>334560.00000000006</v>
      </c>
    </row>
    <row r="15" spans="1:17" x14ac:dyDescent="0.45">
      <c r="A15" s="2" t="s">
        <v>8</v>
      </c>
      <c r="B15" s="3">
        <v>0.5</v>
      </c>
      <c r="C15" s="3">
        <f>0.005</f>
        <v>5.0000000000000001E-3</v>
      </c>
      <c r="D15" s="3">
        <f>0.0001/SQRT(12)</f>
        <v>2.8867513459481293E-5</v>
      </c>
      <c r="E15" s="3"/>
      <c r="F15" s="3" t="s">
        <v>7</v>
      </c>
      <c r="G15" s="3" t="s">
        <v>3</v>
      </c>
      <c r="H15" s="3" t="s">
        <v>4</v>
      </c>
      <c r="I15" s="3" t="s">
        <v>6</v>
      </c>
      <c r="J15" s="3" t="s">
        <v>12</v>
      </c>
      <c r="K15" s="3"/>
      <c r="L15" s="3" t="s">
        <v>10</v>
      </c>
      <c r="M15" s="3"/>
      <c r="N15" s="4" t="s">
        <v>11</v>
      </c>
    </row>
    <row r="16" spans="1:17" x14ac:dyDescent="0.45">
      <c r="A16" s="5" t="s">
        <v>0</v>
      </c>
      <c r="B16">
        <v>80.900000000000006</v>
      </c>
      <c r="F16" s="1">
        <v>70</v>
      </c>
      <c r="G16">
        <v>66</v>
      </c>
      <c r="H16" s="12">
        <f>(N16-L16)*1.05</f>
        <v>1.8637500000000001E-2</v>
      </c>
      <c r="I16">
        <f>C$1*H16*C$6/C$12/G16/F16</f>
        <v>1.314436985889593</v>
      </c>
      <c r="J16" s="14">
        <f>G16/$C$15/$C$20*F16*$C$19</f>
        <v>1.4179074539192456E-2</v>
      </c>
      <c r="L16">
        <v>6.7499999999999999E-3</v>
      </c>
      <c r="N16" s="6">
        <v>2.4500000000000001E-2</v>
      </c>
      <c r="P16" cm="1">
        <f t="array" ref="P16:Q16">LINEST(H16:H18,J16:J18)</f>
        <v>1.3318709797472694</v>
      </c>
      <c r="Q16">
        <v>-1.3278709031774166E-4</v>
      </c>
    </row>
    <row r="17" spans="1:20" x14ac:dyDescent="0.45">
      <c r="A17" s="5" t="s">
        <v>1</v>
      </c>
      <c r="B17">
        <f>86-5.2</f>
        <v>80.8</v>
      </c>
      <c r="F17">
        <v>60</v>
      </c>
      <c r="G17">
        <v>66</v>
      </c>
      <c r="H17" s="12">
        <f>N17-L17</f>
        <v>1.6149999999999998E-2</v>
      </c>
      <c r="I17">
        <f>C$1*H17*C$6/C$12/G17/F17</f>
        <v>1.3288361390996506</v>
      </c>
      <c r="J17" s="14">
        <f t="shared" ref="J17:J18" si="0">G17/$C$15/$C$20*F17*$C$19</f>
        <v>1.2153492462164963E-2</v>
      </c>
      <c r="L17">
        <v>7.0099999999999996E-2</v>
      </c>
      <c r="N17" s="6">
        <v>8.6249999999999993E-2</v>
      </c>
    </row>
    <row r="18" spans="1:20" x14ac:dyDescent="0.45">
      <c r="A18" s="5" t="s">
        <v>9</v>
      </c>
      <c r="B18">
        <f>AVERAGE(B16:B17)/10</f>
        <v>8.0849999999999991</v>
      </c>
      <c r="C18">
        <f>B18/100</f>
        <v>8.0849999999999991E-2</v>
      </c>
      <c r="D18">
        <f>0.0001/SQRT(12)</f>
        <v>2.8867513459481293E-5</v>
      </c>
      <c r="F18">
        <v>120</v>
      </c>
      <c r="G18">
        <v>67</v>
      </c>
      <c r="H18" s="12">
        <f>N18-L18</f>
        <v>3.2750000000000001E-2</v>
      </c>
      <c r="I18">
        <f>C$1*H18*C$6/C$12/G18/F18</f>
        <v>1.3272396445006684</v>
      </c>
      <c r="J18" s="14">
        <f t="shared" si="0"/>
        <v>2.4675272574698561E-2</v>
      </c>
      <c r="L18">
        <v>7.0099999999999996E-2</v>
      </c>
      <c r="N18" s="6">
        <v>0.10285</v>
      </c>
    </row>
    <row r="19" spans="1:20" x14ac:dyDescent="0.45">
      <c r="A19" s="5" t="s">
        <v>2</v>
      </c>
      <c r="B19">
        <f>B18^2*PI()/4</f>
        <v>51.339298461387756</v>
      </c>
      <c r="C19">
        <f>C18^2*PI()/4</f>
        <v>5.133929846138776E-3</v>
      </c>
      <c r="D19">
        <f>C18*PI()/2*D18</f>
        <v>3.6661419649584132E-6</v>
      </c>
      <c r="N19" s="6"/>
    </row>
    <row r="20" spans="1:20" x14ac:dyDescent="0.45">
      <c r="A20" s="5" t="s">
        <v>5</v>
      </c>
      <c r="B20">
        <v>80</v>
      </c>
      <c r="C20">
        <f>B20*4.182/0.001</f>
        <v>334560.00000000006</v>
      </c>
      <c r="F20">
        <f>1/SQRT(12)</f>
        <v>0.28867513459481292</v>
      </c>
      <c r="G20">
        <f>1/SQRT(12)</f>
        <v>0.28867513459481292</v>
      </c>
      <c r="H20" s="13">
        <f>0.00005/SQRT(12)</f>
        <v>1.4433756729740646E-5</v>
      </c>
      <c r="J20">
        <f>SQRT(SUMSQ(J16/G16*G20,J16/F16*F20,J16/$C$15*$D$15,J16*$D$19/$C$19))</f>
        <v>1.1861435846986272E-4</v>
      </c>
      <c r="L20" s="10">
        <f>J16/G16*G20</f>
        <v>6.2017367439867689E-5</v>
      </c>
      <c r="M20" s="10">
        <f>J16/F16*F20</f>
        <v>5.8473517871875246E-5</v>
      </c>
      <c r="N20" s="11">
        <f>J16/$C$15*$D$15</f>
        <v>8.1862925020625347E-5</v>
      </c>
      <c r="O20" s="10">
        <f>J16*$D$19/$C$19</f>
        <v>1.01252844799784E-5</v>
      </c>
      <c r="Q20" s="15">
        <f>L20^2/SUMSQ($L20:$O20)</f>
        <v>0.27337080111102635</v>
      </c>
      <c r="R20" s="15">
        <f t="shared" ref="R20:T22" si="1">M20^2/SUMSQ($L20:$O20)</f>
        <v>0.24302106319176134</v>
      </c>
      <c r="S20" s="15">
        <f t="shared" si="1"/>
        <v>0.47632128385585226</v>
      </c>
      <c r="T20" s="15">
        <f t="shared" si="1"/>
        <v>7.2868518413601374E-3</v>
      </c>
    </row>
    <row r="21" spans="1:20" x14ac:dyDescent="0.45">
      <c r="A21" s="5"/>
      <c r="F21">
        <f t="shared" ref="F21:G22" si="2">1/SQRT(12)</f>
        <v>0.28867513459481292</v>
      </c>
      <c r="G21">
        <f t="shared" si="2"/>
        <v>0.28867513459481292</v>
      </c>
      <c r="H21" s="13">
        <f>0.00005/SQRT(12)</f>
        <v>1.4433756729740646E-5</v>
      </c>
      <c r="J21">
        <f>SQRT(SUMSQ(J17/G17*G21,J17/F17*F21,J17/$C$15*$D$15,J17*$D$19/$C$19))</f>
        <v>1.0603678193831728E-4</v>
      </c>
      <c r="L21" s="10">
        <f>J17/G17*G21</f>
        <v>5.3157743519886589E-5</v>
      </c>
      <c r="M21" s="10">
        <f>J17/F17*F21</f>
        <v>5.8473517871875246E-5</v>
      </c>
      <c r="N21" s="11">
        <f t="shared" ref="N21:N22" si="3">J17/$C$15*$D$15</f>
        <v>7.0168221446250304E-5</v>
      </c>
      <c r="O21" s="10">
        <f t="shared" ref="O21:O22" si="4">J17*$D$19/$C$19</f>
        <v>8.678815268552914E-6</v>
      </c>
      <c r="Q21" s="15">
        <f t="shared" ref="Q21:Q22" si="5">L21^2/SUMSQ($L21:$O21)</f>
        <v>0.25131591777872647</v>
      </c>
      <c r="R21" s="15">
        <f t="shared" si="1"/>
        <v>0.30409226051225902</v>
      </c>
      <c r="S21" s="15">
        <f t="shared" si="1"/>
        <v>0.43789285513765308</v>
      </c>
      <c r="T21" s="15">
        <f t="shared" si="1"/>
        <v>6.698966571361307E-3</v>
      </c>
    </row>
    <row r="22" spans="1:20" x14ac:dyDescent="0.45">
      <c r="A22" s="5"/>
      <c r="F22">
        <f t="shared" si="2"/>
        <v>0.28867513459481292</v>
      </c>
      <c r="G22">
        <f t="shared" si="2"/>
        <v>0.28867513459481292</v>
      </c>
      <c r="H22" s="13">
        <f>0.00005/SQRT(12)</f>
        <v>1.4433756729740646E-5</v>
      </c>
      <c r="J22">
        <f>SQRT(SUMSQ(J18/G18*G22,J18/F18*F22,J18/$C$15*$D$15,J18*$D$19/$C$19))</f>
        <v>1.8823563157065781E-4</v>
      </c>
      <c r="L22" s="10">
        <f t="shared" ref="L21:L22" si="6">J18/G18*G22</f>
        <v>1.0631548703977318E-4</v>
      </c>
      <c r="M22" s="10">
        <f>J18/F18*F22</f>
        <v>5.935948026387336E-5</v>
      </c>
      <c r="N22" s="11">
        <f>J18/$C$15*$D$15</f>
        <v>1.4246275263329606E-4</v>
      </c>
      <c r="O22" s="10">
        <f>J18*$D$19/$C$19</f>
        <v>1.7620624939183187E-5</v>
      </c>
      <c r="Q22" s="15">
        <f t="shared" si="5"/>
        <v>0.31899905397429767</v>
      </c>
      <c r="R22" s="15">
        <f t="shared" si="1"/>
        <v>9.9443524534071001E-2</v>
      </c>
      <c r="S22" s="15">
        <f t="shared" si="1"/>
        <v>0.57279470131624899</v>
      </c>
      <c r="T22" s="15">
        <f t="shared" si="1"/>
        <v>8.7627201753822208E-3</v>
      </c>
    </row>
    <row r="23" spans="1:20" x14ac:dyDescent="0.45">
      <c r="A23" s="5"/>
      <c r="N23" s="6"/>
    </row>
    <row r="24" spans="1:20" x14ac:dyDescent="0.4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廖聲融</dc:creator>
  <cp:lastModifiedBy>聲融 廖</cp:lastModifiedBy>
  <dcterms:created xsi:type="dcterms:W3CDTF">2015-06-05T18:19:34Z</dcterms:created>
  <dcterms:modified xsi:type="dcterms:W3CDTF">2024-12-02T00:06:17Z</dcterms:modified>
</cp:coreProperties>
</file>