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esktop\UHPC建模\"/>
    </mc:Choice>
  </mc:AlternateContent>
  <xr:revisionPtr revIDLastSave="0" documentId="13_ncr:1_{35631AF3-6BDC-4FE8-A3D9-03CA133C30B5}" xr6:coauthVersionLast="47" xr6:coauthVersionMax="47" xr10:uidLastSave="{00000000-0000-0000-0000-000000000000}"/>
  <bookViews>
    <workbookView xWindow="-98" yWindow="-98" windowWidth="19396" windowHeight="11596" tabRatio="782" activeTab="3" xr2:uid="{00000000-000D-0000-FFFF-FFFF00000000}"/>
  </bookViews>
  <sheets>
    <sheet name="UHPC受压 杨剑、方志" sheetId="5" r:id="rId1"/>
    <sheet name="UHPC受压 单波" sheetId="10" r:id="rId2"/>
    <sheet name="UHPC受压 周传波在马亚峰" sheetId="13" r:id="rId3"/>
    <sheet name="UHPC 受拉 徐海滨" sheetId="9" r:id="rId4"/>
    <sheet name="UHPC 受拉 部分汇总" sheetId="12" r:id="rId5"/>
    <sheet name="混凝土塑形损伤模型参数" sheetId="14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B5" i="9" l="1"/>
  <c r="B4" i="9"/>
  <c r="B5" i="12"/>
  <c r="B6" i="12"/>
  <c r="C11" i="5"/>
  <c r="V74" i="14" l="1"/>
  <c r="T74" i="14"/>
  <c r="X7" i="14"/>
  <c r="W7" i="14"/>
  <c r="U7" i="14"/>
  <c r="W6" i="14"/>
  <c r="U6" i="14"/>
  <c r="E4" i="14"/>
  <c r="C48" i="14" s="1"/>
  <c r="D4" i="14"/>
  <c r="B16" i="14" l="1"/>
  <c r="D16" i="14" s="1"/>
  <c r="I16" i="14" s="1"/>
  <c r="K16" i="14" s="1"/>
  <c r="C17" i="14"/>
  <c r="C33" i="14"/>
  <c r="B34" i="14"/>
  <c r="D34" i="14" s="1"/>
  <c r="I34" i="14" s="1"/>
  <c r="K34" i="14" s="1"/>
  <c r="C23" i="14"/>
  <c r="C34" i="14"/>
  <c r="C47" i="14"/>
  <c r="B8" i="14"/>
  <c r="B9" i="14"/>
  <c r="B17" i="14"/>
  <c r="D17" i="14" s="1"/>
  <c r="I17" i="14" s="1"/>
  <c r="K17" i="14" s="1"/>
  <c r="B31" i="14"/>
  <c r="D31" i="14" s="1"/>
  <c r="I31" i="14" s="1"/>
  <c r="K31" i="14" s="1"/>
  <c r="B56" i="14"/>
  <c r="D56" i="14" s="1"/>
  <c r="I56" i="14" s="1"/>
  <c r="K56" i="14" s="1"/>
  <c r="C9" i="14"/>
  <c r="C35" i="14"/>
  <c r="B11" i="14"/>
  <c r="B40" i="14"/>
  <c r="D40" i="14" s="1"/>
  <c r="I40" i="14" s="1"/>
  <c r="K40" i="14" s="1"/>
  <c r="B13" i="14"/>
  <c r="D13" i="14" s="1"/>
  <c r="B41" i="14"/>
  <c r="D41" i="14" s="1"/>
  <c r="I41" i="14" s="1"/>
  <c r="K41" i="14" s="1"/>
  <c r="C16" i="14"/>
  <c r="I13" i="14"/>
  <c r="K13" i="14" s="1"/>
  <c r="E13" i="14"/>
  <c r="B69" i="14"/>
  <c r="D69" i="14" s="1"/>
  <c r="I69" i="14" s="1"/>
  <c r="K69" i="14" s="1"/>
  <c r="B63" i="14"/>
  <c r="D63" i="14" s="1"/>
  <c r="I63" i="14" s="1"/>
  <c r="K63" i="14" s="1"/>
  <c r="B57" i="14"/>
  <c r="D57" i="14" s="1"/>
  <c r="I57" i="14" s="1"/>
  <c r="K57" i="14" s="1"/>
  <c r="B51" i="14"/>
  <c r="D51" i="14" s="1"/>
  <c r="I51" i="14" s="1"/>
  <c r="K51" i="14" s="1"/>
  <c r="B45" i="14"/>
  <c r="D45" i="14" s="1"/>
  <c r="I45" i="14" s="1"/>
  <c r="K45" i="14" s="1"/>
  <c r="C66" i="14"/>
  <c r="C60" i="14"/>
  <c r="B66" i="14"/>
  <c r="D66" i="14" s="1"/>
  <c r="I66" i="14" s="1"/>
  <c r="K66" i="14" s="1"/>
  <c r="B60" i="14"/>
  <c r="D60" i="14" s="1"/>
  <c r="I60" i="14" s="1"/>
  <c r="K60" i="14" s="1"/>
  <c r="C67" i="14"/>
  <c r="C61" i="14"/>
  <c r="C55" i="14"/>
  <c r="C49" i="14"/>
  <c r="C43" i="14"/>
  <c r="C68" i="14"/>
  <c r="C62" i="14"/>
  <c r="C56" i="14"/>
  <c r="C50" i="14"/>
  <c r="C44" i="14"/>
  <c r="C69" i="14"/>
  <c r="C63" i="14"/>
  <c r="C57" i="14"/>
  <c r="C51" i="14"/>
  <c r="C45" i="14"/>
  <c r="B64" i="14"/>
  <c r="D64" i="14" s="1"/>
  <c r="I64" i="14" s="1"/>
  <c r="K64" i="14" s="1"/>
  <c r="B65" i="14"/>
  <c r="D65" i="14" s="1"/>
  <c r="I65" i="14" s="1"/>
  <c r="K65" i="14" s="1"/>
  <c r="B67" i="14"/>
  <c r="D67" i="14" s="1"/>
  <c r="I67" i="14" s="1"/>
  <c r="K67" i="14" s="1"/>
  <c r="B68" i="14"/>
  <c r="D68" i="14" s="1"/>
  <c r="I68" i="14" s="1"/>
  <c r="K68" i="14" s="1"/>
  <c r="C70" i="14"/>
  <c r="C53" i="14"/>
  <c r="B49" i="14"/>
  <c r="D49" i="14" s="1"/>
  <c r="I49" i="14" s="1"/>
  <c r="K49" i="14" s="1"/>
  <c r="B42" i="14"/>
  <c r="D42" i="14" s="1"/>
  <c r="I42" i="14" s="1"/>
  <c r="K42" i="14" s="1"/>
  <c r="B36" i="14"/>
  <c r="D36" i="14" s="1"/>
  <c r="I36" i="14" s="1"/>
  <c r="K36" i="14" s="1"/>
  <c r="B30" i="14"/>
  <c r="D30" i="14" s="1"/>
  <c r="I30" i="14" s="1"/>
  <c r="K30" i="14" s="1"/>
  <c r="B24" i="14"/>
  <c r="D24" i="14" s="1"/>
  <c r="I24" i="14" s="1"/>
  <c r="K24" i="14" s="1"/>
  <c r="B70" i="14"/>
  <c r="D70" i="14" s="1"/>
  <c r="I70" i="14" s="1"/>
  <c r="K70" i="14" s="1"/>
  <c r="B53" i="14"/>
  <c r="D53" i="14" s="1"/>
  <c r="I53" i="14" s="1"/>
  <c r="K53" i="14" s="1"/>
  <c r="B44" i="14"/>
  <c r="D44" i="14" s="1"/>
  <c r="I44" i="14" s="1"/>
  <c r="K44" i="14" s="1"/>
  <c r="C37" i="14"/>
  <c r="C31" i="14"/>
  <c r="C25" i="14"/>
  <c r="C59" i="14"/>
  <c r="C58" i="14"/>
  <c r="B59" i="14"/>
  <c r="D59" i="14" s="1"/>
  <c r="I59" i="14" s="1"/>
  <c r="K59" i="14" s="1"/>
  <c r="B58" i="14"/>
  <c r="D58" i="14" s="1"/>
  <c r="I58" i="14" s="1"/>
  <c r="K58" i="14" s="1"/>
  <c r="B52" i="14"/>
  <c r="D52" i="14" s="1"/>
  <c r="I52" i="14" s="1"/>
  <c r="K52" i="14" s="1"/>
  <c r="B48" i="14"/>
  <c r="D48" i="14" s="1"/>
  <c r="I48" i="14" s="1"/>
  <c r="K48" i="14" s="1"/>
  <c r="C38" i="14"/>
  <c r="C64" i="14"/>
  <c r="C46" i="14"/>
  <c r="B39" i="14"/>
  <c r="D39" i="14" s="1"/>
  <c r="I39" i="14" s="1"/>
  <c r="K39" i="14" s="1"/>
  <c r="B33" i="14"/>
  <c r="D33" i="14" s="1"/>
  <c r="I33" i="14" s="1"/>
  <c r="K33" i="14" s="1"/>
  <c r="B27" i="14"/>
  <c r="D27" i="14" s="1"/>
  <c r="I27" i="14" s="1"/>
  <c r="K27" i="14" s="1"/>
  <c r="B21" i="14"/>
  <c r="D21" i="14" s="1"/>
  <c r="I21" i="14" s="1"/>
  <c r="K21" i="14" s="1"/>
  <c r="B43" i="14"/>
  <c r="D43" i="14" s="1"/>
  <c r="I43" i="14" s="1"/>
  <c r="K43" i="14" s="1"/>
  <c r="B38" i="14"/>
  <c r="D38" i="14" s="1"/>
  <c r="I38" i="14" s="1"/>
  <c r="K38" i="14" s="1"/>
  <c r="C30" i="14"/>
  <c r="C19" i="14"/>
  <c r="C13" i="14"/>
  <c r="B12" i="14"/>
  <c r="C54" i="14"/>
  <c r="B54" i="14"/>
  <c r="D54" i="14" s="1"/>
  <c r="I54" i="14" s="1"/>
  <c r="K54" i="14" s="1"/>
  <c r="C42" i="14"/>
  <c r="B35" i="14"/>
  <c r="D35" i="14" s="1"/>
  <c r="I35" i="14" s="1"/>
  <c r="K35" i="14" s="1"/>
  <c r="C32" i="14"/>
  <c r="C22" i="14"/>
  <c r="B14" i="14"/>
  <c r="D14" i="14" s="1"/>
  <c r="I14" i="14" s="1"/>
  <c r="K14" i="14" s="1"/>
  <c r="C7" i="14"/>
  <c r="B7" i="14"/>
  <c r="G57" i="14" s="1"/>
  <c r="B61" i="14"/>
  <c r="D61" i="14" s="1"/>
  <c r="I61" i="14" s="1"/>
  <c r="K61" i="14" s="1"/>
  <c r="B32" i="14"/>
  <c r="D32" i="14" s="1"/>
  <c r="I32" i="14" s="1"/>
  <c r="K32" i="14" s="1"/>
  <c r="C24" i="14"/>
  <c r="B22" i="14"/>
  <c r="D22" i="14" s="1"/>
  <c r="I22" i="14" s="1"/>
  <c r="K22" i="14" s="1"/>
  <c r="C15" i="14"/>
  <c r="B50" i="14"/>
  <c r="D50" i="14" s="1"/>
  <c r="I50" i="14" s="1"/>
  <c r="K50" i="14" s="1"/>
  <c r="C41" i="14"/>
  <c r="B37" i="14"/>
  <c r="D37" i="14" s="1"/>
  <c r="I37" i="14" s="1"/>
  <c r="K37" i="14" s="1"/>
  <c r="C29" i="14"/>
  <c r="C20" i="14"/>
  <c r="B15" i="14"/>
  <c r="D15" i="14" s="1"/>
  <c r="I15" i="14" s="1"/>
  <c r="K15" i="14" s="1"/>
  <c r="B10" i="14"/>
  <c r="B18" i="14"/>
  <c r="D18" i="14" s="1"/>
  <c r="I18" i="14" s="1"/>
  <c r="K18" i="14" s="1"/>
  <c r="C40" i="14"/>
  <c r="B46" i="14"/>
  <c r="D46" i="14" s="1"/>
  <c r="I46" i="14" s="1"/>
  <c r="K46" i="14" s="1"/>
  <c r="C10" i="14"/>
  <c r="F17" i="14"/>
  <c r="C18" i="14"/>
  <c r="B28" i="14"/>
  <c r="D28" i="14" s="1"/>
  <c r="I28" i="14" s="1"/>
  <c r="K28" i="14" s="1"/>
  <c r="B29" i="14"/>
  <c r="D29" i="14" s="1"/>
  <c r="I29" i="14" s="1"/>
  <c r="K29" i="14" s="1"/>
  <c r="C39" i="14"/>
  <c r="C52" i="14"/>
  <c r="C65" i="14"/>
  <c r="F4" i="14"/>
  <c r="G4" i="14"/>
  <c r="D7" i="14" s="1"/>
  <c r="C14" i="14"/>
  <c r="B19" i="14"/>
  <c r="D19" i="14" s="1"/>
  <c r="I19" i="14" s="1"/>
  <c r="K19" i="14" s="1"/>
  <c r="C27" i="14"/>
  <c r="C28" i="14"/>
  <c r="B62" i="14"/>
  <c r="D62" i="14" s="1"/>
  <c r="I62" i="14" s="1"/>
  <c r="K62" i="14" s="1"/>
  <c r="C11" i="14"/>
  <c r="B25" i="14"/>
  <c r="D25" i="14" s="1"/>
  <c r="I25" i="14" s="1"/>
  <c r="K25" i="14" s="1"/>
  <c r="B26" i="14"/>
  <c r="D26" i="14" s="1"/>
  <c r="I26" i="14" s="1"/>
  <c r="K26" i="14" s="1"/>
  <c r="B55" i="14"/>
  <c r="D55" i="14" s="1"/>
  <c r="I55" i="14" s="1"/>
  <c r="K55" i="14" s="1"/>
  <c r="B20" i="14"/>
  <c r="D20" i="14" s="1"/>
  <c r="I20" i="14" s="1"/>
  <c r="K20" i="14" s="1"/>
  <c r="C21" i="14"/>
  <c r="B23" i="14"/>
  <c r="D23" i="14" s="1"/>
  <c r="I23" i="14" s="1"/>
  <c r="K23" i="14" s="1"/>
  <c r="C26" i="14"/>
  <c r="C36" i="14"/>
  <c r="B47" i="14"/>
  <c r="D47" i="14" s="1"/>
  <c r="I47" i="14" s="1"/>
  <c r="K47" i="14" s="1"/>
  <c r="C8" i="14"/>
  <c r="C12" i="14"/>
  <c r="H17" i="14" l="1"/>
  <c r="J17" i="14" s="1"/>
  <c r="L17" i="14" s="1"/>
  <c r="G28" i="14"/>
  <c r="F11" i="14"/>
  <c r="G10" i="14"/>
  <c r="G69" i="14"/>
  <c r="F19" i="14"/>
  <c r="H19" i="14" s="1"/>
  <c r="J19" i="14" s="1"/>
  <c r="L19" i="14" s="1"/>
  <c r="G11" i="14"/>
  <c r="G7" i="14"/>
  <c r="G54" i="14"/>
  <c r="F53" i="14"/>
  <c r="H53" i="14" s="1"/>
  <c r="J53" i="14" s="1"/>
  <c r="L53" i="14" s="1"/>
  <c r="M53" i="14" s="1"/>
  <c r="O53" i="14" s="1"/>
  <c r="F9" i="14"/>
  <c r="F20" i="14"/>
  <c r="H20" i="14" s="1"/>
  <c r="J20" i="14" s="1"/>
  <c r="L20" i="14" s="1"/>
  <c r="P20" i="14" s="1"/>
  <c r="V20" i="14" s="1"/>
  <c r="F68" i="14"/>
  <c r="H68" i="14" s="1"/>
  <c r="J68" i="14" s="1"/>
  <c r="L68" i="14" s="1"/>
  <c r="F23" i="14"/>
  <c r="H23" i="14" s="1"/>
  <c r="G42" i="14"/>
  <c r="G66" i="14"/>
  <c r="F10" i="14"/>
  <c r="F57" i="14"/>
  <c r="H57" i="14" s="1"/>
  <c r="J57" i="14" s="1"/>
  <c r="L57" i="14" s="1"/>
  <c r="M57" i="14" s="1"/>
  <c r="G12" i="14"/>
  <c r="G9" i="14"/>
  <c r="G62" i="14"/>
  <c r="F12" i="14"/>
  <c r="G8" i="14"/>
  <c r="F13" i="14"/>
  <c r="F45" i="14"/>
  <c r="F43" i="14"/>
  <c r="H43" i="14" s="1"/>
  <c r="F30" i="14"/>
  <c r="H30" i="14" s="1"/>
  <c r="J30" i="14" s="1"/>
  <c r="L30" i="14" s="1"/>
  <c r="M30" i="14" s="1"/>
  <c r="F31" i="14"/>
  <c r="H31" i="14" s="1"/>
  <c r="J31" i="14" s="1"/>
  <c r="L31" i="14" s="1"/>
  <c r="F63" i="14"/>
  <c r="H63" i="14" s="1"/>
  <c r="F7" i="14"/>
  <c r="H7" i="14" s="1"/>
  <c r="G37" i="14"/>
  <c r="F25" i="14"/>
  <c r="F28" i="14"/>
  <c r="F40" i="14"/>
  <c r="H40" i="14" s="1"/>
  <c r="J40" i="14" s="1"/>
  <c r="L40" i="14" s="1"/>
  <c r="F41" i="14"/>
  <c r="F52" i="14"/>
  <c r="H52" i="14" s="1"/>
  <c r="J52" i="14" s="1"/>
  <c r="L52" i="14" s="1"/>
  <c r="M52" i="14" s="1"/>
  <c r="O52" i="14" s="1"/>
  <c r="F24" i="14"/>
  <c r="G44" i="14"/>
  <c r="F32" i="14"/>
  <c r="H32" i="14" s="1"/>
  <c r="J32" i="14" s="1"/>
  <c r="L32" i="14" s="1"/>
  <c r="M32" i="14" s="1"/>
  <c r="G43" i="14"/>
  <c r="F27" i="14"/>
  <c r="G30" i="14"/>
  <c r="F8" i="14"/>
  <c r="F37" i="14"/>
  <c r="H37" i="14" s="1"/>
  <c r="F48" i="14"/>
  <c r="H48" i="14" s="1"/>
  <c r="J48" i="14" s="1"/>
  <c r="L48" i="14" s="1"/>
  <c r="M48" i="14" s="1"/>
  <c r="F58" i="14"/>
  <c r="H58" i="14" s="1"/>
  <c r="J58" i="14" s="1"/>
  <c r="L58" i="14" s="1"/>
  <c r="M58" i="14" s="1"/>
  <c r="G46" i="14"/>
  <c r="G41" i="14"/>
  <c r="F49" i="14"/>
  <c r="H49" i="14" s="1"/>
  <c r="J49" i="14" s="1"/>
  <c r="L49" i="14" s="1"/>
  <c r="P49" i="14" s="1"/>
  <c r="V49" i="14" s="1"/>
  <c r="F26" i="14"/>
  <c r="H26" i="14" s="1"/>
  <c r="J26" i="14" s="1"/>
  <c r="L26" i="14" s="1"/>
  <c r="F50" i="14"/>
  <c r="H50" i="14" s="1"/>
  <c r="J50" i="14" s="1"/>
  <c r="L50" i="14" s="1"/>
  <c r="M50" i="14" s="1"/>
  <c r="G33" i="14"/>
  <c r="G61" i="14"/>
  <c r="F34" i="14"/>
  <c r="H34" i="14" s="1"/>
  <c r="J34" i="14" s="1"/>
  <c r="L34" i="14" s="1"/>
  <c r="M34" i="14" s="1"/>
  <c r="Q34" i="14" s="1"/>
  <c r="U34" i="14" s="1"/>
  <c r="F65" i="14"/>
  <c r="F62" i="14"/>
  <c r="F47" i="14"/>
  <c r="H47" i="14" s="1"/>
  <c r="J47" i="14" s="1"/>
  <c r="L47" i="14" s="1"/>
  <c r="M47" i="14" s="1"/>
  <c r="F67" i="14"/>
  <c r="H67" i="14" s="1"/>
  <c r="J67" i="14" s="1"/>
  <c r="L67" i="14" s="1"/>
  <c r="G50" i="14"/>
  <c r="F36" i="14"/>
  <c r="H36" i="14" s="1"/>
  <c r="J36" i="14" s="1"/>
  <c r="L36" i="14" s="1"/>
  <c r="F18" i="14"/>
  <c r="F35" i="14"/>
  <c r="H35" i="14" s="1"/>
  <c r="J35" i="14" s="1"/>
  <c r="L35" i="14" s="1"/>
  <c r="F21" i="14"/>
  <c r="H21" i="14" s="1"/>
  <c r="J21" i="14" s="1"/>
  <c r="L21" i="14" s="1"/>
  <c r="P21" i="14" s="1"/>
  <c r="V21" i="14" s="1"/>
  <c r="F66" i="14"/>
  <c r="H66" i="14" s="1"/>
  <c r="J66" i="14" s="1"/>
  <c r="L66" i="14" s="1"/>
  <c r="P66" i="14" s="1"/>
  <c r="V66" i="14" s="1"/>
  <c r="F55" i="14"/>
  <c r="H55" i="14" s="1"/>
  <c r="J55" i="14" s="1"/>
  <c r="L55" i="14" s="1"/>
  <c r="G48" i="14"/>
  <c r="P17" i="14"/>
  <c r="V17" i="14" s="1"/>
  <c r="O49" i="14"/>
  <c r="S34" i="14"/>
  <c r="W34" i="14" s="1"/>
  <c r="P34" i="14"/>
  <c r="V34" i="14" s="1"/>
  <c r="F22" i="14"/>
  <c r="H22" i="14" s="1"/>
  <c r="J22" i="14" s="1"/>
  <c r="L22" i="14" s="1"/>
  <c r="G64" i="14"/>
  <c r="F60" i="14"/>
  <c r="H60" i="14" s="1"/>
  <c r="J60" i="14" s="1"/>
  <c r="L60" i="14" s="1"/>
  <c r="F46" i="14"/>
  <c r="H46" i="14" s="1"/>
  <c r="J46" i="14" s="1"/>
  <c r="L46" i="14" s="1"/>
  <c r="M46" i="14" s="1"/>
  <c r="F51" i="14"/>
  <c r="H51" i="14" s="1"/>
  <c r="J51" i="14" s="1"/>
  <c r="L51" i="14" s="1"/>
  <c r="M51" i="14" s="1"/>
  <c r="F56" i="14"/>
  <c r="H56" i="14" s="1"/>
  <c r="J56" i="14" s="1"/>
  <c r="L56" i="14" s="1"/>
  <c r="F33" i="14"/>
  <c r="H33" i="14" s="1"/>
  <c r="J33" i="14" s="1"/>
  <c r="L33" i="14" s="1"/>
  <c r="G31" i="14"/>
  <c r="G19" i="14"/>
  <c r="G16" i="14"/>
  <c r="G56" i="14"/>
  <c r="G67" i="14"/>
  <c r="H62" i="14"/>
  <c r="J62" i="14" s="1"/>
  <c r="L62" i="14" s="1"/>
  <c r="E7" i="14"/>
  <c r="D11" i="14"/>
  <c r="D10" i="14"/>
  <c r="D9" i="14"/>
  <c r="I7" i="14"/>
  <c r="K7" i="14" s="1"/>
  <c r="D12" i="14"/>
  <c r="D8" i="14"/>
  <c r="P32" i="14"/>
  <c r="V32" i="14" s="1"/>
  <c r="J63" i="14"/>
  <c r="L63" i="14" s="1"/>
  <c r="M63" i="14" s="1"/>
  <c r="P68" i="14"/>
  <c r="V68" i="14" s="1"/>
  <c r="M17" i="14"/>
  <c r="G13" i="14"/>
  <c r="G17" i="14"/>
  <c r="G15" i="14"/>
  <c r="G52" i="14"/>
  <c r="G68" i="14"/>
  <c r="J43" i="14"/>
  <c r="L43" i="14" s="1"/>
  <c r="F16" i="14"/>
  <c r="H16" i="14" s="1"/>
  <c r="J16" i="14" s="1"/>
  <c r="L16" i="14" s="1"/>
  <c r="F29" i="14"/>
  <c r="H29" i="14" s="1"/>
  <c r="J29" i="14" s="1"/>
  <c r="L29" i="14" s="1"/>
  <c r="F39" i="14"/>
  <c r="H39" i="14" s="1"/>
  <c r="J39" i="14" s="1"/>
  <c r="L39" i="14" s="1"/>
  <c r="M39" i="14" s="1"/>
  <c r="F59" i="14"/>
  <c r="H59" i="14" s="1"/>
  <c r="J59" i="14" s="1"/>
  <c r="L59" i="14" s="1"/>
  <c r="M59" i="14" s="1"/>
  <c r="G25" i="14"/>
  <c r="F14" i="14"/>
  <c r="H14" i="14" s="1"/>
  <c r="J14" i="14" s="1"/>
  <c r="L14" i="14" s="1"/>
  <c r="G40" i="14"/>
  <c r="G22" i="14"/>
  <c r="G58" i="14"/>
  <c r="G47" i="14"/>
  <c r="H25" i="14"/>
  <c r="J25" i="14" s="1"/>
  <c r="L25" i="14" s="1"/>
  <c r="H28" i="14"/>
  <c r="J28" i="14" s="1"/>
  <c r="L28" i="14" s="1"/>
  <c r="F42" i="14"/>
  <c r="H42" i="14" s="1"/>
  <c r="J42" i="14" s="1"/>
  <c r="L42" i="14" s="1"/>
  <c r="M42" i="14" s="1"/>
  <c r="F38" i="14"/>
  <c r="H38" i="14" s="1"/>
  <c r="J38" i="14" s="1"/>
  <c r="L38" i="14" s="1"/>
  <c r="M38" i="14" s="1"/>
  <c r="F64" i="14"/>
  <c r="H64" i="14" s="1"/>
  <c r="J64" i="14" s="1"/>
  <c r="L64" i="14" s="1"/>
  <c r="F69" i="14"/>
  <c r="H69" i="14" s="1"/>
  <c r="J69" i="14" s="1"/>
  <c r="L69" i="14" s="1"/>
  <c r="F54" i="14"/>
  <c r="H54" i="14" s="1"/>
  <c r="J54" i="14" s="1"/>
  <c r="L54" i="14" s="1"/>
  <c r="G39" i="14"/>
  <c r="G51" i="14"/>
  <c r="G24" i="14"/>
  <c r="G60" i="14"/>
  <c r="G53" i="14"/>
  <c r="M49" i="14"/>
  <c r="N49" i="14" s="1"/>
  <c r="R49" i="14" s="1"/>
  <c r="X49" i="14" s="1"/>
  <c r="H27" i="14"/>
  <c r="J27" i="14" s="1"/>
  <c r="L27" i="14" s="1"/>
  <c r="M35" i="14"/>
  <c r="M43" i="14"/>
  <c r="M68" i="14"/>
  <c r="N68" i="14" s="1"/>
  <c r="R68" i="14" s="1"/>
  <c r="X68" i="14" s="1"/>
  <c r="G21" i="14"/>
  <c r="G36" i="14"/>
  <c r="G14" i="14"/>
  <c r="G55" i="14"/>
  <c r="G49" i="14"/>
  <c r="G26" i="14"/>
  <c r="G59" i="14"/>
  <c r="P55" i="14"/>
  <c r="V55" i="14" s="1"/>
  <c r="H65" i="14"/>
  <c r="J65" i="14" s="1"/>
  <c r="L65" i="14" s="1"/>
  <c r="M65" i="14" s="1"/>
  <c r="H18" i="14"/>
  <c r="J18" i="14" s="1"/>
  <c r="L18" i="14" s="1"/>
  <c r="H41" i="14"/>
  <c r="J41" i="14" s="1"/>
  <c r="L41" i="14" s="1"/>
  <c r="M21" i="14"/>
  <c r="O21" i="14" s="1"/>
  <c r="F70" i="14"/>
  <c r="H70" i="14" s="1"/>
  <c r="J70" i="14" s="1"/>
  <c r="L70" i="14" s="1"/>
  <c r="F44" i="14"/>
  <c r="H44" i="14" s="1"/>
  <c r="J44" i="14" s="1"/>
  <c r="L44" i="14" s="1"/>
  <c r="F61" i="14"/>
  <c r="H61" i="14" s="1"/>
  <c r="J61" i="14" s="1"/>
  <c r="L61" i="14" s="1"/>
  <c r="F15" i="14"/>
  <c r="H15" i="14" s="1"/>
  <c r="J15" i="14" s="1"/>
  <c r="L15" i="14" s="1"/>
  <c r="M15" i="14" s="1"/>
  <c r="G20" i="14"/>
  <c r="G18" i="14"/>
  <c r="G34" i="14"/>
  <c r="G23" i="14"/>
  <c r="G32" i="14"/>
  <c r="G65" i="14"/>
  <c r="B91" i="14"/>
  <c r="D91" i="14" s="1"/>
  <c r="H91" i="14" s="1"/>
  <c r="C92" i="14"/>
  <c r="C88" i="14"/>
  <c r="C84" i="14"/>
  <c r="C80" i="14"/>
  <c r="C76" i="14"/>
  <c r="B92" i="14"/>
  <c r="D92" i="14" s="1"/>
  <c r="H92" i="14" s="1"/>
  <c r="B88" i="14"/>
  <c r="D88" i="14" s="1"/>
  <c r="H88" i="14" s="1"/>
  <c r="B84" i="14"/>
  <c r="D84" i="14" s="1"/>
  <c r="H84" i="14" s="1"/>
  <c r="B80" i="14"/>
  <c r="D80" i="14" s="1"/>
  <c r="H80" i="14" s="1"/>
  <c r="B76" i="14"/>
  <c r="D76" i="14" s="1"/>
  <c r="H76" i="14" s="1"/>
  <c r="C93" i="14"/>
  <c r="C89" i="14"/>
  <c r="C85" i="14"/>
  <c r="C81" i="14"/>
  <c r="C77" i="14"/>
  <c r="B90" i="14"/>
  <c r="D90" i="14" s="1"/>
  <c r="H90" i="14" s="1"/>
  <c r="B86" i="14"/>
  <c r="D86" i="14" s="1"/>
  <c r="H86" i="14" s="1"/>
  <c r="B82" i="14"/>
  <c r="D82" i="14" s="1"/>
  <c r="H82" i="14" s="1"/>
  <c r="B78" i="14"/>
  <c r="D78" i="14" s="1"/>
  <c r="H78" i="14" s="1"/>
  <c r="C86" i="14"/>
  <c r="C79" i="14"/>
  <c r="C91" i="14"/>
  <c r="B79" i="14"/>
  <c r="D79" i="14" s="1"/>
  <c r="H79" i="14" s="1"/>
  <c r="B93" i="14"/>
  <c r="D93" i="14" s="1"/>
  <c r="H93" i="14" s="1"/>
  <c r="B89" i="14"/>
  <c r="D89" i="14" s="1"/>
  <c r="H89" i="14" s="1"/>
  <c r="B77" i="14"/>
  <c r="D77" i="14" s="1"/>
  <c r="H77" i="14" s="1"/>
  <c r="C82" i="14"/>
  <c r="C87" i="14"/>
  <c r="C75" i="14"/>
  <c r="B87" i="14"/>
  <c r="D87" i="14" s="1"/>
  <c r="H87" i="14" s="1"/>
  <c r="B75" i="14"/>
  <c r="D75" i="14" s="1"/>
  <c r="H75" i="14" s="1"/>
  <c r="B85" i="14"/>
  <c r="D85" i="14" s="1"/>
  <c r="H85" i="14" s="1"/>
  <c r="C90" i="14"/>
  <c r="C78" i="14"/>
  <c r="B81" i="14"/>
  <c r="D81" i="14" s="1"/>
  <c r="H81" i="14" s="1"/>
  <c r="C83" i="14"/>
  <c r="B83" i="14"/>
  <c r="D83" i="14" s="1"/>
  <c r="H83" i="14" s="1"/>
  <c r="P35" i="14"/>
  <c r="V35" i="14" s="1"/>
  <c r="M28" i="14"/>
  <c r="J37" i="14"/>
  <c r="L37" i="14" s="1"/>
  <c r="M70" i="14"/>
  <c r="G27" i="14"/>
  <c r="G45" i="14"/>
  <c r="G29" i="14"/>
  <c r="G38" i="14"/>
  <c r="M55" i="14"/>
  <c r="O55" i="14" s="1"/>
  <c r="M61" i="14"/>
  <c r="M33" i="14"/>
  <c r="H45" i="14"/>
  <c r="J45" i="14" s="1"/>
  <c r="L45" i="14" s="1"/>
  <c r="M45" i="14" s="1"/>
  <c r="J23" i="14"/>
  <c r="L23" i="14" s="1"/>
  <c r="M23" i="14" s="1"/>
  <c r="H24" i="14"/>
  <c r="J24" i="14" s="1"/>
  <c r="L24" i="14" s="1"/>
  <c r="M24" i="14" s="1"/>
  <c r="G63" i="14"/>
  <c r="G35" i="14"/>
  <c r="G70" i="14"/>
  <c r="J7" i="14" l="1"/>
  <c r="L7" i="14" s="1"/>
  <c r="H13" i="14"/>
  <c r="J13" i="14" s="1"/>
  <c r="L13" i="14" s="1"/>
  <c r="M20" i="14"/>
  <c r="N20" i="14" s="1"/>
  <c r="R20" i="14" s="1"/>
  <c r="X20" i="14" s="1"/>
  <c r="P52" i="14"/>
  <c r="V52" i="14" s="1"/>
  <c r="N34" i="14"/>
  <c r="R34" i="14" s="1"/>
  <c r="X34" i="14" s="1"/>
  <c r="N32" i="14"/>
  <c r="R32" i="14" s="1"/>
  <c r="X32" i="14" s="1"/>
  <c r="O32" i="14"/>
  <c r="M66" i="14"/>
  <c r="N66" i="14" s="1"/>
  <c r="R66" i="14" s="1"/>
  <c r="X66" i="14" s="1"/>
  <c r="N53" i="14"/>
  <c r="R53" i="14" s="1"/>
  <c r="X53" i="14" s="1"/>
  <c r="P48" i="14"/>
  <c r="V48" i="14" s="1"/>
  <c r="N55" i="14"/>
  <c r="R55" i="14" s="1"/>
  <c r="X55" i="14" s="1"/>
  <c r="P53" i="14"/>
  <c r="V53" i="14" s="1"/>
  <c r="O34" i="14"/>
  <c r="S24" i="14"/>
  <c r="W24" i="14" s="1"/>
  <c r="Q24" i="14"/>
  <c r="U24" i="14" s="1"/>
  <c r="S23" i="14"/>
  <c r="W23" i="14" s="1"/>
  <c r="Q23" i="14"/>
  <c r="U23" i="14" s="1"/>
  <c r="P13" i="14"/>
  <c r="V13" i="14" s="1"/>
  <c r="M13" i="14"/>
  <c r="N13" i="14" s="1"/>
  <c r="R13" i="14" s="1"/>
  <c r="X13" i="14" s="1"/>
  <c r="Q50" i="14"/>
  <c r="U50" i="14" s="1"/>
  <c r="S50" i="14"/>
  <c r="W50" i="14" s="1"/>
  <c r="S45" i="14"/>
  <c r="W45" i="14" s="1"/>
  <c r="Q45" i="14"/>
  <c r="U45" i="14" s="1"/>
  <c r="S57" i="14"/>
  <c r="W57" i="14" s="1"/>
  <c r="Q57" i="14"/>
  <c r="U57" i="14" s="1"/>
  <c r="S15" i="14"/>
  <c r="W15" i="14" s="1"/>
  <c r="Q15" i="14"/>
  <c r="U15" i="14" s="1"/>
  <c r="S38" i="14"/>
  <c r="W38" i="14" s="1"/>
  <c r="Q38" i="14"/>
  <c r="U38" i="14" s="1"/>
  <c r="F89" i="14"/>
  <c r="G89" i="14" s="1"/>
  <c r="I89" i="14" s="1"/>
  <c r="S30" i="14"/>
  <c r="W30" i="14" s="1"/>
  <c r="Q30" i="14"/>
  <c r="U30" i="14" s="1"/>
  <c r="J92" i="14"/>
  <c r="Q61" i="14"/>
  <c r="U61" i="14" s="1"/>
  <c r="S61" i="14"/>
  <c r="W61" i="14" s="1"/>
  <c r="J78" i="14"/>
  <c r="P37" i="14"/>
  <c r="V37" i="14" s="1"/>
  <c r="F79" i="14"/>
  <c r="G79" i="14" s="1"/>
  <c r="I79" i="14" s="1"/>
  <c r="L79" i="14" s="1"/>
  <c r="F90" i="14"/>
  <c r="G90" i="14" s="1"/>
  <c r="I90" i="14" s="1"/>
  <c r="F84" i="14"/>
  <c r="G84" i="14" s="1"/>
  <c r="I84" i="14" s="1"/>
  <c r="F91" i="14"/>
  <c r="G91" i="14" s="1"/>
  <c r="I91" i="14" s="1"/>
  <c r="J88" i="14"/>
  <c r="Q58" i="14"/>
  <c r="U58" i="14" s="1"/>
  <c r="S58" i="14"/>
  <c r="W58" i="14" s="1"/>
  <c r="Q52" i="14"/>
  <c r="U52" i="14" s="1"/>
  <c r="S52" i="14"/>
  <c r="W52" i="14" s="1"/>
  <c r="P25" i="14"/>
  <c r="V25" i="14" s="1"/>
  <c r="P60" i="14"/>
  <c r="V60" i="14" s="1"/>
  <c r="P54" i="14"/>
  <c r="V54" i="14" s="1"/>
  <c r="S42" i="14"/>
  <c r="W42" i="14" s="1"/>
  <c r="Q42" i="14"/>
  <c r="U42" i="14" s="1"/>
  <c r="P16" i="14"/>
  <c r="V16" i="14" s="1"/>
  <c r="M16" i="14"/>
  <c r="N16" i="14" s="1"/>
  <c r="R16" i="14" s="1"/>
  <c r="X16" i="14" s="1"/>
  <c r="P62" i="14"/>
  <c r="V62" i="14" s="1"/>
  <c r="N62" i="14"/>
  <c r="R62" i="14" s="1"/>
  <c r="X62" i="14" s="1"/>
  <c r="P22" i="14"/>
  <c r="V22" i="14" s="1"/>
  <c r="Q39" i="14"/>
  <c r="U39" i="14" s="1"/>
  <c r="S39" i="14"/>
  <c r="W39" i="14" s="1"/>
  <c r="P69" i="14"/>
  <c r="V69" i="14" s="1"/>
  <c r="M62" i="14"/>
  <c r="O62" i="14" s="1"/>
  <c r="Q33" i="14"/>
  <c r="U33" i="14" s="1"/>
  <c r="S33" i="14"/>
  <c r="W33" i="14" s="1"/>
  <c r="F80" i="14"/>
  <c r="G80" i="14" s="1"/>
  <c r="I80" i="14" s="1"/>
  <c r="Q70" i="14"/>
  <c r="U70" i="14" s="1"/>
  <c r="S70" i="14"/>
  <c r="W70" i="14" s="1"/>
  <c r="S32" i="14"/>
  <c r="W32" i="14" s="1"/>
  <c r="T32" i="14"/>
  <c r="Q32" i="14"/>
  <c r="U32" i="14" s="1"/>
  <c r="P31" i="14"/>
  <c r="V31" i="14" s="1"/>
  <c r="N31" i="14"/>
  <c r="R31" i="14" s="1"/>
  <c r="X31" i="14" s="1"/>
  <c r="M31" i="14"/>
  <c r="O57" i="14"/>
  <c r="P57" i="14"/>
  <c r="V57" i="14" s="1"/>
  <c r="N57" i="14"/>
  <c r="R57" i="14" s="1"/>
  <c r="X57" i="14" s="1"/>
  <c r="S55" i="14"/>
  <c r="W55" i="14" s="1"/>
  <c r="Q55" i="14"/>
  <c r="U55" i="14" s="1"/>
  <c r="S59" i="14"/>
  <c r="W59" i="14" s="1"/>
  <c r="Q59" i="14"/>
  <c r="U59" i="14" s="1"/>
  <c r="F76" i="14"/>
  <c r="G76" i="14" s="1"/>
  <c r="I76" i="14" s="1"/>
  <c r="L76" i="14" s="1"/>
  <c r="F75" i="14"/>
  <c r="G75" i="14" s="1"/>
  <c r="I75" i="14" s="1"/>
  <c r="L75" i="14" s="1"/>
  <c r="P64" i="14"/>
  <c r="V64" i="14" s="1"/>
  <c r="O30" i="14"/>
  <c r="N30" i="14"/>
  <c r="R30" i="14" s="1"/>
  <c r="X30" i="14" s="1"/>
  <c r="P30" i="14"/>
  <c r="V30" i="14" s="1"/>
  <c r="I8" i="14"/>
  <c r="K8" i="14" s="1"/>
  <c r="E8" i="14"/>
  <c r="H8" i="14" s="1"/>
  <c r="N52" i="14"/>
  <c r="R52" i="14" s="1"/>
  <c r="X52" i="14" s="1"/>
  <c r="I12" i="14"/>
  <c r="K12" i="14" s="1"/>
  <c r="E12" i="14"/>
  <c r="H12" i="14" s="1"/>
  <c r="T49" i="14"/>
  <c r="S49" i="14"/>
  <c r="W49" i="14" s="1"/>
  <c r="Q49" i="14"/>
  <c r="U49" i="14" s="1"/>
  <c r="S48" i="14"/>
  <c r="W48" i="14" s="1"/>
  <c r="Q48" i="14"/>
  <c r="U48" i="14" s="1"/>
  <c r="M69" i="14"/>
  <c r="O69" i="14" s="1"/>
  <c r="S17" i="14"/>
  <c r="W17" i="14" s="1"/>
  <c r="Q17" i="14"/>
  <c r="U17" i="14" s="1"/>
  <c r="M7" i="14"/>
  <c r="O7" i="14" s="1"/>
  <c r="O33" i="14"/>
  <c r="N33" i="14"/>
  <c r="R33" i="14" s="1"/>
  <c r="X33" i="14" s="1"/>
  <c r="P33" i="14"/>
  <c r="V33" i="14" s="1"/>
  <c r="J75" i="14"/>
  <c r="P29" i="14"/>
  <c r="V29" i="14" s="1"/>
  <c r="M54" i="14"/>
  <c r="N54" i="14" s="1"/>
  <c r="R54" i="14" s="1"/>
  <c r="X54" i="14" s="1"/>
  <c r="S66" i="14"/>
  <c r="W66" i="14" s="1"/>
  <c r="F93" i="14"/>
  <c r="G93" i="14" s="1"/>
  <c r="I93" i="14" s="1"/>
  <c r="F88" i="14"/>
  <c r="G88" i="14" s="1"/>
  <c r="I88" i="14" s="1"/>
  <c r="L88" i="14" s="1"/>
  <c r="P38" i="14"/>
  <c r="V38" i="14" s="1"/>
  <c r="O38" i="14"/>
  <c r="N38" i="14"/>
  <c r="R38" i="14" s="1"/>
  <c r="X38" i="14" s="1"/>
  <c r="N21" i="14"/>
  <c r="R21" i="14" s="1"/>
  <c r="X21" i="14" s="1"/>
  <c r="P18" i="14"/>
  <c r="V18" i="14" s="1"/>
  <c r="N23" i="14"/>
  <c r="R23" i="14" s="1"/>
  <c r="X23" i="14" s="1"/>
  <c r="P23" i="14"/>
  <c r="V23" i="14" s="1"/>
  <c r="O23" i="14"/>
  <c r="F86" i="14"/>
  <c r="G86" i="14" s="1"/>
  <c r="I86" i="14" s="1"/>
  <c r="J77" i="14"/>
  <c r="J82" i="14"/>
  <c r="F77" i="14"/>
  <c r="G77" i="14" s="1"/>
  <c r="I77" i="14" s="1"/>
  <c r="L77" i="14" s="1"/>
  <c r="P61" i="14"/>
  <c r="V61" i="14" s="1"/>
  <c r="N61" i="14"/>
  <c r="R61" i="14" s="1"/>
  <c r="X61" i="14" s="1"/>
  <c r="O61" i="14"/>
  <c r="P36" i="14"/>
  <c r="V36" i="14" s="1"/>
  <c r="M37" i="14"/>
  <c r="O37" i="14" s="1"/>
  <c r="O42" i="14"/>
  <c r="N42" i="14"/>
  <c r="R42" i="14" s="1"/>
  <c r="X42" i="14" s="1"/>
  <c r="P42" i="14"/>
  <c r="V42" i="14" s="1"/>
  <c r="P14" i="14"/>
  <c r="V14" i="14" s="1"/>
  <c r="O68" i="14"/>
  <c r="I9" i="14"/>
  <c r="K9" i="14" s="1"/>
  <c r="E9" i="14"/>
  <c r="H9" i="14" s="1"/>
  <c r="O48" i="14"/>
  <c r="Q51" i="14"/>
  <c r="U51" i="14" s="1"/>
  <c r="S51" i="14"/>
  <c r="W51" i="14" s="1"/>
  <c r="M25" i="14"/>
  <c r="O25" i="14" s="1"/>
  <c r="O66" i="14"/>
  <c r="S65" i="14"/>
  <c r="W65" i="14" s="1"/>
  <c r="Q65" i="14"/>
  <c r="U65" i="14" s="1"/>
  <c r="P27" i="14"/>
  <c r="V27" i="14" s="1"/>
  <c r="M27" i="14"/>
  <c r="M29" i="14"/>
  <c r="N29" i="14" s="1"/>
  <c r="R29" i="14" s="1"/>
  <c r="X29" i="14" s="1"/>
  <c r="J76" i="14"/>
  <c r="P67" i="14"/>
  <c r="V67" i="14" s="1"/>
  <c r="Q28" i="14"/>
  <c r="U28" i="14" s="1"/>
  <c r="S28" i="14"/>
  <c r="W28" i="14" s="1"/>
  <c r="F82" i="14"/>
  <c r="G82" i="14" s="1"/>
  <c r="I82" i="14" s="1"/>
  <c r="L82" i="14" s="1"/>
  <c r="F83" i="14"/>
  <c r="G83" i="14" s="1"/>
  <c r="I83" i="14" s="1"/>
  <c r="L80" i="14"/>
  <c r="J80" i="14"/>
  <c r="P44" i="14"/>
  <c r="V44" i="14" s="1"/>
  <c r="N7" i="14"/>
  <c r="P7" i="14"/>
  <c r="V7" i="14" s="1"/>
  <c r="M22" i="14"/>
  <c r="N22" i="14" s="1"/>
  <c r="R22" i="14" s="1"/>
  <c r="X22" i="14" s="1"/>
  <c r="I10" i="14"/>
  <c r="K10" i="14" s="1"/>
  <c r="E10" i="14"/>
  <c r="H10" i="14" s="1"/>
  <c r="J10" i="14" s="1"/>
  <c r="L10" i="14" s="1"/>
  <c r="P56" i="14"/>
  <c r="V56" i="14" s="1"/>
  <c r="M56" i="14"/>
  <c r="N56" i="14" s="1"/>
  <c r="R56" i="14" s="1"/>
  <c r="X56" i="14" s="1"/>
  <c r="S43" i="14"/>
  <c r="W43" i="14" s="1"/>
  <c r="Q43" i="14"/>
  <c r="U43" i="14" s="1"/>
  <c r="S47" i="14"/>
  <c r="W47" i="14" s="1"/>
  <c r="Q47" i="14"/>
  <c r="U47" i="14" s="1"/>
  <c r="J83" i="14"/>
  <c r="S35" i="14"/>
  <c r="W35" i="14" s="1"/>
  <c r="Q35" i="14"/>
  <c r="U35" i="14" s="1"/>
  <c r="P47" i="14"/>
  <c r="V47" i="14" s="1"/>
  <c r="O47" i="14"/>
  <c r="N47" i="14"/>
  <c r="R47" i="14" s="1"/>
  <c r="X47" i="14" s="1"/>
  <c r="O24" i="14"/>
  <c r="N24" i="14"/>
  <c r="R24" i="14" s="1"/>
  <c r="X24" i="14" s="1"/>
  <c r="P24" i="14"/>
  <c r="V24" i="14" s="1"/>
  <c r="P50" i="14"/>
  <c r="V50" i="14" s="1"/>
  <c r="N50" i="14"/>
  <c r="R50" i="14" s="1"/>
  <c r="X50" i="14" s="1"/>
  <c r="O50" i="14"/>
  <c r="P19" i="14"/>
  <c r="V19" i="14" s="1"/>
  <c r="T20" i="14"/>
  <c r="S20" i="14"/>
  <c r="W20" i="14" s="1"/>
  <c r="Q20" i="14"/>
  <c r="U20" i="14" s="1"/>
  <c r="L89" i="14"/>
  <c r="J89" i="14"/>
  <c r="J86" i="14"/>
  <c r="L86" i="14"/>
  <c r="F81" i="14"/>
  <c r="G81" i="14" s="1"/>
  <c r="I81" i="14" s="1"/>
  <c r="L91" i="14"/>
  <c r="J91" i="14"/>
  <c r="O70" i="14"/>
  <c r="N70" i="14"/>
  <c r="R70" i="14" s="1"/>
  <c r="X70" i="14" s="1"/>
  <c r="P70" i="14"/>
  <c r="V70" i="14" s="1"/>
  <c r="N65" i="14"/>
  <c r="R65" i="14" s="1"/>
  <c r="X65" i="14" s="1"/>
  <c r="P65" i="14"/>
  <c r="V65" i="14" s="1"/>
  <c r="O65" i="14"/>
  <c r="M18" i="14"/>
  <c r="N18" i="14" s="1"/>
  <c r="R18" i="14" s="1"/>
  <c r="X18" i="14" s="1"/>
  <c r="M60" i="14"/>
  <c r="O60" i="14" s="1"/>
  <c r="O20" i="14"/>
  <c r="I11" i="14"/>
  <c r="K11" i="14" s="1"/>
  <c r="E11" i="14"/>
  <c r="H11" i="14" s="1"/>
  <c r="J11" i="14" s="1"/>
  <c r="L11" i="14" s="1"/>
  <c r="N48" i="14"/>
  <c r="R48" i="14" s="1"/>
  <c r="X48" i="14" s="1"/>
  <c r="O51" i="14"/>
  <c r="P51" i="14"/>
  <c r="V51" i="14" s="1"/>
  <c r="N51" i="14"/>
  <c r="R51" i="14" s="1"/>
  <c r="X51" i="14" s="1"/>
  <c r="O17" i="14"/>
  <c r="Q46" i="14"/>
  <c r="U46" i="14" s="1"/>
  <c r="S46" i="14"/>
  <c r="W46" i="14" s="1"/>
  <c r="T21" i="14"/>
  <c r="S21" i="14"/>
  <c r="W21" i="14" s="1"/>
  <c r="Q21" i="14"/>
  <c r="U21" i="14" s="1"/>
  <c r="S63" i="14"/>
  <c r="W63" i="14" s="1"/>
  <c r="Q63" i="14"/>
  <c r="U63" i="14" s="1"/>
  <c r="P41" i="14"/>
  <c r="V41" i="14" s="1"/>
  <c r="M41" i="14"/>
  <c r="O41" i="14" s="1"/>
  <c r="J87" i="14"/>
  <c r="P43" i="14"/>
  <c r="V43" i="14" s="1"/>
  <c r="N43" i="14"/>
  <c r="R43" i="14" s="1"/>
  <c r="X43" i="14" s="1"/>
  <c r="O43" i="14"/>
  <c r="L81" i="14"/>
  <c r="J81" i="14"/>
  <c r="L93" i="14"/>
  <c r="J93" i="14"/>
  <c r="J84" i="14"/>
  <c r="L84" i="14"/>
  <c r="F92" i="14"/>
  <c r="G92" i="14" s="1"/>
  <c r="I92" i="14" s="1"/>
  <c r="L92" i="14" s="1"/>
  <c r="M67" i="14"/>
  <c r="O67" i="14" s="1"/>
  <c r="T68" i="14"/>
  <c r="S68" i="14"/>
  <c r="W68" i="14" s="1"/>
  <c r="Q68" i="14"/>
  <c r="U68" i="14" s="1"/>
  <c r="P40" i="14"/>
  <c r="V40" i="14" s="1"/>
  <c r="M40" i="14"/>
  <c r="N59" i="14"/>
  <c r="R59" i="14" s="1"/>
  <c r="X59" i="14" s="1"/>
  <c r="O59" i="14"/>
  <c r="P59" i="14"/>
  <c r="V59" i="14" s="1"/>
  <c r="O63" i="14"/>
  <c r="P63" i="14"/>
  <c r="V63" i="14" s="1"/>
  <c r="N63" i="14"/>
  <c r="R63" i="14" s="1"/>
  <c r="X63" i="14" s="1"/>
  <c r="P26" i="14"/>
  <c r="V26" i="14" s="1"/>
  <c r="N46" i="14"/>
  <c r="R46" i="14" s="1"/>
  <c r="X46" i="14" s="1"/>
  <c r="O46" i="14"/>
  <c r="P46" i="14"/>
  <c r="V46" i="14" s="1"/>
  <c r="T34" i="14"/>
  <c r="N17" i="14"/>
  <c r="R17" i="14" s="1"/>
  <c r="X17" i="14" s="1"/>
  <c r="P15" i="14"/>
  <c r="V15" i="14" s="1"/>
  <c r="O15" i="14"/>
  <c r="N15" i="14"/>
  <c r="R15" i="14" s="1"/>
  <c r="X15" i="14" s="1"/>
  <c r="O45" i="14"/>
  <c r="P45" i="14"/>
  <c r="V45" i="14" s="1"/>
  <c r="N45" i="14"/>
  <c r="R45" i="14" s="1"/>
  <c r="X45" i="14" s="1"/>
  <c r="N35" i="14"/>
  <c r="R35" i="14" s="1"/>
  <c r="X35" i="14" s="1"/>
  <c r="F78" i="14"/>
  <c r="G78" i="14" s="1"/>
  <c r="I78" i="14" s="1"/>
  <c r="L78" i="14" s="1"/>
  <c r="F87" i="14"/>
  <c r="G87" i="14" s="1"/>
  <c r="I87" i="14" s="1"/>
  <c r="L87" i="14" s="1"/>
  <c r="M64" i="14"/>
  <c r="O64" i="14" s="1"/>
  <c r="O35" i="14"/>
  <c r="J85" i="14"/>
  <c r="J79" i="14"/>
  <c r="J90" i="14"/>
  <c r="L90" i="14"/>
  <c r="F85" i="14"/>
  <c r="G85" i="14" s="1"/>
  <c r="I85" i="14" s="1"/>
  <c r="L85" i="14" s="1"/>
  <c r="M19" i="14"/>
  <c r="O19" i="14" s="1"/>
  <c r="S53" i="14"/>
  <c r="W53" i="14" s="1"/>
  <c r="Q53" i="14"/>
  <c r="U53" i="14" s="1"/>
  <c r="M14" i="14"/>
  <c r="O14" i="14" s="1"/>
  <c r="M44" i="14"/>
  <c r="O44" i="14" s="1"/>
  <c r="O28" i="14"/>
  <c r="P28" i="14"/>
  <c r="V28" i="14" s="1"/>
  <c r="N28" i="14"/>
  <c r="R28" i="14" s="1"/>
  <c r="X28" i="14" s="1"/>
  <c r="O39" i="14"/>
  <c r="N39" i="14"/>
  <c r="R39" i="14" s="1"/>
  <c r="X39" i="14" s="1"/>
  <c r="P39" i="14"/>
  <c r="V39" i="14" s="1"/>
  <c r="P58" i="14"/>
  <c r="V58" i="14" s="1"/>
  <c r="N58" i="14"/>
  <c r="R58" i="14" s="1"/>
  <c r="X58" i="14" s="1"/>
  <c r="O58" i="14"/>
  <c r="M26" i="14"/>
  <c r="O26" i="14" s="1"/>
  <c r="M36" i="14"/>
  <c r="N36" i="14" s="1"/>
  <c r="R36" i="14" s="1"/>
  <c r="X36" i="14" s="1"/>
  <c r="T55" i="14" l="1"/>
  <c r="Q66" i="14"/>
  <c r="U66" i="14" s="1"/>
  <c r="T66" i="14"/>
  <c r="N60" i="14"/>
  <c r="R60" i="14" s="1"/>
  <c r="X60" i="14" s="1"/>
  <c r="N44" i="14"/>
  <c r="R44" i="14" s="1"/>
  <c r="X44" i="14" s="1"/>
  <c r="T43" i="14"/>
  <c r="T70" i="14"/>
  <c r="T17" i="14"/>
  <c r="O18" i="14"/>
  <c r="T53" i="14"/>
  <c r="N69" i="14"/>
  <c r="R69" i="14" s="1"/>
  <c r="X69" i="14" s="1"/>
  <c r="N19" i="14"/>
  <c r="R19" i="14" s="1"/>
  <c r="X19" i="14" s="1"/>
  <c r="P88" i="14"/>
  <c r="T88" i="14" s="1"/>
  <c r="R88" i="14"/>
  <c r="V88" i="14" s="1"/>
  <c r="P82" i="14"/>
  <c r="T82" i="14" s="1"/>
  <c r="R82" i="14"/>
  <c r="V82" i="14" s="1"/>
  <c r="R78" i="14"/>
  <c r="V78" i="14" s="1"/>
  <c r="P78" i="14"/>
  <c r="T78" i="14" s="1"/>
  <c r="R85" i="14"/>
  <c r="V85" i="14" s="1"/>
  <c r="P85" i="14"/>
  <c r="T85" i="14" s="1"/>
  <c r="R79" i="14"/>
  <c r="V79" i="14" s="1"/>
  <c r="P79" i="14"/>
  <c r="T79" i="14" s="1"/>
  <c r="P11" i="14"/>
  <c r="V11" i="14" s="1"/>
  <c r="T45" i="14"/>
  <c r="S18" i="14"/>
  <c r="W18" i="14" s="1"/>
  <c r="T18" i="14"/>
  <c r="Q18" i="14"/>
  <c r="U18" i="14" s="1"/>
  <c r="N64" i="14"/>
  <c r="R64" i="14" s="1"/>
  <c r="X64" i="14" s="1"/>
  <c r="O80" i="14"/>
  <c r="U80" i="14" s="1"/>
  <c r="N80" i="14"/>
  <c r="K80" i="14"/>
  <c r="M80" i="14" s="1"/>
  <c r="Q80" i="14" s="1"/>
  <c r="W80" i="14" s="1"/>
  <c r="O54" i="14"/>
  <c r="T38" i="14"/>
  <c r="T50" i="14"/>
  <c r="S26" i="14"/>
  <c r="W26" i="14" s="1"/>
  <c r="Q26" i="14"/>
  <c r="U26" i="14" s="1"/>
  <c r="Q67" i="14"/>
  <c r="U67" i="14" s="1"/>
  <c r="S67" i="14"/>
  <c r="W67" i="14" s="1"/>
  <c r="R87" i="14"/>
  <c r="V87" i="14" s="1"/>
  <c r="P87" i="14"/>
  <c r="T87" i="14" s="1"/>
  <c r="T46" i="14"/>
  <c r="R89" i="14"/>
  <c r="V89" i="14" s="1"/>
  <c r="P89" i="14"/>
  <c r="T89" i="14" s="1"/>
  <c r="N67" i="14"/>
  <c r="R67" i="14" s="1"/>
  <c r="X67" i="14" s="1"/>
  <c r="R75" i="14"/>
  <c r="V75" i="14" s="1"/>
  <c r="P75" i="14"/>
  <c r="T75" i="14" s="1"/>
  <c r="T58" i="14"/>
  <c r="O92" i="14"/>
  <c r="U92" i="14" s="1"/>
  <c r="N92" i="14"/>
  <c r="K92" i="14"/>
  <c r="M92" i="14" s="1"/>
  <c r="Q92" i="14" s="1"/>
  <c r="W92" i="14" s="1"/>
  <c r="S41" i="14"/>
  <c r="W41" i="14" s="1"/>
  <c r="Q41" i="14"/>
  <c r="U41" i="14" s="1"/>
  <c r="Q25" i="14"/>
  <c r="U25" i="14" s="1"/>
  <c r="S25" i="14"/>
  <c r="W25" i="14" s="1"/>
  <c r="Q31" i="14"/>
  <c r="U31" i="14" s="1"/>
  <c r="T31" i="14"/>
  <c r="S31" i="14"/>
  <c r="W31" i="14" s="1"/>
  <c r="T61" i="14"/>
  <c r="T15" i="14"/>
  <c r="S13" i="14"/>
  <c r="W13" i="14" s="1"/>
  <c r="T13" i="14"/>
  <c r="Q13" i="14"/>
  <c r="U13" i="14" s="1"/>
  <c r="R77" i="14"/>
  <c r="V77" i="14" s="1"/>
  <c r="P77" i="14"/>
  <c r="T77" i="14" s="1"/>
  <c r="T33" i="14"/>
  <c r="S44" i="14"/>
  <c r="W44" i="14" s="1"/>
  <c r="T44" i="14"/>
  <c r="Q44" i="14"/>
  <c r="U44" i="14" s="1"/>
  <c r="N41" i="14"/>
  <c r="R41" i="14" s="1"/>
  <c r="X41" i="14" s="1"/>
  <c r="T56" i="14"/>
  <c r="S56" i="14"/>
  <c r="W56" i="14" s="1"/>
  <c r="Q56" i="14"/>
  <c r="U56" i="14" s="1"/>
  <c r="P76" i="14"/>
  <c r="T76" i="14" s="1"/>
  <c r="R76" i="14"/>
  <c r="V76" i="14" s="1"/>
  <c r="Q37" i="14"/>
  <c r="U37" i="14" s="1"/>
  <c r="S37" i="14"/>
  <c r="W37" i="14" s="1"/>
  <c r="N86" i="14"/>
  <c r="K86" i="14"/>
  <c r="M86" i="14" s="1"/>
  <c r="Q86" i="14" s="1"/>
  <c r="W86" i="14" s="1"/>
  <c r="O86" i="14"/>
  <c r="U86" i="14" s="1"/>
  <c r="K93" i="14"/>
  <c r="M93" i="14" s="1"/>
  <c r="Q93" i="14" s="1"/>
  <c r="W93" i="14" s="1"/>
  <c r="O93" i="14"/>
  <c r="U93" i="14" s="1"/>
  <c r="N93" i="14"/>
  <c r="J12" i="14"/>
  <c r="L12" i="14" s="1"/>
  <c r="M12" i="14" s="1"/>
  <c r="O76" i="14"/>
  <c r="U76" i="14" s="1"/>
  <c r="N76" i="14"/>
  <c r="K76" i="14"/>
  <c r="M76" i="14" s="1"/>
  <c r="Q76" i="14" s="1"/>
  <c r="W76" i="14" s="1"/>
  <c r="O31" i="14"/>
  <c r="T62" i="14"/>
  <c r="S62" i="14"/>
  <c r="W62" i="14" s="1"/>
  <c r="Q62" i="14"/>
  <c r="U62" i="14" s="1"/>
  <c r="Q64" i="14"/>
  <c r="U64" i="14" s="1"/>
  <c r="S64" i="14"/>
  <c r="W64" i="14" s="1"/>
  <c r="P84" i="14"/>
  <c r="T84" i="14" s="1"/>
  <c r="R84" i="14"/>
  <c r="V84" i="14" s="1"/>
  <c r="O88" i="14"/>
  <c r="U88" i="14" s="1"/>
  <c r="N88" i="14"/>
  <c r="K88" i="14"/>
  <c r="M88" i="14" s="1"/>
  <c r="Q88" i="14" s="1"/>
  <c r="W88" i="14" s="1"/>
  <c r="N75" i="14"/>
  <c r="K75" i="14"/>
  <c r="M75" i="14" s="1"/>
  <c r="Q75" i="14" s="1"/>
  <c r="W75" i="14" s="1"/>
  <c r="O75" i="14"/>
  <c r="U75" i="14" s="1"/>
  <c r="T36" i="14"/>
  <c r="Q36" i="14"/>
  <c r="U36" i="14" s="1"/>
  <c r="S36" i="14"/>
  <c r="W36" i="14" s="1"/>
  <c r="Q14" i="14"/>
  <c r="U14" i="14" s="1"/>
  <c r="S14" i="14"/>
  <c r="W14" i="14" s="1"/>
  <c r="T35" i="14"/>
  <c r="O56" i="14"/>
  <c r="S29" i="14"/>
  <c r="W29" i="14" s="1"/>
  <c r="T29" i="14"/>
  <c r="Q29" i="14"/>
  <c r="U29" i="14" s="1"/>
  <c r="T51" i="14"/>
  <c r="S16" i="14"/>
  <c r="W16" i="14" s="1"/>
  <c r="Q16" i="14"/>
  <c r="U16" i="14" s="1"/>
  <c r="T16" i="14"/>
  <c r="O91" i="14"/>
  <c r="U91" i="14" s="1"/>
  <c r="N91" i="14"/>
  <c r="K91" i="14"/>
  <c r="M91" i="14" s="1"/>
  <c r="Q91" i="14" s="1"/>
  <c r="W91" i="14" s="1"/>
  <c r="O13" i="14"/>
  <c r="Q40" i="14"/>
  <c r="U40" i="14" s="1"/>
  <c r="S40" i="14"/>
  <c r="W40" i="14" s="1"/>
  <c r="P80" i="14"/>
  <c r="T80" i="14" s="1"/>
  <c r="S80" i="14"/>
  <c r="R80" i="14"/>
  <c r="V80" i="14" s="1"/>
  <c r="Q27" i="14"/>
  <c r="U27" i="14" s="1"/>
  <c r="S27" i="14"/>
  <c r="W27" i="14" s="1"/>
  <c r="T59" i="14"/>
  <c r="O84" i="14"/>
  <c r="U84" i="14" s="1"/>
  <c r="N84" i="14"/>
  <c r="K84" i="14"/>
  <c r="M84" i="14" s="1"/>
  <c r="Q84" i="14" s="1"/>
  <c r="W84" i="14" s="1"/>
  <c r="R92" i="14"/>
  <c r="V92" i="14" s="1"/>
  <c r="P92" i="14"/>
  <c r="T92" i="14" s="1"/>
  <c r="N87" i="14"/>
  <c r="K87" i="14"/>
  <c r="M87" i="14" s="1"/>
  <c r="Q87" i="14" s="1"/>
  <c r="W87" i="14" s="1"/>
  <c r="O87" i="14"/>
  <c r="U87" i="14" s="1"/>
  <c r="O40" i="14"/>
  <c r="K83" i="14"/>
  <c r="O83" i="14"/>
  <c r="U83" i="14" s="1"/>
  <c r="N27" i="14"/>
  <c r="R27" i="14" s="1"/>
  <c r="X27" i="14" s="1"/>
  <c r="J9" i="14"/>
  <c r="L9" i="14" s="1"/>
  <c r="O36" i="14"/>
  <c r="J8" i="14"/>
  <c r="L8" i="14" s="1"/>
  <c r="O16" i="14"/>
  <c r="N25" i="14"/>
  <c r="R25" i="14" s="1"/>
  <c r="X25" i="14" s="1"/>
  <c r="N90" i="14"/>
  <c r="K90" i="14"/>
  <c r="M90" i="14" s="1"/>
  <c r="Q90" i="14" s="1"/>
  <c r="W90" i="14" s="1"/>
  <c r="O90" i="14"/>
  <c r="U90" i="14" s="1"/>
  <c r="T30" i="14"/>
  <c r="T57" i="14"/>
  <c r="T23" i="14"/>
  <c r="R93" i="14"/>
  <c r="V93" i="14" s="1"/>
  <c r="P93" i="14"/>
  <c r="T93" i="14" s="1"/>
  <c r="N78" i="14"/>
  <c r="K78" i="14"/>
  <c r="M78" i="14" s="1"/>
  <c r="Q78" i="14" s="1"/>
  <c r="W78" i="14" s="1"/>
  <c r="O78" i="14"/>
  <c r="U78" i="14" s="1"/>
  <c r="T63" i="14"/>
  <c r="N82" i="14"/>
  <c r="K82" i="14"/>
  <c r="M82" i="14" s="1"/>
  <c r="Q82" i="14" s="1"/>
  <c r="W82" i="14" s="1"/>
  <c r="O82" i="14"/>
  <c r="U82" i="14" s="1"/>
  <c r="R81" i="14"/>
  <c r="V81" i="14" s="1"/>
  <c r="P81" i="14"/>
  <c r="T81" i="14" s="1"/>
  <c r="R91" i="14"/>
  <c r="V91" i="14" s="1"/>
  <c r="P91" i="14"/>
  <c r="T91" i="14" s="1"/>
  <c r="P10" i="14"/>
  <c r="V10" i="14" s="1"/>
  <c r="O10" i="14"/>
  <c r="Q54" i="14"/>
  <c r="U54" i="14" s="1"/>
  <c r="T54" i="14"/>
  <c r="S54" i="14"/>
  <c r="W54" i="14" s="1"/>
  <c r="N79" i="14"/>
  <c r="K79" i="14"/>
  <c r="M79" i="14" s="1"/>
  <c r="Q79" i="14" s="1"/>
  <c r="W79" i="14" s="1"/>
  <c r="O79" i="14"/>
  <c r="U79" i="14" s="1"/>
  <c r="Q19" i="14"/>
  <c r="U19" i="14" s="1"/>
  <c r="T19" i="14"/>
  <c r="S19" i="14"/>
  <c r="W19" i="14" s="1"/>
  <c r="N40" i="14"/>
  <c r="R40" i="14" s="1"/>
  <c r="X40" i="14" s="1"/>
  <c r="M11" i="14"/>
  <c r="O11" i="14" s="1"/>
  <c r="K81" i="14"/>
  <c r="M81" i="14" s="1"/>
  <c r="Q81" i="14" s="1"/>
  <c r="W81" i="14" s="1"/>
  <c r="N81" i="14"/>
  <c r="O81" i="14"/>
  <c r="U81" i="14" s="1"/>
  <c r="L83" i="14"/>
  <c r="M10" i="14"/>
  <c r="O27" i="14"/>
  <c r="O29" i="14"/>
  <c r="S69" i="14"/>
  <c r="W69" i="14" s="1"/>
  <c r="Q69" i="14"/>
  <c r="U69" i="14" s="1"/>
  <c r="N37" i="14"/>
  <c r="R37" i="14" s="1"/>
  <c r="X37" i="14" s="1"/>
  <c r="T28" i="14"/>
  <c r="K85" i="14"/>
  <c r="M85" i="14" s="1"/>
  <c r="Q85" i="14" s="1"/>
  <c r="W85" i="14" s="1"/>
  <c r="N85" i="14"/>
  <c r="O85" i="14"/>
  <c r="U85" i="14" s="1"/>
  <c r="R86" i="14"/>
  <c r="V86" i="14" s="1"/>
  <c r="P86" i="14"/>
  <c r="T86" i="14" s="1"/>
  <c r="Q22" i="14"/>
  <c r="U22" i="14" s="1"/>
  <c r="S22" i="14"/>
  <c r="W22" i="14" s="1"/>
  <c r="T22" i="14"/>
  <c r="T39" i="14"/>
  <c r="T52" i="14"/>
  <c r="K89" i="14"/>
  <c r="M89" i="14" s="1"/>
  <c r="Q89" i="14" s="1"/>
  <c r="W89" i="14" s="1"/>
  <c r="N89" i="14"/>
  <c r="O89" i="14"/>
  <c r="U89" i="14" s="1"/>
  <c r="R90" i="14"/>
  <c r="V90" i="14" s="1"/>
  <c r="P90" i="14"/>
  <c r="T90" i="14" s="1"/>
  <c r="N26" i="14"/>
  <c r="R26" i="14" s="1"/>
  <c r="X26" i="14" s="1"/>
  <c r="S60" i="14"/>
  <c r="W60" i="14" s="1"/>
  <c r="T60" i="14"/>
  <c r="Q60" i="14"/>
  <c r="U60" i="14" s="1"/>
  <c r="T47" i="14"/>
  <c r="T65" i="14"/>
  <c r="N14" i="14"/>
  <c r="R14" i="14" s="1"/>
  <c r="X14" i="14" s="1"/>
  <c r="K77" i="14"/>
  <c r="M77" i="14" s="1"/>
  <c r="Q77" i="14" s="1"/>
  <c r="W77" i="14" s="1"/>
  <c r="N77" i="14"/>
  <c r="O77" i="14"/>
  <c r="U77" i="14" s="1"/>
  <c r="T48" i="14"/>
  <c r="O22" i="14"/>
  <c r="T42" i="14"/>
  <c r="T24" i="14"/>
  <c r="T26" i="14" l="1"/>
  <c r="S90" i="14"/>
  <c r="S93" i="14"/>
  <c r="S91" i="14"/>
  <c r="S85" i="14"/>
  <c r="T69" i="14"/>
  <c r="T67" i="14"/>
  <c r="S75" i="14"/>
  <c r="S12" i="14"/>
  <c r="W12" i="14" s="1"/>
  <c r="Q12" i="14"/>
  <c r="U12" i="14" s="1"/>
  <c r="P8" i="14"/>
  <c r="V8" i="14" s="1"/>
  <c r="P9" i="14"/>
  <c r="V9" i="14" s="1"/>
  <c r="N9" i="14"/>
  <c r="R9" i="14" s="1"/>
  <c r="X9" i="14" s="1"/>
  <c r="T40" i="14"/>
  <c r="T37" i="14"/>
  <c r="S92" i="14"/>
  <c r="T25" i="14"/>
  <c r="S78" i="14"/>
  <c r="N11" i="14"/>
  <c r="R11" i="14" s="1"/>
  <c r="X11" i="14" s="1"/>
  <c r="R83" i="14"/>
  <c r="V83" i="14" s="1"/>
  <c r="P83" i="14"/>
  <c r="T83" i="14" s="1"/>
  <c r="S81" i="14"/>
  <c r="M83" i="14"/>
  <c r="Q83" i="14" s="1"/>
  <c r="W83" i="14" s="1"/>
  <c r="T14" i="14"/>
  <c r="S76" i="14"/>
  <c r="S77" i="14"/>
  <c r="S10" i="14"/>
  <c r="W10" i="14" s="1"/>
  <c r="Q10" i="14"/>
  <c r="U10" i="14" s="1"/>
  <c r="S86" i="14"/>
  <c r="M8" i="14"/>
  <c r="O8" i="14" s="1"/>
  <c r="N83" i="14"/>
  <c r="S84" i="14"/>
  <c r="N12" i="14"/>
  <c r="R12" i="14" s="1"/>
  <c r="X12" i="14" s="1"/>
  <c r="P12" i="14"/>
  <c r="V12" i="14" s="1"/>
  <c r="O12" i="14"/>
  <c r="T41" i="14"/>
  <c r="S89" i="14"/>
  <c r="S82" i="14"/>
  <c r="S11" i="14"/>
  <c r="W11" i="14" s="1"/>
  <c r="Q11" i="14"/>
  <c r="U11" i="14" s="1"/>
  <c r="M9" i="14"/>
  <c r="O9" i="14" s="1"/>
  <c r="T27" i="14"/>
  <c r="S79" i="14"/>
  <c r="S88" i="14"/>
  <c r="N10" i="14"/>
  <c r="R10" i="14" s="1"/>
  <c r="X10" i="14" s="1"/>
  <c r="T64" i="14"/>
  <c r="S87" i="14"/>
  <c r="N8" i="14" l="1"/>
  <c r="R8" i="14" s="1"/>
  <c r="X8" i="14" s="1"/>
  <c r="S83" i="14"/>
  <c r="T12" i="14"/>
  <c r="S8" i="14"/>
  <c r="W8" i="14" s="1"/>
  <c r="Q8" i="14"/>
  <c r="U8" i="14" s="1"/>
  <c r="T9" i="14"/>
  <c r="S9" i="14"/>
  <c r="W9" i="14" s="1"/>
  <c r="Q9" i="14"/>
  <c r="U9" i="14" s="1"/>
  <c r="T11" i="14"/>
  <c r="T10" i="14"/>
  <c r="T8" i="14" l="1"/>
  <c r="V43" i="12" l="1"/>
  <c r="S43" i="12"/>
  <c r="R43" i="12"/>
  <c r="Q43" i="12"/>
  <c r="V42" i="12"/>
  <c r="S42" i="12"/>
  <c r="R42" i="12"/>
  <c r="Q42" i="12"/>
  <c r="V41" i="12"/>
  <c r="S41" i="12"/>
  <c r="R41" i="12"/>
  <c r="Q41" i="12"/>
  <c r="V40" i="12"/>
  <c r="S40" i="12"/>
  <c r="R40" i="12"/>
  <c r="Q40" i="12"/>
  <c r="V39" i="12"/>
  <c r="S39" i="12"/>
  <c r="R39" i="12"/>
  <c r="Q39" i="12"/>
  <c r="V38" i="12"/>
  <c r="S38" i="12"/>
  <c r="R38" i="12"/>
  <c r="Q38" i="12"/>
  <c r="V37" i="12"/>
  <c r="S37" i="12"/>
  <c r="R37" i="12"/>
  <c r="Q37" i="12"/>
  <c r="V36" i="12"/>
  <c r="S36" i="12"/>
  <c r="R36" i="12"/>
  <c r="Q36" i="12"/>
  <c r="V35" i="12"/>
  <c r="S35" i="12"/>
  <c r="R35" i="12"/>
  <c r="Q35" i="12"/>
  <c r="V34" i="12"/>
  <c r="S34" i="12"/>
  <c r="R34" i="12"/>
  <c r="Q34" i="12"/>
  <c r="V33" i="12"/>
  <c r="S33" i="12"/>
  <c r="R33" i="12"/>
  <c r="Q33" i="12"/>
  <c r="V32" i="12"/>
  <c r="S32" i="12"/>
  <c r="R32" i="12"/>
  <c r="Q32" i="12"/>
  <c r="V31" i="12"/>
  <c r="S31" i="12"/>
  <c r="R31" i="12"/>
  <c r="Q31" i="12"/>
  <c r="V30" i="12"/>
  <c r="S30" i="12"/>
  <c r="R30" i="12"/>
  <c r="Q30" i="12"/>
  <c r="V29" i="12"/>
  <c r="S29" i="12"/>
  <c r="R29" i="12"/>
  <c r="Q29" i="12"/>
  <c r="V28" i="12"/>
  <c r="S28" i="12"/>
  <c r="R28" i="12"/>
  <c r="Q28" i="12"/>
  <c r="V27" i="12"/>
  <c r="S27" i="12"/>
  <c r="R27" i="12"/>
  <c r="Q27" i="12"/>
  <c r="V26" i="12"/>
  <c r="S26" i="12"/>
  <c r="R26" i="12"/>
  <c r="Q26" i="12"/>
  <c r="V25" i="12"/>
  <c r="S25" i="12"/>
  <c r="R25" i="12"/>
  <c r="Q25" i="12"/>
  <c r="V24" i="12"/>
  <c r="S24" i="12"/>
  <c r="R24" i="12"/>
  <c r="Q24" i="12"/>
  <c r="V23" i="12"/>
  <c r="S23" i="12"/>
  <c r="R23" i="12"/>
  <c r="Q23" i="12"/>
  <c r="V22" i="12"/>
  <c r="S22" i="12"/>
  <c r="R22" i="12"/>
  <c r="Q22" i="12"/>
  <c r="V21" i="12"/>
  <c r="S21" i="12"/>
  <c r="R21" i="12"/>
  <c r="Q21" i="12"/>
  <c r="V20" i="12"/>
  <c r="S20" i="12"/>
  <c r="R20" i="12"/>
  <c r="Q20" i="12"/>
  <c r="V19" i="12"/>
  <c r="S19" i="12"/>
  <c r="R19" i="12"/>
  <c r="Q19" i="12"/>
  <c r="V18" i="12"/>
  <c r="S18" i="12"/>
  <c r="R18" i="12"/>
  <c r="Q18" i="12"/>
  <c r="V17" i="12"/>
  <c r="S17" i="12"/>
  <c r="R17" i="12"/>
  <c r="Q17" i="12"/>
  <c r="V16" i="12"/>
  <c r="S16" i="12"/>
  <c r="R16" i="12"/>
  <c r="Q16" i="12"/>
  <c r="V15" i="12"/>
  <c r="S15" i="12"/>
  <c r="R15" i="12"/>
  <c r="Q15" i="12"/>
  <c r="V14" i="12"/>
  <c r="U14" i="12"/>
  <c r="T14" i="12"/>
  <c r="S14" i="12"/>
  <c r="R14" i="12"/>
  <c r="Q14" i="12"/>
  <c r="V13" i="12"/>
  <c r="S13" i="12"/>
  <c r="R13" i="12"/>
  <c r="Q13" i="12"/>
  <c r="M13" i="12"/>
  <c r="L13" i="12"/>
  <c r="V12" i="12"/>
  <c r="S12" i="12"/>
  <c r="R12" i="12"/>
  <c r="Q12" i="12"/>
  <c r="M12" i="12"/>
  <c r="V11" i="12"/>
  <c r="S11" i="12"/>
  <c r="R11" i="12"/>
  <c r="Q11" i="12"/>
  <c r="M11" i="12"/>
  <c r="L11" i="12"/>
  <c r="V10" i="12"/>
  <c r="S10" i="12"/>
  <c r="R10" i="12"/>
  <c r="Q10" i="12"/>
  <c r="M10" i="12"/>
  <c r="V9" i="12"/>
  <c r="S9" i="12"/>
  <c r="R9" i="12"/>
  <c r="Q9" i="12"/>
  <c r="M9" i="12"/>
  <c r="V8" i="12"/>
  <c r="S8" i="12"/>
  <c r="R8" i="12"/>
  <c r="Q8" i="12"/>
  <c r="M8" i="12"/>
  <c r="L8" i="12"/>
  <c r="N8" i="12" s="1"/>
  <c r="V7" i="12"/>
  <c r="S7" i="12"/>
  <c r="R7" i="12"/>
  <c r="Q7" i="12"/>
  <c r="M7" i="12"/>
  <c r="V6" i="12"/>
  <c r="S6" i="12"/>
  <c r="R6" i="12"/>
  <c r="Q6" i="12"/>
  <c r="M6" i="12"/>
  <c r="V5" i="12"/>
  <c r="S5" i="12"/>
  <c r="R5" i="12"/>
  <c r="Q5" i="12"/>
  <c r="M5" i="12"/>
  <c r="V4" i="12"/>
  <c r="S4" i="12"/>
  <c r="R4" i="12"/>
  <c r="Q4" i="12"/>
  <c r="M4" i="12"/>
  <c r="L15" i="9"/>
  <c r="N15" i="9" s="1"/>
  <c r="K14" i="9"/>
  <c r="K15" i="9" s="1"/>
  <c r="K16" i="9" s="1"/>
  <c r="M12" i="9"/>
  <c r="M11" i="9"/>
  <c r="L11" i="9"/>
  <c r="N11" i="9" s="1"/>
  <c r="M10" i="9"/>
  <c r="M9" i="9"/>
  <c r="M8" i="9"/>
  <c r="M7" i="9"/>
  <c r="L7" i="9"/>
  <c r="N7" i="9" s="1"/>
  <c r="M6" i="9"/>
  <c r="L6" i="9"/>
  <c r="N6" i="9" s="1"/>
  <c r="M5" i="9"/>
  <c r="L5" i="9"/>
  <c r="K30" i="9"/>
  <c r="L30" i="9" s="1"/>
  <c r="N30" i="9" s="1"/>
  <c r="M4" i="9"/>
  <c r="L10" i="9"/>
  <c r="N10" i="9" s="1"/>
  <c r="M3" i="9"/>
  <c r="Q60" i="13"/>
  <c r="L60" i="13"/>
  <c r="N60" i="13" s="1"/>
  <c r="Q57" i="13"/>
  <c r="L57" i="13"/>
  <c r="N57" i="13" s="1"/>
  <c r="Q54" i="13"/>
  <c r="L54" i="13"/>
  <c r="N54" i="13" s="1"/>
  <c r="Q51" i="13"/>
  <c r="L51" i="13"/>
  <c r="N51" i="13" s="1"/>
  <c r="Q48" i="13"/>
  <c r="L48" i="13"/>
  <c r="N48" i="13" s="1"/>
  <c r="Q45" i="13"/>
  <c r="L45" i="13"/>
  <c r="N45" i="13" s="1"/>
  <c r="Q42" i="13"/>
  <c r="L42" i="13"/>
  <c r="N42" i="13" s="1"/>
  <c r="Q39" i="13"/>
  <c r="L39" i="13"/>
  <c r="N39" i="13" s="1"/>
  <c r="Q36" i="13"/>
  <c r="L36" i="13"/>
  <c r="N36" i="13" s="1"/>
  <c r="Q33" i="13"/>
  <c r="L33" i="13"/>
  <c r="N33" i="13" s="1"/>
  <c r="Q30" i="13"/>
  <c r="L30" i="13"/>
  <c r="N30" i="13" s="1"/>
  <c r="Q27" i="13"/>
  <c r="L27" i="13"/>
  <c r="N27" i="13" s="1"/>
  <c r="Q24" i="13"/>
  <c r="L24" i="13"/>
  <c r="N24" i="13" s="1"/>
  <c r="Q21" i="13"/>
  <c r="L21" i="13"/>
  <c r="N21" i="13" s="1"/>
  <c r="Q18" i="13"/>
  <c r="L18" i="13"/>
  <c r="N18" i="13" s="1"/>
  <c r="Q15" i="13"/>
  <c r="L15" i="13"/>
  <c r="N15" i="13" s="1"/>
  <c r="C15" i="13"/>
  <c r="Q59" i="13" s="1"/>
  <c r="L14" i="13"/>
  <c r="N14" i="13" s="1"/>
  <c r="Q13" i="13"/>
  <c r="L13" i="13"/>
  <c r="N13" i="13" s="1"/>
  <c r="Q12" i="13"/>
  <c r="Q11" i="13"/>
  <c r="L11" i="13"/>
  <c r="Q10" i="13"/>
  <c r="L10" i="13"/>
  <c r="N10" i="13" s="1"/>
  <c r="L12" i="13"/>
  <c r="N12" i="13" s="1"/>
  <c r="Q9" i="13"/>
  <c r="Q8" i="13"/>
  <c r="L8" i="13"/>
  <c r="N8" i="13" s="1"/>
  <c r="C8" i="13"/>
  <c r="M7" i="13" s="1"/>
  <c r="Q7" i="13"/>
  <c r="L7" i="13"/>
  <c r="N7" i="13" s="1"/>
  <c r="Q6" i="13"/>
  <c r="L6" i="13"/>
  <c r="N6" i="13" s="1"/>
  <c r="Q5" i="13"/>
  <c r="L5" i="13"/>
  <c r="N5" i="13" s="1"/>
  <c r="Q4" i="13"/>
  <c r="L4" i="13"/>
  <c r="N4" i="13" s="1"/>
  <c r="Q60" i="10"/>
  <c r="Q59" i="10"/>
  <c r="Q58" i="10"/>
  <c r="Q57" i="10"/>
  <c r="M57" i="10" s="1"/>
  <c r="Q56" i="10"/>
  <c r="Q55" i="10"/>
  <c r="Q54" i="10"/>
  <c r="Q53" i="10"/>
  <c r="Q52" i="10"/>
  <c r="Q51" i="10"/>
  <c r="Q50" i="10"/>
  <c r="Q49" i="10"/>
  <c r="Q48" i="10"/>
  <c r="M48" i="10" s="1"/>
  <c r="Q47" i="10"/>
  <c r="Q46" i="10"/>
  <c r="Q45" i="10"/>
  <c r="M45" i="10" s="1"/>
  <c r="Q44" i="10"/>
  <c r="M44" i="10"/>
  <c r="Q43" i="10"/>
  <c r="L43" i="10"/>
  <c r="N43" i="10" s="1"/>
  <c r="Q42" i="10"/>
  <c r="L42" i="10"/>
  <c r="N42" i="10" s="1"/>
  <c r="Q41" i="10"/>
  <c r="M41" i="10"/>
  <c r="Q40" i="10"/>
  <c r="T39" i="10"/>
  <c r="Q39" i="10"/>
  <c r="M39" i="10" s="1"/>
  <c r="O39" i="10" s="1"/>
  <c r="L39" i="10"/>
  <c r="N39" i="10" s="1"/>
  <c r="Q38" i="10"/>
  <c r="Q37" i="10"/>
  <c r="M37" i="10"/>
  <c r="O37" i="10" s="1"/>
  <c r="T37" i="10" s="1"/>
  <c r="L37" i="10"/>
  <c r="N37" i="10" s="1"/>
  <c r="Q36" i="10"/>
  <c r="L36" i="10"/>
  <c r="N36" i="10" s="1"/>
  <c r="Q35" i="10"/>
  <c r="M35" i="10" s="1"/>
  <c r="Q34" i="10"/>
  <c r="M34" i="10"/>
  <c r="Q33" i="10"/>
  <c r="L33" i="10"/>
  <c r="N33" i="10" s="1"/>
  <c r="Q32" i="10"/>
  <c r="Q31" i="10"/>
  <c r="M31" i="10" s="1"/>
  <c r="O31" i="10" s="1"/>
  <c r="T31" i="10" s="1"/>
  <c r="L31" i="10"/>
  <c r="N31" i="10" s="1"/>
  <c r="Q30" i="10"/>
  <c r="M30" i="10" s="1"/>
  <c r="O30" i="10" s="1"/>
  <c r="T30" i="10" s="1"/>
  <c r="L30" i="10"/>
  <c r="N30" i="10" s="1"/>
  <c r="Q29" i="10"/>
  <c r="M29" i="10"/>
  <c r="Q28" i="10"/>
  <c r="M28" i="10"/>
  <c r="Q27" i="10"/>
  <c r="M27" i="10" s="1"/>
  <c r="O27" i="10" s="1"/>
  <c r="T27" i="10" s="1"/>
  <c r="L27" i="10"/>
  <c r="N27" i="10" s="1"/>
  <c r="Q26" i="10"/>
  <c r="N26" i="10"/>
  <c r="L26" i="10"/>
  <c r="Q25" i="10"/>
  <c r="M25" i="10" s="1"/>
  <c r="O25" i="10" s="1"/>
  <c r="T25" i="10" s="1"/>
  <c r="L25" i="10"/>
  <c r="N25" i="10" s="1"/>
  <c r="Q24" i="10"/>
  <c r="M24" i="10" s="1"/>
  <c r="O24" i="10" s="1"/>
  <c r="T24" i="10" s="1"/>
  <c r="L24" i="10"/>
  <c r="N24" i="10" s="1"/>
  <c r="Q23" i="10"/>
  <c r="L23" i="10"/>
  <c r="N23" i="10" s="1"/>
  <c r="T22" i="10"/>
  <c r="Q22" i="10"/>
  <c r="M22" i="10" s="1"/>
  <c r="O22" i="10" s="1"/>
  <c r="N22" i="10"/>
  <c r="P22" i="10" s="1"/>
  <c r="U22" i="10" s="1"/>
  <c r="L22" i="10"/>
  <c r="Q21" i="10"/>
  <c r="N21" i="10"/>
  <c r="L21" i="10"/>
  <c r="Q20" i="10"/>
  <c r="L20" i="10"/>
  <c r="N20" i="10" s="1"/>
  <c r="Q19" i="10"/>
  <c r="M19" i="10" s="1"/>
  <c r="O19" i="10" s="1"/>
  <c r="T19" i="10" s="1"/>
  <c r="L19" i="10"/>
  <c r="N19" i="10" s="1"/>
  <c r="Q18" i="10"/>
  <c r="M18" i="10" s="1"/>
  <c r="O18" i="10" s="1"/>
  <c r="T18" i="10" s="1"/>
  <c r="N18" i="10"/>
  <c r="L18" i="10"/>
  <c r="Q17" i="10"/>
  <c r="L17" i="10"/>
  <c r="N17" i="10" s="1"/>
  <c r="Q16" i="10"/>
  <c r="N16" i="10"/>
  <c r="L16" i="10"/>
  <c r="Q15" i="10"/>
  <c r="L15" i="10"/>
  <c r="N15" i="10" s="1"/>
  <c r="Q14" i="10"/>
  <c r="N14" i="10"/>
  <c r="L14" i="10"/>
  <c r="Q13" i="10"/>
  <c r="M13" i="10" s="1"/>
  <c r="O13" i="10" s="1"/>
  <c r="T13" i="10" s="1"/>
  <c r="N13" i="10"/>
  <c r="L13" i="10"/>
  <c r="Q12" i="10"/>
  <c r="M12" i="10" s="1"/>
  <c r="O12" i="10" s="1"/>
  <c r="T12" i="10" s="1"/>
  <c r="P12" i="10"/>
  <c r="U12" i="10" s="1"/>
  <c r="L12" i="10"/>
  <c r="N12" i="10" s="1"/>
  <c r="Q11" i="10"/>
  <c r="O11" i="10"/>
  <c r="T11" i="10" s="1"/>
  <c r="M11" i="10"/>
  <c r="L11" i="10"/>
  <c r="N11" i="10" s="1"/>
  <c r="C11" i="10"/>
  <c r="C12" i="10" s="1"/>
  <c r="Q10" i="10"/>
  <c r="M10" i="10" s="1"/>
  <c r="L10" i="10"/>
  <c r="N10" i="10" s="1"/>
  <c r="C10" i="10"/>
  <c r="L8" i="10" s="1"/>
  <c r="Q9" i="10"/>
  <c r="M9" i="10" s="1"/>
  <c r="Q8" i="10"/>
  <c r="M8" i="10" s="1"/>
  <c r="O8" i="10" s="1"/>
  <c r="T8" i="10" s="1"/>
  <c r="N8" i="10"/>
  <c r="C8" i="10"/>
  <c r="M40" i="10" s="1"/>
  <c r="Q7" i="10"/>
  <c r="N7" i="10"/>
  <c r="L7" i="10"/>
  <c r="Q6" i="10"/>
  <c r="M6" i="10" s="1"/>
  <c r="O6" i="10" s="1"/>
  <c r="T6" i="10" s="1"/>
  <c r="L6" i="10"/>
  <c r="N6" i="10" s="1"/>
  <c r="Q5" i="10"/>
  <c r="M5" i="10" s="1"/>
  <c r="O5" i="10"/>
  <c r="L5" i="10"/>
  <c r="N5" i="10" s="1"/>
  <c r="Q4" i="10"/>
  <c r="L4" i="10"/>
  <c r="N4" i="10" s="1"/>
  <c r="M60" i="5"/>
  <c r="M59" i="5"/>
  <c r="L59" i="5"/>
  <c r="N59" i="5" s="1"/>
  <c r="M58" i="5"/>
  <c r="L57" i="5"/>
  <c r="N57" i="5" s="1"/>
  <c r="M56" i="5"/>
  <c r="M55" i="5"/>
  <c r="M54" i="5"/>
  <c r="M52" i="5"/>
  <c r="M50" i="5"/>
  <c r="O50" i="5" s="1"/>
  <c r="T50" i="5" s="1"/>
  <c r="M49" i="5"/>
  <c r="M48" i="5"/>
  <c r="M47" i="5"/>
  <c r="M46" i="5"/>
  <c r="M44" i="5"/>
  <c r="M43" i="5"/>
  <c r="M42" i="5"/>
  <c r="L42" i="5"/>
  <c r="M40" i="5"/>
  <c r="M38" i="5"/>
  <c r="N37" i="5"/>
  <c r="M37" i="5"/>
  <c r="L37" i="5"/>
  <c r="M36" i="5"/>
  <c r="M35" i="5"/>
  <c r="M34" i="5"/>
  <c r="M32" i="5"/>
  <c r="M31" i="5"/>
  <c r="M30" i="5"/>
  <c r="L30" i="5"/>
  <c r="N30" i="5" s="1"/>
  <c r="L29" i="5"/>
  <c r="N29" i="5" s="1"/>
  <c r="M28" i="5"/>
  <c r="M27" i="5"/>
  <c r="M26" i="5"/>
  <c r="M25" i="5"/>
  <c r="L25" i="5"/>
  <c r="N25" i="5" s="1"/>
  <c r="M24" i="5"/>
  <c r="M23" i="5"/>
  <c r="L23" i="5"/>
  <c r="N23" i="5" s="1"/>
  <c r="M22" i="5"/>
  <c r="M20" i="5"/>
  <c r="M19" i="5"/>
  <c r="M18" i="5"/>
  <c r="M16" i="5"/>
  <c r="M15" i="5"/>
  <c r="M14" i="5"/>
  <c r="C10" i="5"/>
  <c r="L50" i="5" s="1"/>
  <c r="N50" i="5" s="1"/>
  <c r="C8" i="5"/>
  <c r="M53" i="5" s="1"/>
  <c r="L7" i="5"/>
  <c r="N7" i="5" s="1"/>
  <c r="L5" i="5"/>
  <c r="N5" i="5" s="1"/>
  <c r="O5" i="9" l="1"/>
  <c r="O6" i="9"/>
  <c r="T6" i="9" s="1"/>
  <c r="O7" i="9"/>
  <c r="O10" i="9"/>
  <c r="T10" i="9" s="1"/>
  <c r="N5" i="9"/>
  <c r="O11" i="9"/>
  <c r="T11" i="9" s="1"/>
  <c r="O7" i="13"/>
  <c r="T7" i="13" s="1"/>
  <c r="M30" i="13"/>
  <c r="O30" i="13" s="1"/>
  <c r="T30" i="13" s="1"/>
  <c r="M4" i="13"/>
  <c r="O4" i="13" s="1"/>
  <c r="M9" i="13"/>
  <c r="M15" i="13"/>
  <c r="O15" i="13" s="1"/>
  <c r="P15" i="13" s="1"/>
  <c r="U15" i="13" s="1"/>
  <c r="M39" i="13"/>
  <c r="O39" i="13" s="1"/>
  <c r="T39" i="13" s="1"/>
  <c r="M18" i="13"/>
  <c r="O18" i="13" s="1"/>
  <c r="T18" i="13" s="1"/>
  <c r="M42" i="13"/>
  <c r="O42" i="13" s="1"/>
  <c r="P42" i="13" s="1"/>
  <c r="U42" i="13" s="1"/>
  <c r="M5" i="13"/>
  <c r="O5" i="13" s="1"/>
  <c r="T5" i="13" s="1"/>
  <c r="M33" i="13"/>
  <c r="O33" i="13" s="1"/>
  <c r="T33" i="13" s="1"/>
  <c r="M24" i="13"/>
  <c r="M8" i="13"/>
  <c r="O8" i="13" s="1"/>
  <c r="P8" i="13" s="1"/>
  <c r="U8" i="13" s="1"/>
  <c r="M12" i="13"/>
  <c r="O12" i="13" s="1"/>
  <c r="T12" i="13" s="1"/>
  <c r="M10" i="13"/>
  <c r="O10" i="13" s="1"/>
  <c r="M13" i="13"/>
  <c r="O13" i="13" s="1"/>
  <c r="T13" i="13" s="1"/>
  <c r="M51" i="13"/>
  <c r="O51" i="13" s="1"/>
  <c r="T51" i="13" s="1"/>
  <c r="P7" i="13"/>
  <c r="U7" i="13" s="1"/>
  <c r="M54" i="13"/>
  <c r="O54" i="13" s="1"/>
  <c r="P54" i="13" s="1"/>
  <c r="U54" i="13" s="1"/>
  <c r="M36" i="13"/>
  <c r="M57" i="13"/>
  <c r="O57" i="13" s="1"/>
  <c r="T57" i="13" s="1"/>
  <c r="M59" i="13"/>
  <c r="M60" i="13"/>
  <c r="O60" i="13" s="1"/>
  <c r="T60" i="13" s="1"/>
  <c r="M21" i="13"/>
  <c r="O21" i="13" s="1"/>
  <c r="T21" i="13" s="1"/>
  <c r="P4" i="13"/>
  <c r="U4" i="13" s="1"/>
  <c r="M11" i="13"/>
  <c r="O11" i="13" s="1"/>
  <c r="M45" i="13"/>
  <c r="O45" i="13" s="1"/>
  <c r="T45" i="13" s="1"/>
  <c r="M6" i="13"/>
  <c r="O6" i="13" s="1"/>
  <c r="T6" i="13" s="1"/>
  <c r="M48" i="13"/>
  <c r="O48" i="13" s="1"/>
  <c r="T48" i="13" s="1"/>
  <c r="M27" i="13"/>
  <c r="O27" i="13" s="1"/>
  <c r="T27" i="13" s="1"/>
  <c r="P21" i="10"/>
  <c r="U21" i="10" s="1"/>
  <c r="N42" i="5"/>
  <c r="P42" i="5" s="1"/>
  <c r="U42" i="5" s="1"/>
  <c r="O42" i="5"/>
  <c r="P50" i="5"/>
  <c r="U50" i="5" s="1"/>
  <c r="T7" i="9"/>
  <c r="P7" i="9"/>
  <c r="U7" i="9" s="1"/>
  <c r="O36" i="5"/>
  <c r="T36" i="5" s="1"/>
  <c r="P7" i="10"/>
  <c r="U7" i="10" s="1"/>
  <c r="P19" i="10"/>
  <c r="U19" i="10" s="1"/>
  <c r="O40" i="10"/>
  <c r="T40" i="10" s="1"/>
  <c r="P23" i="5"/>
  <c r="U23" i="5" s="1"/>
  <c r="P36" i="10"/>
  <c r="U36" i="10" s="1"/>
  <c r="O38" i="5"/>
  <c r="T38" i="5" s="1"/>
  <c r="P18" i="10"/>
  <c r="U18" i="10" s="1"/>
  <c r="P31" i="10"/>
  <c r="U31" i="10" s="1"/>
  <c r="P37" i="10"/>
  <c r="U37" i="10" s="1"/>
  <c r="T5" i="10"/>
  <c r="P5" i="10"/>
  <c r="U5" i="10" s="1"/>
  <c r="M13" i="9"/>
  <c r="O9" i="10"/>
  <c r="T9" i="10" s="1"/>
  <c r="N11" i="12"/>
  <c r="O11" i="12"/>
  <c r="P6" i="10"/>
  <c r="U6" i="10" s="1"/>
  <c r="P24" i="10"/>
  <c r="U24" i="10" s="1"/>
  <c r="P13" i="10"/>
  <c r="U13" i="10" s="1"/>
  <c r="P17" i="10"/>
  <c r="U17" i="10" s="1"/>
  <c r="P11" i="10"/>
  <c r="U11" i="10" s="1"/>
  <c r="O15" i="5"/>
  <c r="T15" i="5" s="1"/>
  <c r="O25" i="5"/>
  <c r="T25" i="5" s="1"/>
  <c r="L39" i="5"/>
  <c r="N39" i="5" s="1"/>
  <c r="L53" i="5"/>
  <c r="O10" i="10"/>
  <c r="T10" i="10" s="1"/>
  <c r="L43" i="5"/>
  <c r="N43" i="5" s="1"/>
  <c r="N11" i="13"/>
  <c r="L60" i="5"/>
  <c r="L48" i="5"/>
  <c r="L36" i="5"/>
  <c r="N36" i="5" s="1"/>
  <c r="L24" i="5"/>
  <c r="L12" i="5"/>
  <c r="N12" i="5" s="1"/>
  <c r="L9" i="5"/>
  <c r="N9" i="5" s="1"/>
  <c r="L4" i="5"/>
  <c r="N4" i="5" s="1"/>
  <c r="L58" i="5"/>
  <c r="N58" i="5" s="1"/>
  <c r="L46" i="5"/>
  <c r="L34" i="5"/>
  <c r="L22" i="5"/>
  <c r="N22" i="5" s="1"/>
  <c r="L56" i="5"/>
  <c r="L44" i="5"/>
  <c r="L32" i="5"/>
  <c r="L20" i="5"/>
  <c r="L52" i="5"/>
  <c r="L40" i="5"/>
  <c r="N40" i="5" s="1"/>
  <c r="L28" i="5"/>
  <c r="N28" i="5" s="1"/>
  <c r="L16" i="5"/>
  <c r="N16" i="5" s="1"/>
  <c r="L11" i="5"/>
  <c r="N11" i="5" s="1"/>
  <c r="L54" i="5"/>
  <c r="N54" i="5" s="1"/>
  <c r="L49" i="5"/>
  <c r="N49" i="5" s="1"/>
  <c r="L19" i="5"/>
  <c r="N19" i="5" s="1"/>
  <c r="L10" i="5"/>
  <c r="N10" i="5" s="1"/>
  <c r="L8" i="5"/>
  <c r="N8" i="5" s="1"/>
  <c r="L6" i="5"/>
  <c r="N6" i="5" s="1"/>
  <c r="L51" i="5"/>
  <c r="N51" i="5" s="1"/>
  <c r="L41" i="5"/>
  <c r="N41" i="5" s="1"/>
  <c r="L31" i="5"/>
  <c r="N31" i="5" s="1"/>
  <c r="L26" i="5"/>
  <c r="N26" i="5" s="1"/>
  <c r="L21" i="5"/>
  <c r="N21" i="5" s="1"/>
  <c r="L14" i="5"/>
  <c r="N14" i="5" s="1"/>
  <c r="L38" i="5"/>
  <c r="N38" i="5" s="1"/>
  <c r="L33" i="5"/>
  <c r="N33" i="5" s="1"/>
  <c r="L18" i="5"/>
  <c r="N18" i="5" s="1"/>
  <c r="L55" i="5"/>
  <c r="N55" i="5" s="1"/>
  <c r="L15" i="5"/>
  <c r="N15" i="5" s="1"/>
  <c r="L13" i="5"/>
  <c r="N13" i="5" s="1"/>
  <c r="L47" i="5"/>
  <c r="N47" i="5" s="1"/>
  <c r="O44" i="10"/>
  <c r="T44" i="10" s="1"/>
  <c r="O24" i="13"/>
  <c r="T24" i="13" s="1"/>
  <c r="L27" i="5"/>
  <c r="N27" i="5" s="1"/>
  <c r="O30" i="5"/>
  <c r="T30" i="5" s="1"/>
  <c r="O55" i="5"/>
  <c r="T55" i="5" s="1"/>
  <c r="C12" i="5"/>
  <c r="L17" i="5"/>
  <c r="N17" i="5" s="1"/>
  <c r="O31" i="5"/>
  <c r="T31" i="5" s="1"/>
  <c r="L35" i="5"/>
  <c r="N35" i="5" s="1"/>
  <c r="L45" i="5"/>
  <c r="N45" i="5" s="1"/>
  <c r="P25" i="10"/>
  <c r="U25" i="10" s="1"/>
  <c r="O27" i="5"/>
  <c r="T27" i="5" s="1"/>
  <c r="O37" i="5"/>
  <c r="T37" i="5" s="1"/>
  <c r="M16" i="10"/>
  <c r="O16" i="10" s="1"/>
  <c r="T16" i="10" s="1"/>
  <c r="M51" i="10"/>
  <c r="O51" i="10" s="1"/>
  <c r="T51" i="10" s="1"/>
  <c r="M60" i="10"/>
  <c r="P30" i="13"/>
  <c r="U30" i="13" s="1"/>
  <c r="O36" i="13"/>
  <c r="T36" i="13" s="1"/>
  <c r="O23" i="5"/>
  <c r="T23" i="5" s="1"/>
  <c r="O43" i="5"/>
  <c r="T43" i="5" s="1"/>
  <c r="O13" i="12"/>
  <c r="N13" i="12"/>
  <c r="M58" i="10"/>
  <c r="O58" i="10" s="1"/>
  <c r="T58" i="10" s="1"/>
  <c r="M55" i="10"/>
  <c r="M52" i="10"/>
  <c r="M49" i="10"/>
  <c r="M46" i="10"/>
  <c r="O46" i="10" s="1"/>
  <c r="T46" i="10" s="1"/>
  <c r="M43" i="10"/>
  <c r="O43" i="10" s="1"/>
  <c r="T43" i="10" s="1"/>
  <c r="M59" i="10"/>
  <c r="M56" i="10"/>
  <c r="M53" i="10"/>
  <c r="O53" i="10" s="1"/>
  <c r="T53" i="10" s="1"/>
  <c r="M50" i="10"/>
  <c r="O50" i="10" s="1"/>
  <c r="T50" i="10" s="1"/>
  <c r="M47" i="10"/>
  <c r="M38" i="10"/>
  <c r="M32" i="10"/>
  <c r="O32" i="10" s="1"/>
  <c r="T32" i="10" s="1"/>
  <c r="M26" i="10"/>
  <c r="O26" i="10" s="1"/>
  <c r="T26" i="10" s="1"/>
  <c r="M23" i="10"/>
  <c r="O23" i="10" s="1"/>
  <c r="M20" i="10"/>
  <c r="O20" i="10" s="1"/>
  <c r="T20" i="10" s="1"/>
  <c r="M17" i="10"/>
  <c r="O17" i="10" s="1"/>
  <c r="T17" i="10" s="1"/>
  <c r="M14" i="10"/>
  <c r="O14" i="10" s="1"/>
  <c r="M7" i="10"/>
  <c r="O7" i="10" s="1"/>
  <c r="T7" i="10" s="1"/>
  <c r="M4" i="10"/>
  <c r="O4" i="10" s="1"/>
  <c r="M15" i="10"/>
  <c r="O15" i="10" s="1"/>
  <c r="T15" i="10" s="1"/>
  <c r="P27" i="10"/>
  <c r="U27" i="10" s="1"/>
  <c r="P30" i="10"/>
  <c r="U30" i="10" s="1"/>
  <c r="O59" i="5"/>
  <c r="P8" i="10"/>
  <c r="U8" i="10" s="1"/>
  <c r="M21" i="10"/>
  <c r="O21" i="10" s="1"/>
  <c r="T21" i="10" s="1"/>
  <c r="M33" i="10"/>
  <c r="O33" i="10" s="1"/>
  <c r="T33" i="10" s="1"/>
  <c r="M36" i="10"/>
  <c r="O36" i="10" s="1"/>
  <c r="T36" i="10" s="1"/>
  <c r="P39" i="10"/>
  <c r="U39" i="10" s="1"/>
  <c r="M54" i="10"/>
  <c r="M21" i="5"/>
  <c r="M33" i="5"/>
  <c r="O33" i="5" s="1"/>
  <c r="T33" i="5" s="1"/>
  <c r="M45" i="5"/>
  <c r="O45" i="5" s="1"/>
  <c r="T45" i="5" s="1"/>
  <c r="M57" i="5"/>
  <c r="O57" i="5" s="1"/>
  <c r="L59" i="10"/>
  <c r="N59" i="10" s="1"/>
  <c r="L56" i="10"/>
  <c r="N56" i="10" s="1"/>
  <c r="L53" i="10"/>
  <c r="N53" i="10" s="1"/>
  <c r="L50" i="10"/>
  <c r="N50" i="10" s="1"/>
  <c r="L47" i="10"/>
  <c r="N47" i="10" s="1"/>
  <c r="L44" i="10"/>
  <c r="N44" i="10" s="1"/>
  <c r="L41" i="10"/>
  <c r="N41" i="10" s="1"/>
  <c r="L38" i="10"/>
  <c r="N38" i="10" s="1"/>
  <c r="L35" i="10"/>
  <c r="N35" i="10" s="1"/>
  <c r="L32" i="10"/>
  <c r="N32" i="10" s="1"/>
  <c r="L29" i="10"/>
  <c r="N29" i="10" s="1"/>
  <c r="L60" i="10"/>
  <c r="N60" i="10" s="1"/>
  <c r="L57" i="10"/>
  <c r="N57" i="10" s="1"/>
  <c r="L54" i="10"/>
  <c r="N54" i="10" s="1"/>
  <c r="L51" i="10"/>
  <c r="N51" i="10" s="1"/>
  <c r="L48" i="10"/>
  <c r="N48" i="10" s="1"/>
  <c r="L58" i="10"/>
  <c r="N58" i="10" s="1"/>
  <c r="L55" i="10"/>
  <c r="N55" i="10" s="1"/>
  <c r="L52" i="10"/>
  <c r="N52" i="10" s="1"/>
  <c r="L49" i="10"/>
  <c r="N49" i="10" s="1"/>
  <c r="L46" i="10"/>
  <c r="N46" i="10" s="1"/>
  <c r="L28" i="10"/>
  <c r="L34" i="10"/>
  <c r="N34" i="10" s="1"/>
  <c r="L40" i="10"/>
  <c r="N40" i="10" s="1"/>
  <c r="T4" i="13"/>
  <c r="L16" i="9"/>
  <c r="N16" i="9" s="1"/>
  <c r="K17" i="9"/>
  <c r="O8" i="12"/>
  <c r="T8" i="12" s="1"/>
  <c r="M39" i="5"/>
  <c r="O39" i="5" s="1"/>
  <c r="T39" i="5" s="1"/>
  <c r="M51" i="5"/>
  <c r="O51" i="5" s="1"/>
  <c r="T51" i="5" s="1"/>
  <c r="M42" i="10"/>
  <c r="O42" i="10" s="1"/>
  <c r="T42" i="10" s="1"/>
  <c r="M17" i="5"/>
  <c r="M29" i="5"/>
  <c r="O29" i="5" s="1"/>
  <c r="T29" i="5" s="1"/>
  <c r="M41" i="5"/>
  <c r="O41" i="5" s="1"/>
  <c r="T41" i="5" s="1"/>
  <c r="L9" i="10"/>
  <c r="N9" i="10" s="1"/>
  <c r="L45" i="10"/>
  <c r="N45" i="10" s="1"/>
  <c r="P11" i="9"/>
  <c r="U11" i="9" s="1"/>
  <c r="L6" i="12"/>
  <c r="N6" i="12" s="1"/>
  <c r="L5" i="12"/>
  <c r="N5" i="12" s="1"/>
  <c r="L4" i="12"/>
  <c r="N4" i="12" s="1"/>
  <c r="L9" i="12"/>
  <c r="N9" i="12" s="1"/>
  <c r="L10" i="12"/>
  <c r="L12" i="12"/>
  <c r="N12" i="12" s="1"/>
  <c r="L7" i="12"/>
  <c r="N7" i="12" s="1"/>
  <c r="C11" i="13"/>
  <c r="C12" i="13" s="1"/>
  <c r="Q16" i="13"/>
  <c r="M16" i="13" s="1"/>
  <c r="Q19" i="13"/>
  <c r="M19" i="13" s="1"/>
  <c r="Q22" i="13"/>
  <c r="M22" i="13" s="1"/>
  <c r="Q25" i="13"/>
  <c r="M25" i="13" s="1"/>
  <c r="Q28" i="13"/>
  <c r="M28" i="13" s="1"/>
  <c r="Q31" i="13"/>
  <c r="M31" i="13" s="1"/>
  <c r="Q34" i="13"/>
  <c r="M34" i="13" s="1"/>
  <c r="Q37" i="13"/>
  <c r="M37" i="13" s="1"/>
  <c r="Q40" i="13"/>
  <c r="M40" i="13" s="1"/>
  <c r="Q43" i="13"/>
  <c r="M43" i="13" s="1"/>
  <c r="Q46" i="13"/>
  <c r="M46" i="13" s="1"/>
  <c r="Q49" i="13"/>
  <c r="M49" i="13" s="1"/>
  <c r="Q52" i="13"/>
  <c r="M52" i="13" s="1"/>
  <c r="Q55" i="13"/>
  <c r="M55" i="13" s="1"/>
  <c r="Q58" i="13"/>
  <c r="M58" i="13" s="1"/>
  <c r="L12" i="9"/>
  <c r="N12" i="9" s="1"/>
  <c r="L17" i="13"/>
  <c r="N17" i="13" s="1"/>
  <c r="L20" i="13"/>
  <c r="N20" i="13" s="1"/>
  <c r="L23" i="13"/>
  <c r="N23" i="13" s="1"/>
  <c r="L26" i="13"/>
  <c r="N26" i="13" s="1"/>
  <c r="L29" i="13"/>
  <c r="N29" i="13" s="1"/>
  <c r="L32" i="13"/>
  <c r="N32" i="13" s="1"/>
  <c r="L35" i="13"/>
  <c r="N35" i="13" s="1"/>
  <c r="L38" i="13"/>
  <c r="N38" i="13" s="1"/>
  <c r="L41" i="13"/>
  <c r="N41" i="13" s="1"/>
  <c r="L44" i="13"/>
  <c r="N44" i="13" s="1"/>
  <c r="L47" i="13"/>
  <c r="N47" i="13" s="1"/>
  <c r="L50" i="13"/>
  <c r="N50" i="13" s="1"/>
  <c r="L53" i="13"/>
  <c r="N53" i="13" s="1"/>
  <c r="L56" i="13"/>
  <c r="N56" i="13" s="1"/>
  <c r="L59" i="13"/>
  <c r="N59" i="13" s="1"/>
  <c r="L4" i="9"/>
  <c r="N4" i="9" s="1"/>
  <c r="L9" i="9"/>
  <c r="N9" i="9" s="1"/>
  <c r="L14" i="9"/>
  <c r="N14" i="9" s="1"/>
  <c r="L9" i="13"/>
  <c r="N9" i="13" s="1"/>
  <c r="Q14" i="13"/>
  <c r="M14" i="13" s="1"/>
  <c r="O14" i="13" s="1"/>
  <c r="T14" i="13" s="1"/>
  <c r="L16" i="13"/>
  <c r="N16" i="13" s="1"/>
  <c r="L19" i="13"/>
  <c r="N19" i="13" s="1"/>
  <c r="L22" i="13"/>
  <c r="N22" i="13" s="1"/>
  <c r="L25" i="13"/>
  <c r="N25" i="13" s="1"/>
  <c r="L28" i="13"/>
  <c r="N28" i="13" s="1"/>
  <c r="L31" i="13"/>
  <c r="N31" i="13" s="1"/>
  <c r="L34" i="13"/>
  <c r="N34" i="13" s="1"/>
  <c r="L37" i="13"/>
  <c r="N37" i="13" s="1"/>
  <c r="L40" i="13"/>
  <c r="N40" i="13" s="1"/>
  <c r="L43" i="13"/>
  <c r="N43" i="13" s="1"/>
  <c r="L46" i="13"/>
  <c r="N46" i="13" s="1"/>
  <c r="L49" i="13"/>
  <c r="N49" i="13" s="1"/>
  <c r="L52" i="13"/>
  <c r="N52" i="13" s="1"/>
  <c r="L55" i="13"/>
  <c r="N55" i="13" s="1"/>
  <c r="L58" i="13"/>
  <c r="N58" i="13" s="1"/>
  <c r="L3" i="9"/>
  <c r="L13" i="9"/>
  <c r="N13" i="9" s="1"/>
  <c r="Q17" i="13"/>
  <c r="M17" i="13" s="1"/>
  <c r="Q20" i="13"/>
  <c r="M20" i="13" s="1"/>
  <c r="Q23" i="13"/>
  <c r="M23" i="13" s="1"/>
  <c r="O23" i="13" s="1"/>
  <c r="T23" i="13" s="1"/>
  <c r="Q26" i="13"/>
  <c r="M26" i="13" s="1"/>
  <c r="Q29" i="13"/>
  <c r="M29" i="13" s="1"/>
  <c r="O29" i="13" s="1"/>
  <c r="T29" i="13" s="1"/>
  <c r="Q32" i="13"/>
  <c r="M32" i="13" s="1"/>
  <c r="Q35" i="13"/>
  <c r="M35" i="13" s="1"/>
  <c r="Q38" i="13"/>
  <c r="M38" i="13" s="1"/>
  <c r="Q41" i="13"/>
  <c r="M41" i="13" s="1"/>
  <c r="O41" i="13" s="1"/>
  <c r="T41" i="13" s="1"/>
  <c r="Q44" i="13"/>
  <c r="M44" i="13" s="1"/>
  <c r="Q47" i="13"/>
  <c r="M47" i="13" s="1"/>
  <c r="Q50" i="13"/>
  <c r="M50" i="13" s="1"/>
  <c r="Q53" i="13"/>
  <c r="M53" i="13" s="1"/>
  <c r="Q56" i="13"/>
  <c r="M56" i="13" s="1"/>
  <c r="L8" i="9"/>
  <c r="O50" i="13" l="1"/>
  <c r="T50" i="13" s="1"/>
  <c r="O47" i="13"/>
  <c r="T47" i="13" s="1"/>
  <c r="T5" i="9"/>
  <c r="P6" i="9"/>
  <c r="U6" i="9" s="1"/>
  <c r="P10" i="9"/>
  <c r="U10" i="9" s="1"/>
  <c r="P5" i="9"/>
  <c r="U5" i="9" s="1"/>
  <c r="T8" i="13"/>
  <c r="P5" i="13"/>
  <c r="U5" i="13" s="1"/>
  <c r="O38" i="13"/>
  <c r="T38" i="13" s="1"/>
  <c r="O55" i="13"/>
  <c r="T55" i="13" s="1"/>
  <c r="T11" i="13"/>
  <c r="P55" i="13"/>
  <c r="U55" i="13" s="1"/>
  <c r="O20" i="13"/>
  <c r="T20" i="13" s="1"/>
  <c r="O56" i="13"/>
  <c r="T56" i="13" s="1"/>
  <c r="P27" i="13"/>
  <c r="U27" i="13" s="1"/>
  <c r="T42" i="13"/>
  <c r="T15" i="13"/>
  <c r="P60" i="13"/>
  <c r="U60" i="13" s="1"/>
  <c r="P39" i="13"/>
  <c r="U39" i="13" s="1"/>
  <c r="P13" i="12"/>
  <c r="U13" i="12" s="1"/>
  <c r="O5" i="12"/>
  <c r="T5" i="12" s="1"/>
  <c r="P11" i="12"/>
  <c r="U11" i="12" s="1"/>
  <c r="P8" i="12"/>
  <c r="U8" i="12" s="1"/>
  <c r="T10" i="13"/>
  <c r="P10" i="13"/>
  <c r="U10" i="13" s="1"/>
  <c r="P48" i="13"/>
  <c r="U48" i="13" s="1"/>
  <c r="P6" i="13"/>
  <c r="U6" i="13" s="1"/>
  <c r="P24" i="13"/>
  <c r="U24" i="13" s="1"/>
  <c r="P12" i="13"/>
  <c r="U12" i="13" s="1"/>
  <c r="P13" i="13"/>
  <c r="U13" i="13" s="1"/>
  <c r="P14" i="13"/>
  <c r="U14" i="13" s="1"/>
  <c r="P57" i="13"/>
  <c r="U57" i="13" s="1"/>
  <c r="T54" i="13"/>
  <c r="P33" i="13"/>
  <c r="U33" i="13" s="1"/>
  <c r="P21" i="13"/>
  <c r="U21" i="13" s="1"/>
  <c r="O25" i="13"/>
  <c r="T25" i="13" s="1"/>
  <c r="O38" i="10"/>
  <c r="T38" i="10" s="1"/>
  <c r="P11" i="13"/>
  <c r="U11" i="13" s="1"/>
  <c r="O49" i="5"/>
  <c r="T49" i="5" s="1"/>
  <c r="P30" i="5"/>
  <c r="U30" i="5" s="1"/>
  <c r="O13" i="9"/>
  <c r="T13" i="9" s="1"/>
  <c r="M14" i="9"/>
  <c r="O3" i="9"/>
  <c r="N3" i="9"/>
  <c r="P50" i="13"/>
  <c r="U50" i="13" s="1"/>
  <c r="P16" i="5"/>
  <c r="U16" i="5" s="1"/>
  <c r="O44" i="13"/>
  <c r="T44" i="13" s="1"/>
  <c r="P47" i="13"/>
  <c r="U47" i="13" s="1"/>
  <c r="O58" i="13"/>
  <c r="T58" i="13" s="1"/>
  <c r="O22" i="13"/>
  <c r="T22" i="13" s="1"/>
  <c r="P44" i="10"/>
  <c r="U44" i="10" s="1"/>
  <c r="O47" i="10"/>
  <c r="T47" i="10" s="1"/>
  <c r="T13" i="12"/>
  <c r="P45" i="5"/>
  <c r="U45" i="5" s="1"/>
  <c r="P28" i="5"/>
  <c r="U28" i="5" s="1"/>
  <c r="P43" i="10"/>
  <c r="U43" i="10" s="1"/>
  <c r="O12" i="12"/>
  <c r="T12" i="12" s="1"/>
  <c r="O47" i="5"/>
  <c r="T47" i="5" s="1"/>
  <c r="T11" i="12"/>
  <c r="O26" i="5"/>
  <c r="T26" i="5" s="1"/>
  <c r="P10" i="10"/>
  <c r="U10" i="10" s="1"/>
  <c r="P38" i="10"/>
  <c r="U38" i="10" s="1"/>
  <c r="P47" i="10"/>
  <c r="U47" i="10" s="1"/>
  <c r="P31" i="5"/>
  <c r="U31" i="5" s="1"/>
  <c r="O58" i="5"/>
  <c r="T58" i="5" s="1"/>
  <c r="P49" i="10"/>
  <c r="U49" i="10" s="1"/>
  <c r="P58" i="10"/>
  <c r="U58" i="10" s="1"/>
  <c r="P41" i="13"/>
  <c r="U41" i="13" s="1"/>
  <c r="O16" i="13"/>
  <c r="T16" i="13" s="1"/>
  <c r="K18" i="9"/>
  <c r="L17" i="9"/>
  <c r="N17" i="9" s="1"/>
  <c r="P50" i="10"/>
  <c r="U50" i="10" s="1"/>
  <c r="O9" i="9"/>
  <c r="T9" i="9" s="1"/>
  <c r="O40" i="5"/>
  <c r="T40" i="5" s="1"/>
  <c r="P41" i="5"/>
  <c r="U41" i="5" s="1"/>
  <c r="N52" i="5"/>
  <c r="O52" i="5"/>
  <c r="T52" i="5" s="1"/>
  <c r="O24" i="5"/>
  <c r="N24" i="5"/>
  <c r="P24" i="5" s="1"/>
  <c r="U24" i="5" s="1"/>
  <c r="O19" i="5"/>
  <c r="T19" i="5" s="1"/>
  <c r="O7" i="12"/>
  <c r="T7" i="12" s="1"/>
  <c r="O28" i="5"/>
  <c r="T28" i="5" s="1"/>
  <c r="O41" i="10"/>
  <c r="T41" i="10" s="1"/>
  <c r="P15" i="10"/>
  <c r="U15" i="10" s="1"/>
  <c r="O35" i="10"/>
  <c r="T35" i="10" s="1"/>
  <c r="O52" i="13"/>
  <c r="T52" i="13" s="1"/>
  <c r="O35" i="13"/>
  <c r="T35" i="13" s="1"/>
  <c r="O49" i="13"/>
  <c r="T49" i="13" s="1"/>
  <c r="P9" i="10"/>
  <c r="U9" i="10" s="1"/>
  <c r="P51" i="10"/>
  <c r="U51" i="10" s="1"/>
  <c r="P53" i="10"/>
  <c r="U53" i="10" s="1"/>
  <c r="O54" i="10"/>
  <c r="T54" i="10" s="1"/>
  <c r="P4" i="10"/>
  <c r="U4" i="10" s="1"/>
  <c r="T4" i="10"/>
  <c r="O56" i="10"/>
  <c r="T56" i="10" s="1"/>
  <c r="O59" i="13"/>
  <c r="T59" i="13" s="1"/>
  <c r="O60" i="10"/>
  <c r="T60" i="10" s="1"/>
  <c r="P33" i="10"/>
  <c r="U33" i="10" s="1"/>
  <c r="O16" i="5"/>
  <c r="T16" i="5" s="1"/>
  <c r="P51" i="5"/>
  <c r="U51" i="5" s="1"/>
  <c r="N20" i="5"/>
  <c r="O20" i="5"/>
  <c r="T20" i="5" s="1"/>
  <c r="P36" i="5"/>
  <c r="U36" i="5" s="1"/>
  <c r="P18" i="13"/>
  <c r="U18" i="13" s="1"/>
  <c r="P36" i="13"/>
  <c r="U36" i="13" s="1"/>
  <c r="P45" i="13"/>
  <c r="U45" i="13" s="1"/>
  <c r="P35" i="5"/>
  <c r="U35" i="5" s="1"/>
  <c r="P43" i="5"/>
  <c r="U43" i="5" s="1"/>
  <c r="O32" i="13"/>
  <c r="T32" i="13" s="1"/>
  <c r="O46" i="13"/>
  <c r="T46" i="13" s="1"/>
  <c r="P56" i="10"/>
  <c r="U56" i="10" s="1"/>
  <c r="P42" i="10"/>
  <c r="U42" i="10" s="1"/>
  <c r="O59" i="10"/>
  <c r="T59" i="10" s="1"/>
  <c r="N32" i="5"/>
  <c r="O32" i="5"/>
  <c r="T32" i="5" s="1"/>
  <c r="N48" i="5"/>
  <c r="P48" i="5" s="1"/>
  <c r="U48" i="5" s="1"/>
  <c r="O48" i="5"/>
  <c r="O29" i="10"/>
  <c r="T29" i="10" s="1"/>
  <c r="P25" i="5"/>
  <c r="U25" i="5" s="1"/>
  <c r="O43" i="13"/>
  <c r="T43" i="13" s="1"/>
  <c r="T14" i="10"/>
  <c r="P14" i="10"/>
  <c r="U14" i="10" s="1"/>
  <c r="P15" i="5"/>
  <c r="U15" i="5" s="1"/>
  <c r="N44" i="5"/>
  <c r="P44" i="5" s="1"/>
  <c r="U44" i="5" s="1"/>
  <c r="O44" i="5"/>
  <c r="T44" i="5" s="1"/>
  <c r="P20" i="10"/>
  <c r="U20" i="10" s="1"/>
  <c r="O6" i="12"/>
  <c r="T6" i="12" s="1"/>
  <c r="M7" i="5"/>
  <c r="O7" i="5" s="1"/>
  <c r="M12" i="5"/>
  <c r="O12" i="5" s="1"/>
  <c r="T12" i="5" s="1"/>
  <c r="M5" i="5"/>
  <c r="O5" i="5" s="1"/>
  <c r="M11" i="5"/>
  <c r="O11" i="5" s="1"/>
  <c r="T11" i="5" s="1"/>
  <c r="M8" i="5"/>
  <c r="O8" i="5" s="1"/>
  <c r="T8" i="5" s="1"/>
  <c r="M4" i="5"/>
  <c r="O4" i="5" s="1"/>
  <c r="M13" i="5"/>
  <c r="O13" i="5" s="1"/>
  <c r="T13" i="5" s="1"/>
  <c r="M6" i="5"/>
  <c r="O6" i="5" s="1"/>
  <c r="T6" i="5" s="1"/>
  <c r="M10" i="5"/>
  <c r="O10" i="5" s="1"/>
  <c r="T10" i="5" s="1"/>
  <c r="M9" i="5"/>
  <c r="O9" i="5" s="1"/>
  <c r="T9" i="5" s="1"/>
  <c r="O19" i="13"/>
  <c r="T19" i="13" s="1"/>
  <c r="P57" i="10"/>
  <c r="U57" i="10" s="1"/>
  <c r="O60" i="5"/>
  <c r="N60" i="5"/>
  <c r="P60" i="5" s="1"/>
  <c r="U60" i="5" s="1"/>
  <c r="N53" i="5"/>
  <c r="O53" i="5"/>
  <c r="T53" i="5" s="1"/>
  <c r="O26" i="13"/>
  <c r="T26" i="13" s="1"/>
  <c r="P9" i="9"/>
  <c r="U9" i="9" s="1"/>
  <c r="P29" i="13"/>
  <c r="U29" i="13" s="1"/>
  <c r="O40" i="13"/>
  <c r="T40" i="13" s="1"/>
  <c r="N10" i="12"/>
  <c r="O10" i="12"/>
  <c r="O17" i="5"/>
  <c r="T17" i="5" s="1"/>
  <c r="P40" i="10"/>
  <c r="U40" i="10" s="1"/>
  <c r="P60" i="10"/>
  <c r="U60" i="10" s="1"/>
  <c r="T57" i="5"/>
  <c r="P57" i="5"/>
  <c r="U57" i="5" s="1"/>
  <c r="O9" i="13"/>
  <c r="T9" i="13" s="1"/>
  <c r="P27" i="5"/>
  <c r="U27" i="5" s="1"/>
  <c r="P55" i="5"/>
  <c r="U55" i="5" s="1"/>
  <c r="P10" i="5"/>
  <c r="U10" i="5" s="1"/>
  <c r="N56" i="5"/>
  <c r="O56" i="5"/>
  <c r="T56" i="5" s="1"/>
  <c r="P39" i="5"/>
  <c r="U39" i="5" s="1"/>
  <c r="P16" i="10"/>
  <c r="U16" i="10" s="1"/>
  <c r="O4" i="12"/>
  <c r="T4" i="12" s="1"/>
  <c r="O54" i="5"/>
  <c r="T54" i="5" s="1"/>
  <c r="O35" i="5"/>
  <c r="T35" i="5" s="1"/>
  <c r="P51" i="13"/>
  <c r="U51" i="13" s="1"/>
  <c r="O28" i="13"/>
  <c r="T28" i="13" s="1"/>
  <c r="T59" i="5"/>
  <c r="P59" i="5"/>
  <c r="U59" i="5" s="1"/>
  <c r="O37" i="13"/>
  <c r="T37" i="13" s="1"/>
  <c r="P29" i="10"/>
  <c r="U29" i="10" s="1"/>
  <c r="N8" i="9"/>
  <c r="O8" i="9"/>
  <c r="O49" i="10"/>
  <c r="T49" i="10" s="1"/>
  <c r="P18" i="5"/>
  <c r="U18" i="5" s="1"/>
  <c r="P23" i="13"/>
  <c r="U23" i="13" s="1"/>
  <c r="N28" i="10"/>
  <c r="P28" i="10" s="1"/>
  <c r="U28" i="10" s="1"/>
  <c r="O28" i="10"/>
  <c r="T23" i="10"/>
  <c r="P23" i="10"/>
  <c r="U23" i="10" s="1"/>
  <c r="O57" i="10"/>
  <c r="T57" i="10" s="1"/>
  <c r="P17" i="5"/>
  <c r="U17" i="5" s="1"/>
  <c r="P33" i="5"/>
  <c r="U33" i="5" s="1"/>
  <c r="N34" i="5"/>
  <c r="O34" i="5"/>
  <c r="T34" i="5" s="1"/>
  <c r="O22" i="5"/>
  <c r="T22" i="5" s="1"/>
  <c r="P29" i="5"/>
  <c r="U29" i="5" s="1"/>
  <c r="P34" i="10"/>
  <c r="U34" i="10" s="1"/>
  <c r="O34" i="10"/>
  <c r="T34" i="10" s="1"/>
  <c r="O34" i="13"/>
  <c r="T34" i="13" s="1"/>
  <c r="P32" i="10"/>
  <c r="U32" i="10" s="1"/>
  <c r="O52" i="10"/>
  <c r="T52" i="10" s="1"/>
  <c r="O9" i="12"/>
  <c r="T9" i="12" s="1"/>
  <c r="O53" i="13"/>
  <c r="T53" i="13" s="1"/>
  <c r="O17" i="13"/>
  <c r="T17" i="13" s="1"/>
  <c r="O31" i="13"/>
  <c r="T31" i="13" s="1"/>
  <c r="P46" i="10"/>
  <c r="U46" i="10" s="1"/>
  <c r="P35" i="10"/>
  <c r="U35" i="10" s="1"/>
  <c r="O21" i="5"/>
  <c r="T21" i="5" s="1"/>
  <c r="O55" i="10"/>
  <c r="T55" i="10" s="1"/>
  <c r="O48" i="10"/>
  <c r="T48" i="10" s="1"/>
  <c r="O14" i="5"/>
  <c r="T14" i="5" s="1"/>
  <c r="P38" i="5"/>
  <c r="U38" i="5" s="1"/>
  <c r="N46" i="5"/>
  <c r="O46" i="5"/>
  <c r="T46" i="5" s="1"/>
  <c r="O4" i="9"/>
  <c r="T4" i="9" s="1"/>
  <c r="O18" i="5"/>
  <c r="T18" i="5" s="1"/>
  <c r="O45" i="10"/>
  <c r="T45" i="10" s="1"/>
  <c r="O12" i="9"/>
  <c r="T12" i="9" s="1"/>
  <c r="P26" i="10"/>
  <c r="U26" i="10" s="1"/>
  <c r="P37" i="5"/>
  <c r="U37" i="5" s="1"/>
  <c r="T42" i="5"/>
  <c r="P13" i="9" l="1"/>
  <c r="U13" i="9" s="1"/>
  <c r="T3" i="9"/>
  <c r="P3" i="9"/>
  <c r="U3" i="9" s="1"/>
  <c r="P8" i="9"/>
  <c r="U8" i="9" s="1"/>
  <c r="P12" i="9"/>
  <c r="U12" i="9" s="1"/>
  <c r="P4" i="9"/>
  <c r="U4" i="9" s="1"/>
  <c r="P5" i="12"/>
  <c r="U5" i="12" s="1"/>
  <c r="P38" i="13"/>
  <c r="U38" i="13" s="1"/>
  <c r="P56" i="13"/>
  <c r="U56" i="13" s="1"/>
  <c r="P20" i="13"/>
  <c r="U20" i="13" s="1"/>
  <c r="P37" i="13"/>
  <c r="U37" i="13" s="1"/>
  <c r="P17" i="13"/>
  <c r="U17" i="13" s="1"/>
  <c r="P10" i="12"/>
  <c r="U10" i="12" s="1"/>
  <c r="P4" i="12"/>
  <c r="U4" i="12" s="1"/>
  <c r="P6" i="12"/>
  <c r="U6" i="12" s="1"/>
  <c r="P32" i="13"/>
  <c r="U32" i="13" s="1"/>
  <c r="P44" i="13"/>
  <c r="U44" i="13" s="1"/>
  <c r="P16" i="13"/>
  <c r="U16" i="13" s="1"/>
  <c r="P26" i="13"/>
  <c r="U26" i="13" s="1"/>
  <c r="P46" i="13"/>
  <c r="U46" i="13" s="1"/>
  <c r="P31" i="13"/>
  <c r="U31" i="13" s="1"/>
  <c r="P49" i="13"/>
  <c r="U49" i="13" s="1"/>
  <c r="P35" i="13"/>
  <c r="U35" i="13" s="1"/>
  <c r="P9" i="13"/>
  <c r="U9" i="13" s="1"/>
  <c r="P43" i="13"/>
  <c r="U43" i="13" s="1"/>
  <c r="P46" i="5"/>
  <c r="U46" i="5" s="1"/>
  <c r="P14" i="5"/>
  <c r="U14" i="5" s="1"/>
  <c r="T28" i="10"/>
  <c r="P58" i="5"/>
  <c r="U58" i="5" s="1"/>
  <c r="P21" i="5"/>
  <c r="U21" i="5" s="1"/>
  <c r="P11" i="5"/>
  <c r="U11" i="5" s="1"/>
  <c r="P54" i="5"/>
  <c r="U54" i="5" s="1"/>
  <c r="P53" i="5"/>
  <c r="U53" i="5" s="1"/>
  <c r="P54" i="10"/>
  <c r="U54" i="10" s="1"/>
  <c r="P48" i="10"/>
  <c r="U48" i="10" s="1"/>
  <c r="P12" i="5"/>
  <c r="U12" i="5" s="1"/>
  <c r="T5" i="5"/>
  <c r="P5" i="5"/>
  <c r="U5" i="5" s="1"/>
  <c r="T8" i="9"/>
  <c r="T7" i="5"/>
  <c r="P7" i="5"/>
  <c r="U7" i="5" s="1"/>
  <c r="P7" i="12"/>
  <c r="U7" i="12" s="1"/>
  <c r="P45" i="10"/>
  <c r="U45" i="10" s="1"/>
  <c r="P53" i="13"/>
  <c r="U53" i="13" s="1"/>
  <c r="O14" i="9"/>
  <c r="M15" i="9"/>
  <c r="P59" i="13"/>
  <c r="U59" i="13" s="1"/>
  <c r="P34" i="13"/>
  <c r="U34" i="13" s="1"/>
  <c r="T10" i="12"/>
  <c r="T60" i="5"/>
  <c r="T48" i="5"/>
  <c r="P28" i="13"/>
  <c r="U28" i="13" s="1"/>
  <c r="P19" i="13"/>
  <c r="U19" i="13" s="1"/>
  <c r="P55" i="10"/>
  <c r="U55" i="10" s="1"/>
  <c r="P41" i="10"/>
  <c r="U41" i="10" s="1"/>
  <c r="P52" i="10"/>
  <c r="U52" i="10" s="1"/>
  <c r="K19" i="9"/>
  <c r="L18" i="9"/>
  <c r="N18" i="9" s="1"/>
  <c r="P25" i="13"/>
  <c r="U25" i="13" s="1"/>
  <c r="P8" i="5"/>
  <c r="U8" i="5" s="1"/>
  <c r="P56" i="5"/>
  <c r="U56" i="5" s="1"/>
  <c r="P32" i="5"/>
  <c r="U32" i="5" s="1"/>
  <c r="P40" i="5"/>
  <c r="U40" i="5" s="1"/>
  <c r="P19" i="5"/>
  <c r="U19" i="5" s="1"/>
  <c r="P59" i="10"/>
  <c r="U59" i="10" s="1"/>
  <c r="P6" i="5"/>
  <c r="U6" i="5" s="1"/>
  <c r="T24" i="5"/>
  <c r="P9" i="5"/>
  <c r="U9" i="5" s="1"/>
  <c r="P22" i="13"/>
  <c r="U22" i="13" s="1"/>
  <c r="P40" i="13"/>
  <c r="U40" i="13" s="1"/>
  <c r="P47" i="5"/>
  <c r="U47" i="5" s="1"/>
  <c r="P12" i="12"/>
  <c r="U12" i="12" s="1"/>
  <c r="P13" i="5"/>
  <c r="U13" i="5" s="1"/>
  <c r="P52" i="13"/>
  <c r="U52" i="13" s="1"/>
  <c r="P58" i="13"/>
  <c r="U58" i="13" s="1"/>
  <c r="P34" i="5"/>
  <c r="U34" i="5" s="1"/>
  <c r="P20" i="5"/>
  <c r="U20" i="5" s="1"/>
  <c r="P49" i="5"/>
  <c r="U49" i="5" s="1"/>
  <c r="P9" i="12"/>
  <c r="U9" i="12" s="1"/>
  <c r="P22" i="5"/>
  <c r="U22" i="5" s="1"/>
  <c r="P52" i="5"/>
  <c r="U52" i="5" s="1"/>
  <c r="P26" i="5"/>
  <c r="U26" i="5" s="1"/>
  <c r="M16" i="9" l="1"/>
  <c r="O15" i="9"/>
  <c r="L19" i="9"/>
  <c r="N19" i="9" s="1"/>
  <c r="K20" i="9"/>
  <c r="T14" i="9"/>
  <c r="P14" i="9"/>
  <c r="U14" i="9" s="1"/>
  <c r="T15" i="9" l="1"/>
  <c r="P15" i="9"/>
  <c r="U15" i="9" s="1"/>
  <c r="O16" i="9"/>
  <c r="M17" i="9"/>
  <c r="K21" i="9"/>
  <c r="L20" i="9"/>
  <c r="N20" i="9" s="1"/>
  <c r="K22" i="9" l="1"/>
  <c r="L21" i="9"/>
  <c r="N21" i="9" s="1"/>
  <c r="O17" i="9"/>
  <c r="M18" i="9"/>
  <c r="T16" i="9"/>
  <c r="P16" i="9"/>
  <c r="U16" i="9" s="1"/>
  <c r="L22" i="9" l="1"/>
  <c r="N22" i="9" s="1"/>
  <c r="K23" i="9"/>
  <c r="T17" i="9"/>
  <c r="P17" i="9"/>
  <c r="U17" i="9" s="1"/>
  <c r="M19" i="9"/>
  <c r="O18" i="9"/>
  <c r="K24" i="9" l="1"/>
  <c r="L23" i="9"/>
  <c r="N23" i="9" s="1"/>
  <c r="O19" i="9"/>
  <c r="M20" i="9"/>
  <c r="T18" i="9"/>
  <c r="P18" i="9"/>
  <c r="U18" i="9" s="1"/>
  <c r="T19" i="9" l="1"/>
  <c r="P19" i="9"/>
  <c r="U19" i="9" s="1"/>
  <c r="O20" i="9"/>
  <c r="M21" i="9"/>
  <c r="K25" i="9"/>
  <c r="L24" i="9"/>
  <c r="N24" i="9" s="1"/>
  <c r="T20" i="9" l="1"/>
  <c r="P20" i="9"/>
  <c r="U20" i="9" s="1"/>
  <c r="L25" i="9"/>
  <c r="N25" i="9" s="1"/>
  <c r="K26" i="9"/>
  <c r="M22" i="9"/>
  <c r="O21" i="9"/>
  <c r="K27" i="9" l="1"/>
  <c r="L26" i="9"/>
  <c r="N26" i="9" s="1"/>
  <c r="T21" i="9"/>
  <c r="P21" i="9"/>
  <c r="U21" i="9" s="1"/>
  <c r="O22" i="9"/>
  <c r="M23" i="9"/>
  <c r="T22" i="9" l="1"/>
  <c r="P22" i="9"/>
  <c r="U22" i="9" s="1"/>
  <c r="O23" i="9"/>
  <c r="M24" i="9"/>
  <c r="K28" i="9"/>
  <c r="L27" i="9"/>
  <c r="N27" i="9" s="1"/>
  <c r="L28" i="9" l="1"/>
  <c r="N28" i="9" s="1"/>
  <c r="K29" i="9"/>
  <c r="L29" i="9" s="1"/>
  <c r="N29" i="9" s="1"/>
  <c r="T23" i="9"/>
  <c r="P23" i="9"/>
  <c r="U23" i="9" s="1"/>
  <c r="M25" i="9"/>
  <c r="O24" i="9"/>
  <c r="T24" i="9" l="1"/>
  <c r="P24" i="9"/>
  <c r="U24" i="9" s="1"/>
  <c r="O25" i="9"/>
  <c r="M26" i="9"/>
  <c r="O26" i="9" l="1"/>
  <c r="M27" i="9"/>
  <c r="T25" i="9"/>
  <c r="P25" i="9"/>
  <c r="U25" i="9" s="1"/>
  <c r="M28" i="9" l="1"/>
  <c r="O27" i="9"/>
  <c r="T26" i="9"/>
  <c r="P26" i="9"/>
  <c r="U26" i="9" s="1"/>
  <c r="T27" i="9" l="1"/>
  <c r="P27" i="9"/>
  <c r="U27" i="9" s="1"/>
  <c r="O28" i="9"/>
  <c r="M29" i="9"/>
  <c r="T28" i="9" l="1"/>
  <c r="P28" i="9"/>
  <c r="U28" i="9" s="1"/>
  <c r="O29" i="9"/>
  <c r="M30" i="9"/>
  <c r="O30" i="9" s="1"/>
  <c r="T29" i="9" l="1"/>
  <c r="P29" i="9"/>
  <c r="U29" i="9" s="1"/>
  <c r="T30" i="9"/>
  <c r="P30" i="9"/>
  <c r="U30" i="9" s="1"/>
</calcChain>
</file>

<file path=xl/sharedStrings.xml><?xml version="1.0" encoding="utf-8"?>
<sst xmlns="http://schemas.openxmlformats.org/spreadsheetml/2006/main" count="188" uniqueCount="97">
  <si>
    <t>x</t>
  </si>
  <si>
    <t>n</t>
  </si>
  <si>
    <r>
      <rPr>
        <sz val="12"/>
        <rFont val="Calibri"/>
        <family val="2"/>
      </rPr>
      <t>ε(</t>
    </r>
    <r>
      <rPr>
        <sz val="12"/>
        <rFont val="宋体"/>
        <family val="3"/>
        <charset val="134"/>
      </rPr>
      <t>非弹性</t>
    </r>
    <r>
      <rPr>
        <sz val="12"/>
        <rFont val="Calibri"/>
        <family val="2"/>
      </rPr>
      <t>)</t>
    </r>
  </si>
  <si>
    <t>d</t>
  </si>
  <si>
    <r>
      <rPr>
        <sz val="20"/>
        <color indexed="12"/>
        <rFont val="黑体"/>
        <family val="3"/>
        <charset val="134"/>
      </rPr>
      <t>单轴受压应力</t>
    </r>
    <r>
      <rPr>
        <sz val="20"/>
        <color indexed="12"/>
        <rFont val="Times New Roman"/>
        <family val="1"/>
      </rPr>
      <t>-</t>
    </r>
    <r>
      <rPr>
        <sz val="20"/>
        <color indexed="12"/>
        <rFont val="黑体"/>
        <family val="3"/>
        <charset val="134"/>
      </rPr>
      <t>应变曲线</t>
    </r>
  </si>
  <si>
    <t>能量法</t>
  </si>
  <si>
    <r>
      <rPr>
        <b/>
        <sz val="11"/>
        <color theme="1"/>
        <rFont val="等线"/>
        <family val="3"/>
        <charset val="134"/>
      </rPr>
      <t>为根据试验实际测得的数据</t>
    </r>
  </si>
  <si>
    <r>
      <rPr>
        <sz val="11"/>
        <color theme="1"/>
        <rFont val="Times New Roman"/>
        <family val="1"/>
      </rPr>
      <t>x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Times New Roman"/>
        <family val="1"/>
      </rPr>
      <t>ξ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</si>
  <si>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Times New Roman"/>
        <family val="1"/>
      </rPr>
      <t>ε</t>
    </r>
    <r>
      <rPr>
        <sz val="11"/>
        <color theme="1"/>
        <rFont val="等线"/>
        <family val="3"/>
        <charset val="134"/>
      </rPr>
      <t>（名义）</t>
    </r>
  </si>
  <si>
    <r>
      <rPr>
        <sz val="11"/>
        <color theme="1"/>
        <rFont val="Times New Roman"/>
        <family val="1"/>
      </rPr>
      <t>σ</t>
    </r>
    <r>
      <rPr>
        <sz val="11"/>
        <color theme="1"/>
        <rFont val="等线"/>
        <family val="3"/>
        <charset val="134"/>
      </rPr>
      <t>（名义）</t>
    </r>
  </si>
  <si>
    <r>
      <rPr>
        <sz val="12"/>
        <rFont val="Times New Roman"/>
        <family val="1"/>
      </rPr>
      <t>ε(</t>
    </r>
    <r>
      <rPr>
        <sz val="12"/>
        <rFont val="宋体"/>
        <family val="3"/>
        <charset val="134"/>
      </rPr>
      <t>真实</t>
    </r>
    <r>
      <rPr>
        <sz val="12"/>
        <rFont val="Times New Roman"/>
        <family val="1"/>
      </rPr>
      <t>)</t>
    </r>
  </si>
  <si>
    <r>
      <rPr>
        <sz val="12"/>
        <rFont val="Times New Roman"/>
        <family val="1"/>
      </rPr>
      <t>σ(</t>
    </r>
    <r>
      <rPr>
        <sz val="12"/>
        <rFont val="宋体"/>
        <family val="3"/>
        <charset val="134"/>
      </rPr>
      <t>真实</t>
    </r>
    <r>
      <rPr>
        <sz val="12"/>
        <rFont val="Times New Roman"/>
        <family val="1"/>
      </rPr>
      <t>)</t>
    </r>
  </si>
  <si>
    <r>
      <rPr>
        <sz val="12"/>
        <rFont val="Times New Roman"/>
        <family val="1"/>
      </rPr>
      <t>ε(</t>
    </r>
    <r>
      <rPr>
        <sz val="12"/>
        <rFont val="宋体"/>
        <family val="3"/>
        <charset val="134"/>
      </rPr>
      <t>非弹性</t>
    </r>
    <r>
      <rPr>
        <sz val="12"/>
        <rFont val="Times New Roman"/>
        <family val="1"/>
      </rPr>
      <t>)</t>
    </r>
  </si>
  <si>
    <r>
      <rPr>
        <b/>
        <sz val="11"/>
        <color theme="1"/>
        <rFont val="等线"/>
        <family val="3"/>
        <charset val="134"/>
      </rPr>
      <t>为</t>
    </r>
    <r>
      <rPr>
        <b/>
        <sz val="12"/>
        <rFont val="Times New Roman"/>
        <family val="1"/>
      </rPr>
      <t>ABAQUS</t>
    </r>
    <r>
      <rPr>
        <b/>
        <sz val="11"/>
        <color theme="1"/>
        <rFont val="等线"/>
        <family val="3"/>
        <charset val="134"/>
      </rPr>
      <t>输入数据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等线"/>
        <family val="3"/>
        <charset val="134"/>
      </rPr>
      <t>需要截选</t>
    </r>
    <r>
      <rPr>
        <b/>
        <sz val="11"/>
        <color theme="1"/>
        <rFont val="Times New Roman"/>
        <family val="1"/>
      </rPr>
      <t>)</t>
    </r>
  </si>
  <si>
    <t xml:space="preserve">      </t>
  </si>
  <si>
    <t>f</t>
  </si>
  <si>
    <r>
      <rPr>
        <sz val="12"/>
        <color theme="1"/>
        <rFont val="Times New Roman"/>
        <family val="1"/>
      </rPr>
      <t>f</t>
    </r>
    <r>
      <rPr>
        <sz val="6"/>
        <color theme="1"/>
        <rFont val="Times New Roman"/>
        <family val="1"/>
      </rPr>
      <t>c</t>
    </r>
  </si>
  <si>
    <r>
      <rPr>
        <sz val="12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0</t>
    </r>
  </si>
  <si>
    <t>ε0</t>
  </si>
  <si>
    <r>
      <rPr>
        <sz val="11"/>
        <rFont val="Times New Roman"/>
        <family val="1"/>
      </rPr>
      <t>E</t>
    </r>
    <r>
      <rPr>
        <sz val="8"/>
        <rFont val="Times New Roman"/>
        <family val="1"/>
      </rPr>
      <t>S</t>
    </r>
  </si>
  <si>
    <r>
      <rPr>
        <b/>
        <sz val="14"/>
        <color theme="1"/>
        <rFont val="宋体"/>
        <family val="3"/>
        <charset val="134"/>
      </rPr>
      <t>超高性能混凝土单轴受压应力</t>
    </r>
    <r>
      <rPr>
        <b/>
        <sz val="14"/>
        <color theme="1"/>
        <rFont val="Times New Roman"/>
        <family val="1"/>
      </rPr>
      <t xml:space="preserve">- </t>
    </r>
    <r>
      <rPr>
        <b/>
        <sz val="14"/>
        <color theme="1"/>
        <rFont val="宋体"/>
        <family val="3"/>
        <charset val="134"/>
      </rPr>
      <t>应变关系研究，杨剑，方志</t>
    </r>
  </si>
  <si>
    <t>y</t>
  </si>
  <si>
    <t>a</t>
  </si>
  <si>
    <r>
      <rPr>
        <sz val="11"/>
        <color theme="1"/>
        <rFont val="宋体"/>
        <family val="3"/>
        <charset val="134"/>
      </rPr>
      <t>列</t>
    </r>
    <r>
      <rPr>
        <sz val="11"/>
        <color theme="1"/>
        <rFont val="Times New Roman"/>
        <family val="1"/>
      </rPr>
      <t>1</t>
    </r>
  </si>
  <si>
    <t>单波</t>
  </si>
  <si>
    <t>沈涛</t>
  </si>
  <si>
    <t>吴有明</t>
  </si>
  <si>
    <t>杜任远</t>
  </si>
  <si>
    <t>α</t>
  </si>
  <si>
    <r>
      <rPr>
        <b/>
        <sz val="14"/>
        <color theme="1"/>
        <rFont val="宋体"/>
        <family val="3"/>
        <charset val="134"/>
      </rPr>
      <t>超高性能混凝土单轴受压应力</t>
    </r>
    <r>
      <rPr>
        <b/>
        <sz val="14"/>
        <color theme="1"/>
        <rFont val="Times New Roman"/>
        <family val="1"/>
      </rPr>
      <t xml:space="preserve">- </t>
    </r>
    <r>
      <rPr>
        <b/>
        <sz val="14"/>
        <color theme="1"/>
        <rFont val="宋体"/>
        <family val="3"/>
        <charset val="134"/>
      </rPr>
      <t>应变关系研究，单波</t>
    </r>
  </si>
  <si>
    <t>列2</t>
  </si>
  <si>
    <t>列3</t>
  </si>
  <si>
    <t>列4</t>
  </si>
  <si>
    <t>列5</t>
  </si>
  <si>
    <t>列6</t>
  </si>
  <si>
    <t>λ</t>
  </si>
  <si>
    <r>
      <rPr>
        <sz val="20"/>
        <color rgb="FF0000FF"/>
        <rFont val="黑体"/>
        <family val="3"/>
        <charset val="134"/>
      </rPr>
      <t>单轴受拉应力</t>
    </r>
    <r>
      <rPr>
        <sz val="20"/>
        <color rgb="FF0000FF"/>
        <rFont val="Times New Roman"/>
        <family val="1"/>
      </rPr>
      <t>-</t>
    </r>
    <r>
      <rPr>
        <sz val="20"/>
        <color rgb="FF0000FF"/>
        <rFont val="黑体"/>
        <family val="3"/>
        <charset val="134"/>
      </rPr>
      <t>应变曲线</t>
    </r>
  </si>
  <si>
    <r>
      <rPr>
        <sz val="12"/>
        <color theme="1"/>
        <rFont val="Times New Roman"/>
        <family val="1"/>
      </rPr>
      <t>f</t>
    </r>
    <r>
      <rPr>
        <sz val="10"/>
        <color theme="1"/>
        <rFont val="Times New Roman"/>
        <family val="1"/>
      </rPr>
      <t>ct</t>
    </r>
  </si>
  <si>
    <r>
      <rPr>
        <sz val="14"/>
        <color theme="1"/>
        <rFont val="Times New Roman"/>
        <family val="1"/>
      </rPr>
      <t>ε</t>
    </r>
    <r>
      <rPr>
        <sz val="11"/>
        <color theme="1"/>
        <rFont val="Times New Roman"/>
        <family val="1"/>
      </rPr>
      <t>ca</t>
    </r>
  </si>
  <si>
    <r>
      <rPr>
        <sz val="14"/>
        <color theme="1"/>
        <rFont val="Times New Roman"/>
        <family val="1"/>
      </rPr>
      <t>ε</t>
    </r>
    <r>
      <rPr>
        <sz val="11"/>
        <color theme="1"/>
        <rFont val="Times New Roman"/>
        <family val="1"/>
      </rPr>
      <t>pc</t>
    </r>
  </si>
  <si>
    <t>胡翱翔</t>
  </si>
  <si>
    <t>安明喆</t>
  </si>
  <si>
    <t>陈扬弘</t>
  </si>
  <si>
    <t>b</t>
  </si>
  <si>
    <t>c</t>
  </si>
  <si>
    <t>e</t>
  </si>
  <si>
    <r>
      <t>分享创造价值：基于GB50010-2010规范的</t>
    </r>
    <r>
      <rPr>
        <b/>
        <sz val="28"/>
        <color rgb="FFFF0000"/>
        <rFont val="微软雅黑"/>
        <family val="2"/>
        <charset val="134"/>
      </rPr>
      <t>塑性损伤模型</t>
    </r>
    <r>
      <rPr>
        <sz val="28"/>
        <rFont val="微软雅黑"/>
        <family val="2"/>
        <charset val="134"/>
      </rPr>
      <t xml:space="preserve">参数计算_张田V1.1.5                    </t>
    </r>
    <phoneticPr fontId="40" type="noConversion"/>
  </si>
  <si>
    <t>控制参数</t>
    <phoneticPr fontId="40" type="noConversion"/>
  </si>
  <si>
    <t>f_cu</t>
    <phoneticPr fontId="40" type="noConversion"/>
  </si>
  <si>
    <t>E_c</t>
    <phoneticPr fontId="40" type="noConversion"/>
  </si>
  <si>
    <t>f_c</t>
    <phoneticPr fontId="40" type="noConversion"/>
  </si>
  <si>
    <t>f_t</t>
    <phoneticPr fontId="40" type="noConversion"/>
  </si>
  <si>
    <t>f_ce</t>
    <phoneticPr fontId="40" type="noConversion"/>
  </si>
  <si>
    <t>单位系统</t>
    <phoneticPr fontId="37" type="noConversion"/>
  </si>
  <si>
    <t>N-mm</t>
    <phoneticPr fontId="37" type="noConversion"/>
  </si>
  <si>
    <t>k_c</t>
    <phoneticPr fontId="37" type="noConversion"/>
  </si>
  <si>
    <t>k_t</t>
    <phoneticPr fontId="37" type="noConversion"/>
  </si>
  <si>
    <t>受压本构曲线</t>
    <phoneticPr fontId="37" type="noConversion"/>
  </si>
  <si>
    <t>Abaqus Input</t>
    <phoneticPr fontId="37" type="noConversion"/>
  </si>
  <si>
    <t>检查</t>
    <phoneticPr fontId="37" type="noConversion"/>
  </si>
  <si>
    <t>FEA NX Input</t>
    <phoneticPr fontId="37" type="noConversion"/>
  </si>
  <si>
    <t>ε_c</t>
    <phoneticPr fontId="37" type="noConversion"/>
  </si>
  <si>
    <t>α_c</t>
    <phoneticPr fontId="37" type="noConversion"/>
  </si>
  <si>
    <t>ε</t>
    <phoneticPr fontId="37" type="noConversion"/>
  </si>
  <si>
    <t>x</t>
    <phoneticPr fontId="37" type="noConversion"/>
  </si>
  <si>
    <t>ρ_c</t>
    <phoneticPr fontId="37" type="noConversion"/>
  </si>
  <si>
    <t>n</t>
    <phoneticPr fontId="37" type="noConversion"/>
  </si>
  <si>
    <t>D_c</t>
    <phoneticPr fontId="37" type="noConversion"/>
  </si>
  <si>
    <t>ε_n</t>
    <phoneticPr fontId="37" type="noConversion"/>
  </si>
  <si>
    <t>σ_n</t>
    <phoneticPr fontId="37" type="noConversion"/>
  </si>
  <si>
    <t>ε_ture</t>
    <phoneticPr fontId="37" type="noConversion"/>
  </si>
  <si>
    <t>σ_ture</t>
    <phoneticPr fontId="37" type="noConversion"/>
  </si>
  <si>
    <t>ε_in</t>
    <phoneticPr fontId="37" type="noConversion"/>
  </si>
  <si>
    <t>d_c1</t>
    <phoneticPr fontId="37" type="noConversion"/>
  </si>
  <si>
    <t>d_c2</t>
    <phoneticPr fontId="37" type="noConversion"/>
  </si>
  <si>
    <t>应力</t>
    <phoneticPr fontId="37" type="noConversion"/>
  </si>
  <si>
    <t>非弹性应变</t>
    <phoneticPr fontId="37" type="noConversion"/>
  </si>
  <si>
    <t>损伤</t>
    <phoneticPr fontId="37" type="noConversion"/>
  </si>
  <si>
    <t>ε_cpl</t>
    <phoneticPr fontId="37" type="noConversion"/>
  </si>
  <si>
    <t>破坏</t>
    <phoneticPr fontId="37" type="noConversion"/>
  </si>
  <si>
    <t>受拉伸本构曲线</t>
    <phoneticPr fontId="37" type="noConversion"/>
  </si>
  <si>
    <t>ε_t</t>
    <phoneticPr fontId="37" type="noConversion"/>
  </si>
  <si>
    <t>α_t</t>
    <phoneticPr fontId="37" type="noConversion"/>
  </si>
  <si>
    <t>ε</t>
  </si>
  <si>
    <t>ρ_c</t>
  </si>
  <si>
    <t>D_t</t>
    <phoneticPr fontId="37" type="noConversion"/>
  </si>
  <si>
    <t>ε_n</t>
  </si>
  <si>
    <t>σ_n</t>
  </si>
  <si>
    <t>ε_ture</t>
  </si>
  <si>
    <t>σ_ture</t>
  </si>
  <si>
    <t>ε_ck</t>
    <phoneticPr fontId="37" type="noConversion"/>
  </si>
  <si>
    <t>d_c1</t>
  </si>
  <si>
    <t>d_c2</t>
  </si>
  <si>
    <t>开裂应变</t>
    <phoneticPr fontId="37" type="noConversion"/>
  </si>
  <si>
    <t>ε_tpl</t>
    <phoneticPr fontId="37" type="noConversion"/>
  </si>
  <si>
    <t>数据制作初衷是为了分享，使用者请尊重UP主的劳动成果，切勿盗窃商业化！！！问题反馈，请在B站评论区单独留言！！！</t>
    <phoneticPr fontId="37" type="noConversion"/>
  </si>
  <si>
    <t>选这个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</si>
</sst>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%"/>
    <numFmt numFmtId="177" formatCode="0.00_);[Red]\(0.00\)"/>
    <numFmt numFmtId="178" formatCode="0.000000_ "/>
    <numFmt numFmtId="179" formatCode="0.0_ "/>
    <numFmt numFmtId="180" formatCode="0.0000_ "/>
    <numFmt numFmtId="181" formatCode="0.00000_ "/>
    <numFmt numFmtId="182" formatCode="0.000_ "/>
    <numFmt numFmtId="183" formatCode="0.00_ "/>
    <numFmt numFmtId="184" formatCode="0.00000000_);[Red]\(0.00000000\)"/>
    <numFmt numFmtId="185" formatCode="0.0000000_);[Red]\(0.0000000\)"/>
    <numFmt numFmtId="186" formatCode="#,##0.0000000_ "/>
  </numFmts>
  <fonts count="55" x14ac:knownFonts="1">
    <font>
      <sz val="11"/>
      <color theme="1"/>
      <name val="等线"/>
      <charset val="134"/>
      <scheme val="minor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20"/>
      <color rgb="FF0000FF"/>
      <name val="黑体"/>
      <family val="3"/>
      <charset val="134"/>
    </font>
    <font>
      <sz val="20"/>
      <color indexed="12"/>
      <name val="Times New Roman"/>
      <family val="1"/>
    </font>
    <font>
      <sz val="11"/>
      <color theme="1"/>
      <name val="Times New Roman"/>
      <family val="1"/>
    </font>
    <font>
      <sz val="16"/>
      <color rgb="FFFF0000"/>
      <name val="黑体"/>
      <family val="3"/>
      <charset val="134"/>
    </font>
    <font>
      <sz val="16"/>
      <color rgb="FFFF0000"/>
      <name val="Times New Roman"/>
      <family val="1"/>
    </font>
    <font>
      <sz val="10"/>
      <name val="宋体"/>
      <family val="3"/>
      <charset val="134"/>
    </font>
    <font>
      <sz val="12"/>
      <name val="Calibri"/>
      <family val="2"/>
    </font>
    <font>
      <sz val="11"/>
      <name val="Times New Roman"/>
      <family val="1"/>
    </font>
    <font>
      <sz val="11"/>
      <color theme="0"/>
      <name val="Times New Roman"/>
      <family val="1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6"/>
      <color indexed="12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2"/>
      <color theme="0"/>
      <name val="Times New Roman"/>
      <family val="1"/>
    </font>
    <font>
      <sz val="11"/>
      <color theme="0"/>
      <name val="等线"/>
      <family val="3"/>
      <charset val="134"/>
      <scheme val="minor"/>
    </font>
    <font>
      <sz val="20"/>
      <color indexed="12"/>
      <name val="黑体"/>
      <family val="3"/>
      <charset val="134"/>
    </font>
    <font>
      <sz val="11"/>
      <color theme="1"/>
      <name val="等线"/>
      <family val="3"/>
      <charset val="134"/>
    </font>
    <font>
      <sz val="12"/>
      <name val="Bahnschrift"/>
      <family val="2"/>
    </font>
    <font>
      <sz val="11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20"/>
      <color rgb="FF0000FF"/>
      <name val="Times New Roman"/>
      <family val="1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  <font>
      <sz val="8"/>
      <name val="Times New Roman"/>
      <family val="1"/>
    </font>
    <font>
      <sz val="9"/>
      <name val="等线"/>
      <family val="3"/>
      <charset val="134"/>
      <scheme val="minor"/>
    </font>
    <font>
      <sz val="28"/>
      <name val="微软雅黑"/>
      <family val="2"/>
      <charset val="134"/>
    </font>
    <font>
      <b/>
      <sz val="28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6"/>
      <name val="微软雅黑"/>
      <family val="2"/>
      <charset val="134"/>
    </font>
    <font>
      <i/>
      <sz val="16"/>
      <color theme="1"/>
      <name val="微软雅黑"/>
      <family val="2"/>
      <charset val="134"/>
    </font>
    <font>
      <i/>
      <sz val="16"/>
      <name val="微软雅黑"/>
      <family val="2"/>
      <charset val="134"/>
    </font>
    <font>
      <sz val="2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3"/>
      <color theme="1"/>
      <name val="微软雅黑"/>
      <family val="2"/>
      <charset val="134"/>
    </font>
    <font>
      <i/>
      <sz val="15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8" fillId="0" borderId="0">
      <alignment vertical="center"/>
    </xf>
  </cellStyleXfs>
  <cellXfs count="15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78" fontId="5" fillId="2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7" xfId="0" applyFont="1" applyBorder="1" applyAlignment="1">
      <alignment horizontal="centerContinuous" vertical="center"/>
    </xf>
    <xf numFmtId="0" fontId="8" fillId="0" borderId="11" xfId="0" applyFont="1" applyBorder="1" applyAlignment="1">
      <alignment horizontal="centerContinuous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6" fillId="4" borderId="14" xfId="0" applyFont="1" applyFill="1" applyBorder="1"/>
    <xf numFmtId="0" fontId="6" fillId="4" borderId="0" xfId="0" applyFont="1" applyFill="1"/>
    <xf numFmtId="0" fontId="16" fillId="0" borderId="0" xfId="0" applyFont="1" applyAlignment="1">
      <alignment horizontal="center"/>
    </xf>
    <xf numFmtId="0" fontId="3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177" fontId="6" fillId="0" borderId="0" xfId="0" applyNumberFormat="1" applyFont="1" applyAlignment="1">
      <alignment horizontal="center"/>
    </xf>
    <xf numFmtId="179" fontId="6" fillId="0" borderId="0" xfId="0" applyNumberFormat="1" applyFont="1" applyAlignment="1">
      <alignment horizontal="center"/>
    </xf>
    <xf numFmtId="0" fontId="8" fillId="0" borderId="7" xfId="0" applyFont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21" xfId="0" applyFont="1" applyBorder="1" applyAlignment="1">
      <alignment horizontal="center" vertical="center"/>
    </xf>
    <xf numFmtId="0" fontId="6" fillId="9" borderId="22" xfId="0" applyFont="1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24" fillId="4" borderId="16" xfId="0" applyFont="1" applyFill="1" applyBorder="1" applyAlignment="1">
      <alignment horizontal="center"/>
    </xf>
    <xf numFmtId="0" fontId="25" fillId="4" borderId="16" xfId="0" applyFont="1" applyFill="1" applyBorder="1" applyAlignment="1">
      <alignment horizontal="center" vertical="center"/>
    </xf>
    <xf numFmtId="176" fontId="6" fillId="9" borderId="22" xfId="0" applyNumberFormat="1" applyFont="1" applyFill="1" applyBorder="1" applyAlignment="1">
      <alignment horizontal="center"/>
    </xf>
    <xf numFmtId="176" fontId="6" fillId="9" borderId="23" xfId="0" applyNumberFormat="1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26" fillId="4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5" fillId="7" borderId="16" xfId="0" applyFont="1" applyFill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6" fillId="7" borderId="16" xfId="0" applyFont="1" applyFill="1" applyBorder="1" applyAlignment="1">
      <alignment horizontal="center" vertical="center"/>
    </xf>
    <xf numFmtId="0" fontId="44" fillId="0" borderId="16" xfId="0" applyFont="1" applyBorder="1" applyAlignment="1">
      <alignment horizontal="center" vertical="center"/>
    </xf>
    <xf numFmtId="0" fontId="46" fillId="0" borderId="16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179" fontId="43" fillId="7" borderId="16" xfId="0" applyNumberFormat="1" applyFont="1" applyFill="1" applyBorder="1" applyAlignment="1">
      <alignment horizontal="center" vertical="center"/>
    </xf>
    <xf numFmtId="179" fontId="43" fillId="0" borderId="16" xfId="0" applyNumberFormat="1" applyFont="1" applyBorder="1" applyAlignment="1">
      <alignment horizontal="center" vertical="center"/>
    </xf>
    <xf numFmtId="0" fontId="43" fillId="7" borderId="16" xfId="0" applyFont="1" applyFill="1" applyBorder="1" applyAlignment="1">
      <alignment horizontal="center" vertical="center"/>
    </xf>
    <xf numFmtId="0" fontId="44" fillId="7" borderId="16" xfId="0" applyFont="1" applyFill="1" applyBorder="1" applyAlignment="1">
      <alignment horizontal="center" vertical="center"/>
    </xf>
    <xf numFmtId="0" fontId="49" fillId="0" borderId="16" xfId="0" applyFont="1" applyBorder="1" applyAlignment="1">
      <alignment horizontal="center" vertical="center"/>
    </xf>
    <xf numFmtId="0" fontId="50" fillId="0" borderId="16" xfId="0" applyFont="1" applyBorder="1" applyAlignment="1">
      <alignment horizontal="center" vertical="center"/>
    </xf>
    <xf numFmtId="180" fontId="50" fillId="4" borderId="16" xfId="0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81" fontId="52" fillId="0" borderId="16" xfId="0" applyNumberFormat="1" applyFont="1" applyBorder="1" applyAlignment="1">
      <alignment horizontal="center" vertical="center"/>
    </xf>
    <xf numFmtId="182" fontId="52" fillId="0" borderId="16" xfId="0" applyNumberFormat="1" applyFont="1" applyBorder="1" applyAlignment="1">
      <alignment horizontal="center" vertical="center"/>
    </xf>
    <xf numFmtId="183" fontId="52" fillId="0" borderId="16" xfId="0" applyNumberFormat="1" applyFont="1" applyBorder="1" applyAlignment="1">
      <alignment horizontal="center" vertical="center"/>
    </xf>
    <xf numFmtId="179" fontId="52" fillId="0" borderId="16" xfId="0" applyNumberFormat="1" applyFont="1" applyBorder="1" applyAlignment="1">
      <alignment horizontal="center" vertical="center"/>
    </xf>
    <xf numFmtId="180" fontId="52" fillId="0" borderId="16" xfId="0" applyNumberFormat="1" applyFont="1" applyBorder="1" applyAlignment="1">
      <alignment horizontal="center" vertical="center"/>
    </xf>
    <xf numFmtId="180" fontId="52" fillId="4" borderId="16" xfId="0" applyNumberFormat="1" applyFont="1" applyFill="1" applyBorder="1" applyAlignment="1">
      <alignment horizontal="center" vertical="center"/>
    </xf>
    <xf numFmtId="184" fontId="52" fillId="6" borderId="16" xfId="0" applyNumberFormat="1" applyFont="1" applyFill="1" applyBorder="1" applyAlignment="1">
      <alignment horizontal="center" vertical="center"/>
    </xf>
    <xf numFmtId="184" fontId="52" fillId="14" borderId="16" xfId="0" applyNumberFormat="1" applyFont="1" applyFill="1" applyBorder="1" applyAlignment="1">
      <alignment horizontal="center" vertical="center"/>
    </xf>
    <xf numFmtId="185" fontId="52" fillId="0" borderId="16" xfId="0" applyNumberFormat="1" applyFont="1" applyBorder="1" applyAlignment="1">
      <alignment horizontal="center" vertical="center"/>
    </xf>
    <xf numFmtId="184" fontId="52" fillId="13" borderId="16" xfId="0" applyNumberFormat="1" applyFont="1" applyFill="1" applyBorder="1" applyAlignment="1">
      <alignment horizontal="center" vertical="center"/>
    </xf>
    <xf numFmtId="184" fontId="52" fillId="15" borderId="16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181" fontId="52" fillId="16" borderId="16" xfId="0" applyNumberFormat="1" applyFont="1" applyFill="1" applyBorder="1" applyAlignment="1">
      <alignment horizontal="center" vertical="center"/>
    </xf>
    <xf numFmtId="182" fontId="52" fillId="16" borderId="16" xfId="0" applyNumberFormat="1" applyFont="1" applyFill="1" applyBorder="1" applyAlignment="1">
      <alignment horizontal="center" vertical="center"/>
    </xf>
    <xf numFmtId="183" fontId="52" fillId="16" borderId="16" xfId="0" applyNumberFormat="1" applyFont="1" applyFill="1" applyBorder="1" applyAlignment="1">
      <alignment horizontal="center" vertical="center"/>
    </xf>
    <xf numFmtId="184" fontId="52" fillId="0" borderId="16" xfId="0" applyNumberFormat="1" applyFont="1" applyBorder="1" applyAlignment="1">
      <alignment horizontal="center" vertical="center"/>
    </xf>
    <xf numFmtId="178" fontId="41" fillId="0" borderId="16" xfId="0" applyNumberFormat="1" applyFont="1" applyBorder="1" applyAlignment="1">
      <alignment horizontal="center" vertical="center"/>
    </xf>
    <xf numFmtId="182" fontId="41" fillId="0" borderId="16" xfId="0" applyNumberFormat="1" applyFont="1" applyBorder="1" applyAlignment="1">
      <alignment horizontal="center" vertical="center"/>
    </xf>
    <xf numFmtId="183" fontId="41" fillId="0" borderId="16" xfId="0" applyNumberFormat="1" applyFont="1" applyBorder="1" applyAlignment="1">
      <alignment horizontal="center" vertical="center"/>
    </xf>
    <xf numFmtId="181" fontId="41" fillId="0" borderId="16" xfId="0" applyNumberFormat="1" applyFont="1" applyBorder="1" applyAlignment="1">
      <alignment horizontal="center" vertical="center"/>
    </xf>
    <xf numFmtId="180" fontId="41" fillId="0" borderId="16" xfId="0" applyNumberFormat="1" applyFont="1" applyBorder="1" applyAlignment="1">
      <alignment horizontal="center" vertical="center"/>
    </xf>
    <xf numFmtId="186" fontId="41" fillId="0" borderId="16" xfId="0" applyNumberFormat="1" applyFont="1" applyBorder="1" applyAlignment="1">
      <alignment horizontal="center" vertical="center"/>
    </xf>
    <xf numFmtId="184" fontId="41" fillId="13" borderId="16" xfId="0" applyNumberFormat="1" applyFont="1" applyFill="1" applyBorder="1" applyAlignment="1">
      <alignment horizontal="center" vertical="center"/>
    </xf>
    <xf numFmtId="184" fontId="41" fillId="15" borderId="16" xfId="0" applyNumberFormat="1" applyFont="1" applyFill="1" applyBorder="1" applyAlignment="1">
      <alignment horizontal="center" vertical="center"/>
    </xf>
    <xf numFmtId="0" fontId="53" fillId="0" borderId="26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28" fillId="7" borderId="0" xfId="0" applyFont="1" applyFill="1" applyAlignment="1">
      <alignment horizontal="center"/>
    </xf>
    <xf numFmtId="0" fontId="28" fillId="7" borderId="0" xfId="0" applyFont="1" applyFill="1"/>
    <xf numFmtId="0" fontId="10" fillId="7" borderId="17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0" fontId="23" fillId="4" borderId="16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47" fillId="11" borderId="16" xfId="0" applyFont="1" applyFill="1" applyBorder="1" applyAlignment="1">
      <alignment horizontal="center" vertical="center"/>
    </xf>
    <xf numFmtId="0" fontId="48" fillId="12" borderId="16" xfId="0" applyFont="1" applyFill="1" applyBorder="1" applyAlignment="1">
      <alignment horizontal="center" vertical="center"/>
    </xf>
    <xf numFmtId="0" fontId="48" fillId="13" borderId="16" xfId="0" applyFont="1" applyFill="1" applyBorder="1" applyAlignment="1">
      <alignment horizontal="center" vertical="center"/>
    </xf>
    <xf numFmtId="0" fontId="54" fillId="10" borderId="0" xfId="0" applyFont="1" applyFill="1" applyAlignment="1">
      <alignment horizontal="center" vertical="center"/>
    </xf>
    <xf numFmtId="0" fontId="38" fillId="10" borderId="24" xfId="0" applyFont="1" applyFill="1" applyBorder="1" applyAlignment="1">
      <alignment horizontal="center" vertical="center"/>
    </xf>
    <xf numFmtId="0" fontId="38" fillId="10" borderId="25" xfId="0" applyFont="1" applyFill="1" applyBorder="1" applyAlignment="1">
      <alignment horizontal="center" vertical="center"/>
    </xf>
    <xf numFmtId="0" fontId="38" fillId="10" borderId="20" xfId="0" applyFont="1" applyFill="1" applyBorder="1" applyAlignment="1">
      <alignment horizontal="center" vertical="center"/>
    </xf>
    <xf numFmtId="0" fontId="44" fillId="0" borderId="16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4">
    <dxf>
      <font>
        <b val="0"/>
        <i val="0"/>
        <strike val="0"/>
        <u val="none"/>
        <sz val="11"/>
        <color theme="1"/>
        <name val="Times New Roman"/>
        <charset val="134"/>
        <scheme val="none"/>
      </font>
      <alignment horizontal="center"/>
    </dxf>
    <dxf>
      <font>
        <b val="0"/>
        <i val="0"/>
        <strike val="0"/>
        <u val="none"/>
        <sz val="11"/>
        <color theme="1"/>
        <name val="Times New Roman"/>
        <charset val="134"/>
        <scheme val="none"/>
      </font>
      <numFmt numFmtId="179" formatCode="0.0_ "/>
      <alignment horizontal="center"/>
    </dxf>
    <dxf>
      <font>
        <b val="0"/>
        <i val="0"/>
        <strike val="0"/>
        <u val="none"/>
        <sz val="11"/>
        <color theme="1"/>
        <name val="Times New Roman"/>
        <charset val="134"/>
        <scheme val="none"/>
      </font>
      <alignment horizontal="center"/>
    </dxf>
    <dxf>
      <font>
        <b val="0"/>
        <i val="0"/>
        <strike val="0"/>
        <u val="none"/>
        <sz val="12"/>
        <color theme="1"/>
        <name val="Times New Roman"/>
        <charset val="134"/>
        <scheme val="none"/>
      </font>
      <alignment horizontal="center"/>
    </dxf>
  </dxfs>
  <tableStyles count="0" defaultTableStyle="TableStyleMedium2" defaultPivotStyle="PivotStyleLight16"/>
  <colors>
    <mruColors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979975274515"/>
          <c:y val="0.18964406131127201"/>
          <c:w val="0.86171084864392"/>
          <c:h val="0.712206911636045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'UHPC受压 杨剑、方志'!$L$4:$L$60</c:f>
              <c:numCache>
                <c:formatCode>General</c:formatCode>
                <c:ptCount val="57"/>
                <c:pt idx="0">
                  <c:v>3.5E-4</c:v>
                </c:pt>
                <c:pt idx="1">
                  <c:v>6.9999999999999999E-4</c:v>
                </c:pt>
                <c:pt idx="2">
                  <c:v>1.0499999999999999E-3</c:v>
                </c:pt>
                <c:pt idx="3">
                  <c:v>1.4E-3</c:v>
                </c:pt>
                <c:pt idx="4">
                  <c:v>1.7499999999999998E-3</c:v>
                </c:pt>
                <c:pt idx="5">
                  <c:v>2.0999999999999999E-3</c:v>
                </c:pt>
                <c:pt idx="6">
                  <c:v>2.4499999999999995E-3</c:v>
                </c:pt>
                <c:pt idx="7">
                  <c:v>2.8E-3</c:v>
                </c:pt>
                <c:pt idx="8">
                  <c:v>3.1499999999999996E-3</c:v>
                </c:pt>
                <c:pt idx="9">
                  <c:v>3.4999999999999996E-3</c:v>
                </c:pt>
                <c:pt idx="10">
                  <c:v>3.8500000000000001E-3</c:v>
                </c:pt>
                <c:pt idx="11">
                  <c:v>4.1999999999999997E-3</c:v>
                </c:pt>
                <c:pt idx="12">
                  <c:v>4.5499999999999994E-3</c:v>
                </c:pt>
                <c:pt idx="13">
                  <c:v>4.899999999999999E-3</c:v>
                </c:pt>
                <c:pt idx="14">
                  <c:v>5.2499999999999995E-3</c:v>
                </c:pt>
                <c:pt idx="15">
                  <c:v>5.5999999999999999E-3</c:v>
                </c:pt>
                <c:pt idx="16">
                  <c:v>5.9499999999999996E-3</c:v>
                </c:pt>
                <c:pt idx="17">
                  <c:v>6.2999999999999992E-3</c:v>
                </c:pt>
                <c:pt idx="18">
                  <c:v>6.6499999999999988E-3</c:v>
                </c:pt>
                <c:pt idx="19">
                  <c:v>6.9999999999999993E-3</c:v>
                </c:pt>
                <c:pt idx="20">
                  <c:v>7.3499999999999998E-3</c:v>
                </c:pt>
                <c:pt idx="21">
                  <c:v>7.7000000000000002E-3</c:v>
                </c:pt>
                <c:pt idx="22">
                  <c:v>8.0499999999999981E-3</c:v>
                </c:pt>
                <c:pt idx="23">
                  <c:v>8.3999999999999995E-3</c:v>
                </c:pt>
                <c:pt idx="24">
                  <c:v>8.7499999999999991E-3</c:v>
                </c:pt>
                <c:pt idx="25">
                  <c:v>9.0999999999999987E-3</c:v>
                </c:pt>
                <c:pt idx="26">
                  <c:v>9.4500000000000001E-3</c:v>
                </c:pt>
                <c:pt idx="27">
                  <c:v>9.7999999999999979E-3</c:v>
                </c:pt>
                <c:pt idx="28">
                  <c:v>1.0149999999999999E-2</c:v>
                </c:pt>
                <c:pt idx="29">
                  <c:v>1.0499999999999999E-2</c:v>
                </c:pt>
                <c:pt idx="30">
                  <c:v>1.0849999999999999E-2</c:v>
                </c:pt>
                <c:pt idx="31">
                  <c:v>1.12E-2</c:v>
                </c:pt>
                <c:pt idx="32">
                  <c:v>1.1549999999999998E-2</c:v>
                </c:pt>
                <c:pt idx="33">
                  <c:v>1.1899999999999999E-2</c:v>
                </c:pt>
                <c:pt idx="34">
                  <c:v>1.2249999999999999E-2</c:v>
                </c:pt>
                <c:pt idx="35">
                  <c:v>1.2599999999999998E-2</c:v>
                </c:pt>
                <c:pt idx="36">
                  <c:v>1.295E-2</c:v>
                </c:pt>
                <c:pt idx="37">
                  <c:v>1.3299999999999998E-2</c:v>
                </c:pt>
                <c:pt idx="38">
                  <c:v>1.3649999999999999E-2</c:v>
                </c:pt>
                <c:pt idx="39">
                  <c:v>1.3999999999999999E-2</c:v>
                </c:pt>
                <c:pt idx="40">
                  <c:v>1.4349999999999996E-2</c:v>
                </c:pt>
                <c:pt idx="41">
                  <c:v>1.47E-2</c:v>
                </c:pt>
                <c:pt idx="42">
                  <c:v>1.5049999999999997E-2</c:v>
                </c:pt>
                <c:pt idx="43">
                  <c:v>1.54E-2</c:v>
                </c:pt>
                <c:pt idx="44">
                  <c:v>1.575E-2</c:v>
                </c:pt>
                <c:pt idx="45">
                  <c:v>1.6099999999999996E-2</c:v>
                </c:pt>
                <c:pt idx="46">
                  <c:v>1.6449999999999999E-2</c:v>
                </c:pt>
                <c:pt idx="47">
                  <c:v>1.6799999999999999E-2</c:v>
                </c:pt>
                <c:pt idx="48">
                  <c:v>1.7149999999999999E-2</c:v>
                </c:pt>
                <c:pt idx="49">
                  <c:v>1.7499999999999998E-2</c:v>
                </c:pt>
                <c:pt idx="50">
                  <c:v>1.7849999999999998E-2</c:v>
                </c:pt>
                <c:pt idx="51">
                  <c:v>1.8199999999999997E-2</c:v>
                </c:pt>
                <c:pt idx="52">
                  <c:v>1.8549999999999997E-2</c:v>
                </c:pt>
                <c:pt idx="53">
                  <c:v>1.89E-2</c:v>
                </c:pt>
                <c:pt idx="54">
                  <c:v>1.9249999999999996E-2</c:v>
                </c:pt>
                <c:pt idx="55">
                  <c:v>1.9599999999999996E-2</c:v>
                </c:pt>
                <c:pt idx="56">
                  <c:v>1.9949999999999999E-2</c:v>
                </c:pt>
              </c:numCache>
            </c:numRef>
          </c:xVal>
          <c:yVal>
            <c:numRef>
              <c:f>'UHPC受压 杨剑、方志'!$M$4:$M$60</c:f>
              <c:numCache>
                <c:formatCode>General</c:formatCode>
                <c:ptCount val="57"/>
                <c:pt idx="0">
                  <c:v>16.172477992786121</c:v>
                </c:pt>
                <c:pt idx="1">
                  <c:v>32.184793415140909</c:v>
                </c:pt>
                <c:pt idx="2">
                  <c:v>47.987678260954688</c:v>
                </c:pt>
                <c:pt idx="3">
                  <c:v>63.509348517573123</c:v>
                </c:pt>
                <c:pt idx="4">
                  <c:v>78.640982450738903</c:v>
                </c:pt>
                <c:pt idx="5">
                  <c:v>93.209295534881107</c:v>
                </c:pt>
                <c:pt idx="6">
                  <c:v>106.92051050587531</c:v>
                </c:pt>
                <c:pt idx="7">
                  <c:v>119.23359042147131</c:v>
                </c:pt>
                <c:pt idx="8">
                  <c:v>129.03078137085282</c:v>
                </c:pt>
                <c:pt idx="9">
                  <c:v>133.57</c:v>
                </c:pt>
                <c:pt idx="10">
                  <c:v>131.18482142857141</c:v>
                </c:pt>
                <c:pt idx="11">
                  <c:v>125.22187500000001</c:v>
                </c:pt>
                <c:pt idx="12">
                  <c:v>117.32499999999999</c:v>
                </c:pt>
                <c:pt idx="13">
                  <c:v>108.71976744186047</c:v>
                </c:pt>
                <c:pt idx="14">
                  <c:v>100.17749999999999</c:v>
                </c:pt>
                <c:pt idx="15">
                  <c:v>92.117241379310329</c:v>
                </c:pt>
                <c:pt idx="16">
                  <c:v>84.72723880597016</c:v>
                </c:pt>
                <c:pt idx="17">
                  <c:v>78.060389610389606</c:v>
                </c:pt>
                <c:pt idx="18">
                  <c:v>72.097443181818193</c:v>
                </c:pt>
                <c:pt idx="19">
                  <c:v>66.784999999999997</c:v>
                </c:pt>
                <c:pt idx="20">
                  <c:v>62.056858407079645</c:v>
                </c:pt>
                <c:pt idx="21">
                  <c:v>57.845275590551168</c:v>
                </c:pt>
                <c:pt idx="22">
                  <c:v>54.086443661971835</c:v>
                </c:pt>
                <c:pt idx="23">
                  <c:v>50.722784810126583</c:v>
                </c:pt>
                <c:pt idx="24">
                  <c:v>47.703571428571422</c:v>
                </c:pt>
                <c:pt idx="25">
                  <c:v>44.984715025906731</c:v>
                </c:pt>
                <c:pt idx="26">
                  <c:v>42.528183962264151</c:v>
                </c:pt>
                <c:pt idx="27">
                  <c:v>40.301293103448288</c:v>
                </c:pt>
                <c:pt idx="28">
                  <c:v>38.275988142292491</c:v>
                </c:pt>
                <c:pt idx="29">
                  <c:v>36.42818181818182</c:v>
                </c:pt>
                <c:pt idx="30">
                  <c:v>34.737164429530203</c:v>
                </c:pt>
                <c:pt idx="31">
                  <c:v>33.185093167701858</c:v>
                </c:pt>
                <c:pt idx="32">
                  <c:v>31.756556195965416</c:v>
                </c:pt>
                <c:pt idx="33">
                  <c:v>30.438203753351203</c:v>
                </c:pt>
                <c:pt idx="34">
                  <c:v>29.2184375</c:v>
                </c:pt>
                <c:pt idx="35">
                  <c:v>28.087149532710278</c:v>
                </c:pt>
                <c:pt idx="36">
                  <c:v>27.035503282275709</c:v>
                </c:pt>
                <c:pt idx="37">
                  <c:v>26.055749486652982</c:v>
                </c:pt>
                <c:pt idx="38">
                  <c:v>25.141071428571429</c:v>
                </c:pt>
                <c:pt idx="39">
                  <c:v>24.285454545454545</c:v>
                </c:pt>
                <c:pt idx="40">
                  <c:v>23.483576329331051</c:v>
                </c:pt>
                <c:pt idx="41">
                  <c:v>22.730713128038897</c:v>
                </c:pt>
                <c:pt idx="42">
                  <c:v>22.022661042944787</c:v>
                </c:pt>
                <c:pt idx="43">
                  <c:v>21.355668604651161</c:v>
                </c:pt>
                <c:pt idx="44">
                  <c:v>20.726379310344825</c:v>
                </c:pt>
                <c:pt idx="45">
                  <c:v>20.131782437745741</c:v>
                </c:pt>
                <c:pt idx="46">
                  <c:v>19.569170822942638</c:v>
                </c:pt>
                <c:pt idx="47">
                  <c:v>19.036104513064132</c:v>
                </c:pt>
                <c:pt idx="48">
                  <c:v>18.53037938844847</c:v>
                </c:pt>
                <c:pt idx="49">
                  <c:v>18.049999999999997</c:v>
                </c:pt>
                <c:pt idx="50">
                  <c:v>17.593155991735536</c:v>
                </c:pt>
                <c:pt idx="51">
                  <c:v>17.158201581027665</c:v>
                </c:pt>
                <c:pt idx="52">
                  <c:v>16.743637653736993</c:v>
                </c:pt>
                <c:pt idx="53">
                  <c:v>16.348096101541248</c:v>
                </c:pt>
                <c:pt idx="54">
                  <c:v>15.970326086956522</c:v>
                </c:pt>
                <c:pt idx="55">
                  <c:v>15.609181969949917</c:v>
                </c:pt>
                <c:pt idx="56">
                  <c:v>15.263612670408977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4-499E-B4D1-30EB87EA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55215"/>
        <c:axId val="1498473103"/>
      </c:scatterChart>
      <c:valAx>
        <c:axId val="14984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473103"/>
        <c:crosses val="autoZero"/>
        <c:crossBetween val="midCat"/>
      </c:valAx>
      <c:valAx>
        <c:axId val="14984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4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[1]ABAQUS中塑性损伤模型参数输入!$H$75:$H$93</c:f>
              <c:numCache>
                <c:formatCode>General</c:formatCode>
                <c:ptCount val="19"/>
                <c:pt idx="0">
                  <c:v>7.8862450220622168E-5</c:v>
                </c:pt>
                <c:pt idx="1">
                  <c:v>9.4634940264746599E-5</c:v>
                </c:pt>
                <c:pt idx="2">
                  <c:v>1.1040743030887103E-4</c:v>
                </c:pt>
                <c:pt idx="3">
                  <c:v>1.2617992035299547E-4</c:v>
                </c:pt>
                <c:pt idx="4">
                  <c:v>1.4195241039711992E-4</c:v>
                </c:pt>
                <c:pt idx="5">
                  <c:v>1.5772490044124434E-4</c:v>
                </c:pt>
                <c:pt idx="6">
                  <c:v>1.7349739048536878E-4</c:v>
                </c:pt>
                <c:pt idx="7">
                  <c:v>1.892698805294932E-4</c:v>
                </c:pt>
                <c:pt idx="8">
                  <c:v>2.0504237057361764E-4</c:v>
                </c:pt>
                <c:pt idx="9">
                  <c:v>2.2081486061774206E-4</c:v>
                </c:pt>
                <c:pt idx="10">
                  <c:v>2.365873506618665E-4</c:v>
                </c:pt>
                <c:pt idx="11">
                  <c:v>3.1544980088248867E-4</c:v>
                </c:pt>
                <c:pt idx="12">
                  <c:v>3.9431225110311081E-4</c:v>
                </c:pt>
                <c:pt idx="13">
                  <c:v>4.7317470132373301E-4</c:v>
                </c:pt>
                <c:pt idx="14">
                  <c:v>5.520371515443552E-4</c:v>
                </c:pt>
                <c:pt idx="15">
                  <c:v>6.3089960176497734E-4</c:v>
                </c:pt>
                <c:pt idx="16">
                  <c:v>7.0976205198559949E-4</c:v>
                </c:pt>
                <c:pt idx="17">
                  <c:v>7.8862450220622163E-4</c:v>
                </c:pt>
                <c:pt idx="18">
                  <c:v>8.6748695242684388E-4</c:v>
                </c:pt>
              </c:numCache>
            </c:numRef>
          </c:xVal>
          <c:yVal>
            <c:numRef>
              <c:f>[1]ABAQUS中塑性损伤模型参数输入!$I$75:$I$93</c:f>
              <c:numCache>
                <c:formatCode>General</c:formatCode>
                <c:ptCount val="19"/>
                <c:pt idx="0">
                  <c:v>2.7250328341610977</c:v>
                </c:pt>
                <c:pt idx="1">
                  <c:v>2.421905554024137</c:v>
                </c:pt>
                <c:pt idx="2">
                  <c:v>2.0207048951837434</c:v>
                </c:pt>
                <c:pt idx="3">
                  <c:v>1.6950680822077078</c:v>
                </c:pt>
                <c:pt idx="4">
                  <c:v>1.4488670730257371</c:v>
                </c:pt>
                <c:pt idx="5">
                  <c:v>1.2625096119832837</c:v>
                </c:pt>
                <c:pt idx="6">
                  <c:v>1.1187582898390909</c:v>
                </c:pt>
                <c:pt idx="7">
                  <c:v>1.0053888329108949</c:v>
                </c:pt>
                <c:pt idx="8">
                  <c:v>0.91407193923852381</c:v>
                </c:pt>
                <c:pt idx="9">
                  <c:v>0.83911230223658362</c:v>
                </c:pt>
                <c:pt idx="10">
                  <c:v>0.7765491678304195</c:v>
                </c:pt>
                <c:pt idx="11">
                  <c:v>0.5737819135045964</c:v>
                </c:pt>
                <c:pt idx="12">
                  <c:v>0.46254695243739019</c:v>
                </c:pt>
                <c:pt idx="13">
                  <c:v>0.39172107661247058</c:v>
                </c:pt>
                <c:pt idx="14">
                  <c:v>0.34230778195287914</c:v>
                </c:pt>
                <c:pt idx="15">
                  <c:v>0.30565339966366262</c:v>
                </c:pt>
                <c:pt idx="16">
                  <c:v>0.27724586469196</c:v>
                </c:pt>
                <c:pt idx="17">
                  <c:v>0.25449601779852066</c:v>
                </c:pt>
                <c:pt idx="18">
                  <c:v>0.23580810041076047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3-4476-9BE8-3D89D893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7360"/>
        <c:axId val="124048896"/>
      </c:scatterChart>
      <c:valAx>
        <c:axId val="124047360"/>
        <c:scaling>
          <c:orientation val="minMax"/>
          <c:min val="0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24048896"/>
        <c:crosses val="autoZero"/>
        <c:crossBetween val="midCat"/>
      </c:valAx>
      <c:valAx>
        <c:axId val="1240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4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592175268275221E-2"/>
          <c:y val="7.0835706556395872E-2"/>
          <c:w val="0.83282770656838501"/>
          <c:h val="0.80454092287940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[1]ABAQUS中塑性损伤模型参数输入!$M$74</c:f>
              <c:strCache>
                <c:ptCount val="1"/>
                <c:pt idx="0">
                  <c:v>d_c1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[1]ABAQUS中塑性损伤模型参数输入!$L$75:$L$91</c:f>
              <c:numCache>
                <c:formatCode>General</c:formatCode>
                <c:ptCount val="17"/>
                <c:pt idx="0">
                  <c:v>0</c:v>
                </c:pt>
                <c:pt idx="1">
                  <c:v>2.4544993531288071E-5</c:v>
                </c:pt>
                <c:pt idx="2">
                  <c:v>5.1928230642253494E-5</c:v>
                </c:pt>
                <c:pt idx="3">
                  <c:v>7.7124650053904411E-5</c:v>
                </c:pt>
                <c:pt idx="4">
                  <c:v>1.0002219730375508E-4</c:v>
                </c:pt>
                <c:pt idx="5">
                  <c:v>1.2118787227044811E-4</c:v>
                </c:pt>
                <c:pt idx="6">
                  <c:v>1.411205255774255E-4</c:v>
                </c:pt>
                <c:pt idx="7">
                  <c:v>1.6017392770505191E-4</c:v>
                </c:pt>
                <c:pt idx="8">
                  <c:v>1.7858912865205477E-4</c:v>
                </c:pt>
                <c:pt idx="9">
                  <c:v>1.9653095059101534E-4</c:v>
                </c:pt>
                <c:pt idx="10">
                  <c:v>2.1411401774485417E-4</c:v>
                </c:pt>
                <c:pt idx="11">
                  <c:v>2.9884455230566565E-4</c:v>
                </c:pt>
                <c:pt idx="12">
                  <c:v>3.8092614229957275E-4</c:v>
                </c:pt>
                <c:pt idx="13">
                  <c:v>4.6183829336656813E-4</c:v>
                </c:pt>
                <c:pt idx="14">
                  <c:v>5.4213076433463892E-4</c:v>
                </c:pt>
                <c:pt idx="15">
                  <c:v>6.2205399237871091E-4</c:v>
                </c:pt>
                <c:pt idx="16">
                  <c:v>7.0173855666141416E-4</c:v>
                </c:pt>
              </c:numCache>
            </c:numRef>
          </c:xVal>
          <c:yVal>
            <c:numRef>
              <c:f>[1]ABAQUS中塑性损伤模型参数输入!$M$75:$M$91</c:f>
              <c:numCache>
                <c:formatCode>General</c:formatCode>
                <c:ptCount val="17"/>
                <c:pt idx="0">
                  <c:v>0</c:v>
                </c:pt>
                <c:pt idx="1">
                  <c:v>0.23962680721834129</c:v>
                </c:pt>
                <c:pt idx="2">
                  <c:v>0.44416399053422684</c:v>
                </c:pt>
                <c:pt idx="3">
                  <c:v>0.58588713943792992</c:v>
                </c:pt>
                <c:pt idx="4">
                  <c:v>0.68219618798680282</c:v>
                </c:pt>
                <c:pt idx="5">
                  <c:v>0.74903976261811545</c:v>
                </c:pt>
                <c:pt idx="6">
                  <c:v>0.7968361368877438</c:v>
                </c:pt>
                <c:pt idx="7">
                  <c:v>0.83203395690608584</c:v>
                </c:pt>
                <c:pt idx="8">
                  <c:v>0.85865257749013812</c:v>
                </c:pt>
                <c:pt idx="9">
                  <c:v>0.87925824393011165</c:v>
                </c:pt>
                <c:pt idx="10">
                  <c:v>0.89553621343197665</c:v>
                </c:pt>
                <c:pt idx="11">
                  <c:v>0.94183404158913842</c:v>
                </c:pt>
                <c:pt idx="12">
                  <c:v>0.96240749442392903</c:v>
                </c:pt>
                <c:pt idx="13">
                  <c:v>0.97343823879453883</c:v>
                </c:pt>
                <c:pt idx="14">
                  <c:v>0.98008986001967224</c:v>
                </c:pt>
                <c:pt idx="15">
                  <c:v>0.98443609380750519</c:v>
                </c:pt>
                <c:pt idx="16">
                  <c:v>0.98744642466333965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7-43A4-8DD3-20A7DE2A2311}"/>
            </c:ext>
          </c:extLst>
        </c:ser>
        <c:ser>
          <c:idx val="1"/>
          <c:order val="1"/>
          <c:tx>
            <c:strRef>
              <c:f>[1]ABAQUS中塑性损伤模型参数输入!$N$74</c:f>
              <c:strCache>
                <c:ptCount val="1"/>
                <c:pt idx="0">
                  <c:v>d_c2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[1]ABAQUS中塑性损伤模型参数输入!$L$75:$L$91</c:f>
              <c:numCache>
                <c:formatCode>General</c:formatCode>
                <c:ptCount val="17"/>
                <c:pt idx="0">
                  <c:v>0</c:v>
                </c:pt>
                <c:pt idx="1">
                  <c:v>2.4544993531288071E-5</c:v>
                </c:pt>
                <c:pt idx="2">
                  <c:v>5.1928230642253494E-5</c:v>
                </c:pt>
                <c:pt idx="3">
                  <c:v>7.7124650053904411E-5</c:v>
                </c:pt>
                <c:pt idx="4">
                  <c:v>1.0002219730375508E-4</c:v>
                </c:pt>
                <c:pt idx="5">
                  <c:v>1.2118787227044811E-4</c:v>
                </c:pt>
                <c:pt idx="6">
                  <c:v>1.411205255774255E-4</c:v>
                </c:pt>
                <c:pt idx="7">
                  <c:v>1.6017392770505191E-4</c:v>
                </c:pt>
                <c:pt idx="8">
                  <c:v>1.7858912865205477E-4</c:v>
                </c:pt>
                <c:pt idx="9">
                  <c:v>1.9653095059101534E-4</c:v>
                </c:pt>
                <c:pt idx="10">
                  <c:v>2.1411401774485417E-4</c:v>
                </c:pt>
                <c:pt idx="11">
                  <c:v>2.9884455230566565E-4</c:v>
                </c:pt>
                <c:pt idx="12">
                  <c:v>3.8092614229957275E-4</c:v>
                </c:pt>
                <c:pt idx="13">
                  <c:v>4.6183829336656813E-4</c:v>
                </c:pt>
                <c:pt idx="14">
                  <c:v>5.4213076433463892E-4</c:v>
                </c:pt>
                <c:pt idx="15">
                  <c:v>6.2205399237871091E-4</c:v>
                </c:pt>
                <c:pt idx="16">
                  <c:v>7.0173855666141416E-4</c:v>
                </c:pt>
              </c:numCache>
            </c:numRef>
          </c:xVal>
          <c:yVal>
            <c:numRef>
              <c:f>[1]ABAQUS中塑性损伤模型参数输入!$N$75:$N$91</c:f>
              <c:numCache>
                <c:formatCode>General</c:formatCode>
                <c:ptCount val="17"/>
                <c:pt idx="0">
                  <c:v>0</c:v>
                </c:pt>
                <c:pt idx="1">
                  <c:v>0.16558371756868973</c:v>
                </c:pt>
                <c:pt idx="2">
                  <c:v>0.33474695874594751</c:v>
                </c:pt>
                <c:pt idx="3">
                  <c:v>0.47115488434173536</c:v>
                </c:pt>
                <c:pt idx="4">
                  <c:v>0.57478507797246792</c:v>
                </c:pt>
                <c:pt idx="5">
                  <c:v>0.65272337165363215</c:v>
                </c:pt>
                <c:pt idx="6">
                  <c:v>0.71180899898404737</c:v>
                </c:pt>
                <c:pt idx="7">
                  <c:v>0.75725290554670732</c:v>
                </c:pt>
                <c:pt idx="8">
                  <c:v>0.79277348058062813</c:v>
                </c:pt>
                <c:pt idx="9">
                  <c:v>0.82098303954473428</c:v>
                </c:pt>
                <c:pt idx="10">
                  <c:v>0.84372313951956601</c:v>
                </c:pt>
                <c:pt idx="11">
                  <c:v>0.91070070242492085</c:v>
                </c:pt>
                <c:pt idx="12">
                  <c:v>0.94160765887494369</c:v>
                </c:pt>
                <c:pt idx="13">
                  <c:v>0.95848150549501054</c:v>
                </c:pt>
                <c:pt idx="14">
                  <c:v>0.96876078374848595</c:v>
                </c:pt>
                <c:pt idx="15">
                  <c:v>0.97552017743199571</c:v>
                </c:pt>
                <c:pt idx="16">
                  <c:v>0.98022188077018668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7-43A4-8DD3-20A7DE2A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20192"/>
        <c:axId val="127677184"/>
      </c:scatterChart>
      <c:valAx>
        <c:axId val="125320192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27677184"/>
        <c:crosses val="autoZero"/>
        <c:crossBetween val="midCat"/>
      </c:valAx>
      <c:valAx>
        <c:axId val="127677184"/>
        <c:scaling>
          <c:orientation val="minMax"/>
        </c:scaling>
        <c:delete val="0"/>
        <c:axPos val="l"/>
        <c:majorGridlines/>
        <c:numFmt formatCode="#,##0.00_);[Red]\(#,##0.00\)" sourceLinked="0"/>
        <c:majorTickMark val="out"/>
        <c:minorTickMark val="none"/>
        <c:tickLblPos val="nextTo"/>
        <c:crossAx val="125320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304613547519"/>
          <c:y val="0.45630162026217408"/>
          <c:w val="0.14592274777663783"/>
          <c:h val="0.195522079275441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[1]ABAQUS中塑性损伤模型参数输入!$R$75:$R$93</c:f>
              <c:numCache>
                <c:formatCode>General</c:formatCode>
                <c:ptCount val="19"/>
                <c:pt idx="0">
                  <c:v>0</c:v>
                </c:pt>
                <c:pt idx="1">
                  <c:v>2.4544993531288071E-5</c:v>
                </c:pt>
                <c:pt idx="2">
                  <c:v>5.1928230642253494E-5</c:v>
                </c:pt>
                <c:pt idx="3">
                  <c:v>7.7124650053904411E-5</c:v>
                </c:pt>
                <c:pt idx="4">
                  <c:v>1.0002219730375508E-4</c:v>
                </c:pt>
                <c:pt idx="5">
                  <c:v>1.2118787227044811E-4</c:v>
                </c:pt>
                <c:pt idx="6">
                  <c:v>1.411205255774255E-4</c:v>
                </c:pt>
                <c:pt idx="7">
                  <c:v>1.6017392770505191E-4</c:v>
                </c:pt>
                <c:pt idx="8">
                  <c:v>1.7858912865205477E-4</c:v>
                </c:pt>
                <c:pt idx="9">
                  <c:v>1.9653095059101534E-4</c:v>
                </c:pt>
                <c:pt idx="10">
                  <c:v>2.1411401774485417E-4</c:v>
                </c:pt>
                <c:pt idx="11">
                  <c:v>2.9884455230566565E-4</c:v>
                </c:pt>
                <c:pt idx="12">
                  <c:v>3.8092614229957275E-4</c:v>
                </c:pt>
                <c:pt idx="13">
                  <c:v>4.6183829336656813E-4</c:v>
                </c:pt>
                <c:pt idx="14">
                  <c:v>5.4213076433463892E-4</c:v>
                </c:pt>
                <c:pt idx="15">
                  <c:v>6.2205399237871091E-4</c:v>
                </c:pt>
                <c:pt idx="16">
                  <c:v>7.0173855666141416E-4</c:v>
                </c:pt>
                <c:pt idx="17">
                  <c:v>7.8125938745113245E-4</c:v>
                </c:pt>
                <c:pt idx="18">
                  <c:v>8.6066266600095642E-4</c:v>
                </c:pt>
              </c:numCache>
            </c:numRef>
          </c:xVal>
          <c:yVal>
            <c:numRef>
              <c:f>[1]ABAQUS中塑性损伤模型参数输入!$S$75:$S$93</c:f>
              <c:numCache>
                <c:formatCode>General</c:formatCode>
                <c:ptCount val="19"/>
                <c:pt idx="0">
                  <c:v>0</c:v>
                </c:pt>
                <c:pt idx="1">
                  <c:v>2.4565896879070671E-6</c:v>
                </c:pt>
                <c:pt idx="2">
                  <c:v>5.1979824308480698E-6</c:v>
                </c:pt>
                <c:pt idx="3">
                  <c:v>7.7212223243735813E-6</c:v>
                </c:pt>
                <c:pt idx="4">
                  <c:v>1.0014996469486992E-5</c:v>
                </c:pt>
                <c:pt idx="5">
                  <c:v>1.2135987424725025E-5</c:v>
                </c:pt>
                <c:pt idx="6">
                  <c:v>1.4134084373918399E-5</c:v>
                </c:pt>
                <c:pt idx="7">
                  <c:v>1.604467209749487E-5</c:v>
                </c:pt>
                <c:pt idx="8">
                  <c:v>1.7891862613578788E-5</c:v>
                </c:pt>
                <c:pt idx="9">
                  <c:v>1.9692143695597956E-5</c:v>
                </c:pt>
                <c:pt idx="10">
                  <c:v>2.1456981992160567E-5</c:v>
                </c:pt>
                <c:pt idx="11">
                  <c:v>2.9969271884237913E-5</c:v>
                </c:pt>
                <c:pt idx="12">
                  <c:v>3.8227744406679526E-5</c:v>
                </c:pt>
                <c:pt idx="13">
                  <c:v>4.638041349487842E-5</c:v>
                </c:pt>
                <c:pt idx="14">
                  <c:v>5.4482276515634078E-5</c:v>
                </c:pt>
                <c:pt idx="15">
                  <c:v>6.2558384793886634E-5</c:v>
                </c:pt>
                <c:pt idx="16">
                  <c:v>7.0621798391532343E-5</c:v>
                </c:pt>
                <c:pt idx="17">
                  <c:v>7.868001005687322E-5</c:v>
                </c:pt>
                <c:pt idx="18">
                  <c:v>8.6737636465376747E-5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7-43F6-BC29-B833F6FB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6912"/>
        <c:axId val="127696896"/>
      </c:scatterChart>
      <c:valAx>
        <c:axId val="127686912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27696896"/>
        <c:crosses val="autoZero"/>
        <c:crossBetween val="midCat"/>
      </c:valAx>
      <c:valAx>
        <c:axId val="12769689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276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混凝土塑形损伤模型参数!$Q$7:$Q$70</c:f>
              <c:numCache>
                <c:formatCode>0.00000000_);[Red]\(0.00000000\)</c:formatCode>
                <c:ptCount val="64"/>
                <c:pt idx="0">
                  <c:v>0</c:v>
                </c:pt>
                <c:pt idx="1">
                  <c:v>7.4813912025886308E-5</c:v>
                </c:pt>
                <c:pt idx="2">
                  <c:v>8.8686309085894612E-5</c:v>
                </c:pt>
                <c:pt idx="3">
                  <c:v>1.1511646797371985E-4</c:v>
                </c:pt>
                <c:pt idx="4">
                  <c:v>1.8072964663919436E-4</c:v>
                </c:pt>
                <c:pt idx="5">
                  <c:v>4.7580128748639578E-4</c:v>
                </c:pt>
                <c:pt idx="6">
                  <c:v>7.2295240735601417E-4</c:v>
                </c:pt>
                <c:pt idx="7">
                  <c:v>9.0568170793652969E-4</c:v>
                </c:pt>
                <c:pt idx="8">
                  <c:v>1.1093224961210525E-3</c:v>
                </c:pt>
                <c:pt idx="9">
                  <c:v>1.3252202345962333E-3</c:v>
                </c:pt>
                <c:pt idx="10">
                  <c:v>1.546732525870508E-3</c:v>
                </c:pt>
                <c:pt idx="11">
                  <c:v>1.7693810645058542E-3</c:v>
                </c:pt>
                <c:pt idx="12">
                  <c:v>1.9904517424207705E-3</c:v>
                </c:pt>
                <c:pt idx="13">
                  <c:v>2.2084777908395049E-3</c:v>
                </c:pt>
                <c:pt idx="14">
                  <c:v>2.4227977321936408E-3</c:v>
                </c:pt>
                <c:pt idx="15">
                  <c:v>2.6332349361789706E-3</c:v>
                </c:pt>
                <c:pt idx="16">
                  <c:v>2.8398854277366663E-3</c:v>
                </c:pt>
                <c:pt idx="17">
                  <c:v>3.0429853598862105E-3</c:v>
                </c:pt>
                <c:pt idx="18">
                  <c:v>3.2428318756318247E-3</c:v>
                </c:pt>
                <c:pt idx="19">
                  <c:v>3.439737845411594E-3</c:v>
                </c:pt>
                <c:pt idx="20">
                  <c:v>3.634007328590701E-3</c:v>
                </c:pt>
                <c:pt idx="21">
                  <c:v>3.8259233548304651E-3</c:v>
                </c:pt>
                <c:pt idx="22">
                  <c:v>4.0157428273275928E-3</c:v>
                </c:pt>
                <c:pt idx="23">
                  <c:v>4.2036954043954723E-3</c:v>
                </c:pt>
                <c:pt idx="24">
                  <c:v>4.3899844927017947E-3</c:v>
                </c:pt>
                <c:pt idx="25">
                  <c:v>4.5747892638714942E-3</c:v>
                </c:pt>
                <c:pt idx="26">
                  <c:v>4.7582670742630489E-3</c:v>
                </c:pt>
                <c:pt idx="27">
                  <c:v>5.1217769308705176E-3</c:v>
                </c:pt>
                <c:pt idx="28">
                  <c:v>5.4814273402398984E-3</c:v>
                </c:pt>
                <c:pt idx="29">
                  <c:v>5.8379237107893719E-3</c:v>
                </c:pt>
                <c:pt idx="30">
                  <c:v>6.1918146859864884E-3</c:v>
                </c:pt>
                <c:pt idx="31">
                  <c:v>6.5435306647106898E-3</c:v>
                </c:pt>
                <c:pt idx="32">
                  <c:v>6.8934124168625599E-3</c:v>
                </c:pt>
                <c:pt idx="33">
                  <c:v>7.2417322757768552E-3</c:v>
                </c:pt>
                <c:pt idx="34">
                  <c:v>7.5887098768663737E-3</c:v>
                </c:pt>
                <c:pt idx="35">
                  <c:v>7.9345239148219705E-3</c:v>
                </c:pt>
                <c:pt idx="36">
                  <c:v>8.2793209924631826E-3</c:v>
                </c:pt>
                <c:pt idx="37">
                  <c:v>8.6232223358252078E-3</c:v>
                </c:pt>
                <c:pt idx="38">
                  <c:v>8.9663289337051557E-3</c:v>
                </c:pt>
                <c:pt idx="39">
                  <c:v>9.3087255050876665E-3</c:v>
                </c:pt>
                <c:pt idx="40">
                  <c:v>9.6504835875475398E-3</c:v>
                </c:pt>
                <c:pt idx="41">
                  <c:v>9.9916639610092318E-3</c:v>
                </c:pt>
                <c:pt idx="42">
                  <c:v>1.0332318564827811E-2</c:v>
                </c:pt>
                <c:pt idx="43">
                  <c:v>1.0672492025499214E-2</c:v>
                </c:pt>
                <c:pt idx="44">
                  <c:v>1.1012222882810709E-2</c:v>
                </c:pt>
                <c:pt idx="45">
                  <c:v>1.135154458067044E-2</c:v>
                </c:pt>
                <c:pt idx="46">
                  <c:v>1.1690486272971316E-2</c:v>
                </c:pt>
                <c:pt idx="47">
                  <c:v>1.202907348306312E-2</c:v>
                </c:pt>
                <c:pt idx="48">
                  <c:v>1.2367328646585437E-2</c:v>
                </c:pt>
                <c:pt idx="49">
                  <c:v>1.2705271560781212E-2</c:v>
                </c:pt>
                <c:pt idx="50">
                  <c:v>1.3042919758368014E-2</c:v>
                </c:pt>
                <c:pt idx="51">
                  <c:v>1.338028882020369E-2</c:v>
                </c:pt>
                <c:pt idx="52">
                  <c:v>1.371739263801753E-2</c:v>
                </c:pt>
                <c:pt idx="53">
                  <c:v>1.4054243636186839E-2</c:v>
                </c:pt>
                <c:pt idx="54">
                  <c:v>1.4390852959760026E-2</c:v>
                </c:pt>
                <c:pt idx="55">
                  <c:v>1.472723063452264E-2</c:v>
                </c:pt>
                <c:pt idx="56">
                  <c:v>1.5063385703800327E-2</c:v>
                </c:pt>
                <c:pt idx="57">
                  <c:v>1.5399326345824693E-2</c:v>
                </c:pt>
                <c:pt idx="58">
                  <c:v>1.573505997478581E-2</c:v>
                </c:pt>
                <c:pt idx="59">
                  <c:v>1.6070593328137376E-2</c:v>
                </c:pt>
                <c:pt idx="60">
                  <c:v>1.6405932542277474E-2</c:v>
                </c:pt>
                <c:pt idx="61">
                  <c:v>1.674108321835904E-2</c:v>
                </c:pt>
                <c:pt idx="62">
                  <c:v>1.7076050479688968E-2</c:v>
                </c:pt>
                <c:pt idx="63">
                  <c:v>1.7410839021940294E-2</c:v>
                </c:pt>
              </c:numCache>
            </c:numRef>
          </c:xVal>
          <c:yVal>
            <c:numRef>
              <c:f>混凝土塑形损伤模型参数!$P$7:$P$70</c:f>
              <c:numCache>
                <c:formatCode>0.00000000_);[Red]\(0.00000000\)</c:formatCode>
                <c:ptCount val="64"/>
                <c:pt idx="0">
                  <c:v>18.945158701696862</c:v>
                </c:pt>
                <c:pt idx="1">
                  <c:v>23.363864587462153</c:v>
                </c:pt>
                <c:pt idx="2">
                  <c:v>24.348071060335574</c:v>
                </c:pt>
                <c:pt idx="3">
                  <c:v>25.873920244458699</c:v>
                </c:pt>
                <c:pt idx="4">
                  <c:v>28.4844366075864</c:v>
                </c:pt>
                <c:pt idx="5">
                  <c:v>32.917519043980903</c:v>
                </c:pt>
                <c:pt idx="6">
                  <c:v>33.556799986116935</c:v>
                </c:pt>
                <c:pt idx="7">
                  <c:v>33.091063295433877</c:v>
                </c:pt>
                <c:pt idx="8">
                  <c:v>31.901756161854628</c:v>
                </c:pt>
                <c:pt idx="9">
                  <c:v>30.287929967733142</c:v>
                </c:pt>
                <c:pt idx="10">
                  <c:v>28.479108112468868</c:v>
                </c:pt>
                <c:pt idx="11">
                  <c:v>26.630035417053453</c:v>
                </c:pt>
                <c:pt idx="12">
                  <c:v>24.834496185520429</c:v>
                </c:pt>
                <c:pt idx="13">
                  <c:v>23.143173847312514</c:v>
                </c:pt>
                <c:pt idx="14">
                  <c:v>21.578925597839767</c:v>
                </c:pt>
                <c:pt idx="15">
                  <c:v>20.147855098702738</c:v>
                </c:pt>
                <c:pt idx="16">
                  <c:v>18.846644613772984</c:v>
                </c:pt>
                <c:pt idx="17">
                  <c:v>17.667134386055771</c:v>
                </c:pt>
                <c:pt idx="18">
                  <c:v>16.599057195227211</c:v>
                </c:pt>
                <c:pt idx="19">
                  <c:v>15.631602371079621</c:v>
                </c:pt>
                <c:pt idx="20">
                  <c:v>14.754263703276777</c:v>
                </c:pt>
                <c:pt idx="21">
                  <c:v>13.95726164696217</c:v>
                </c:pt>
                <c:pt idx="22">
                  <c:v>13.231719437482054</c:v>
                </c:pt>
                <c:pt idx="23">
                  <c:v>12.5697017365513</c:v>
                </c:pt>
                <c:pt idx="24">
                  <c:v>11.964180311649327</c:v>
                </c:pt>
                <c:pt idx="25">
                  <c:v>11.408964353794726</c:v>
                </c:pt>
                <c:pt idx="26">
                  <c:v>10.898616864035509</c:v>
                </c:pt>
                <c:pt idx="27">
                  <c:v>9.9940380093104562</c:v>
                </c:pt>
                <c:pt idx="28">
                  <c:v>9.2188887735834619</c:v>
                </c:pt>
                <c:pt idx="29">
                  <c:v>8.548796947990688</c:v>
                </c:pt>
                <c:pt idx="30">
                  <c:v>7.9648072163344068</c:v>
                </c:pt>
                <c:pt idx="31">
                  <c:v>7.4520501127975347</c:v>
                </c:pt>
                <c:pt idx="32">
                  <c:v>6.9987532310491991</c:v>
                </c:pt>
                <c:pt idx="33">
                  <c:v>6.5955089363295984</c:v>
                </c:pt>
                <c:pt idx="34">
                  <c:v>6.2347305283702514</c:v>
                </c:pt>
                <c:pt idx="35">
                  <c:v>5.9102459801897504</c:v>
                </c:pt>
                <c:pt idx="36">
                  <c:v>5.6169921727219885</c:v>
                </c:pt>
                <c:pt idx="37">
                  <c:v>5.3507828599786151</c:v>
                </c:pt>
                <c:pt idx="38">
                  <c:v>5.1081310759085019</c:v>
                </c:pt>
                <c:pt idx="39">
                  <c:v>4.8861120430067819</c:v>
                </c:pt>
                <c:pt idx="40">
                  <c:v>4.6822564548358097</c:v>
                </c:pt>
                <c:pt idx="41">
                  <c:v>4.4944667248591417</c:v>
                </c:pt>
                <c:pt idx="42">
                  <c:v>4.3209507431733822</c:v>
                </c:pt>
                <c:pt idx="43">
                  <c:v>4.1601690875834789</c:v>
                </c:pt>
                <c:pt idx="44">
                  <c:v>4.0107926549193404</c:v>
                </c:pt>
                <c:pt idx="45">
                  <c:v>3.8716684236898149</c:v>
                </c:pt>
                <c:pt idx="46">
                  <c:v>3.7417916080189397</c:v>
                </c:pt>
                <c:pt idx="47">
                  <c:v>3.6202828701148317</c:v>
                </c:pt>
                <c:pt idx="48">
                  <c:v>3.5063695630738758</c:v>
                </c:pt>
                <c:pt idx="49">
                  <c:v>3.3993702052207171</c:v>
                </c:pt>
                <c:pt idx="50">
                  <c:v>3.298681561225898</c:v>
                </c:pt>
                <c:pt idx="51">
                  <c:v>3.203767838204258</c:v>
                </c:pt>
                <c:pt idx="52">
                  <c:v>3.1141516072630968</c:v>
                </c:pt>
                <c:pt idx="53">
                  <c:v>3.0294061401368322</c:v>
                </c:pt>
                <c:pt idx="54">
                  <c:v>2.9491489122164425</c:v>
                </c:pt>
                <c:pt idx="55">
                  <c:v>2.8730360716138024</c:v>
                </c:pt>
                <c:pt idx="56">
                  <c:v>2.8007577119960203</c:v>
                </c:pt>
                <c:pt idx="57">
                  <c:v>2.7320338171224754</c:v>
                </c:pt>
                <c:pt idx="58">
                  <c:v>2.6666107690769612</c:v>
                </c:pt>
                <c:pt idx="59">
                  <c:v>2.6042583314619501</c:v>
                </c:pt>
                <c:pt idx="60">
                  <c:v>2.5447670343320152</c:v>
                </c:pt>
                <c:pt idx="61">
                  <c:v>2.4879459001897453</c:v>
                </c:pt>
                <c:pt idx="62">
                  <c:v>2.4336204605597409</c:v>
                </c:pt>
                <c:pt idx="63">
                  <c:v>2.3816310209708065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13-446C-AFA3-116A1075F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00776"/>
        <c:axId val="508904056"/>
      </c:scatterChart>
      <c:valAx>
        <c:axId val="508900776"/>
        <c:scaling>
          <c:orientation val="minMax"/>
        </c:scaling>
        <c:delete val="0"/>
        <c:axPos val="b"/>
        <c:numFmt formatCode="0.00000000_);[Red]\(0.00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04056"/>
        <c:crosses val="autoZero"/>
        <c:crossBetween val="midCat"/>
      </c:valAx>
      <c:valAx>
        <c:axId val="50890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_);[Red]\(0.00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0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'UHPC受压 单波'!$H$79</c:f>
              <c:strCache>
                <c:ptCount val="1"/>
                <c:pt idx="0">
                  <c:v>单波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'UHPC受压 单波'!$G$80:$G$119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'UHPC受压 单波'!$H$80:$H$119</c:f>
              <c:numCache>
                <c:formatCode>General</c:formatCode>
                <c:ptCount val="40"/>
                <c:pt idx="0">
                  <c:v>0.111703618</c:v>
                </c:pt>
                <c:pt idx="1">
                  <c:v>0.22349875199999999</c:v>
                </c:pt>
                <c:pt idx="2">
                  <c:v>0.33572062200000002</c:v>
                </c:pt>
                <c:pt idx="3">
                  <c:v>0.44887052799999999</c:v>
                </c:pt>
                <c:pt idx="4">
                  <c:v>0.56315625000000002</c:v>
                </c:pt>
                <c:pt idx="5">
                  <c:v>0.67764940799999995</c:v>
                </c:pt>
                <c:pt idx="6">
                  <c:v>0.78905978200000004</c:v>
                </c:pt>
                <c:pt idx="7">
                  <c:v>0.89012659199999999</c:v>
                </c:pt>
                <c:pt idx="8">
                  <c:v>0.96762673799999999</c:v>
                </c:pt>
                <c:pt idx="9">
                  <c:v>1</c:v>
                </c:pt>
                <c:pt idx="10">
                  <c:v>0.97856062627880103</c:v>
                </c:pt>
                <c:pt idx="11">
                  <c:v>0.92564023449552602</c:v>
                </c:pt>
                <c:pt idx="12">
                  <c:v>0.85701100929527296</c:v>
                </c:pt>
                <c:pt idx="13">
                  <c:v>0.78405017921147002</c:v>
                </c:pt>
                <c:pt idx="14">
                  <c:v>0.71343638525564801</c:v>
                </c:pt>
                <c:pt idx="15">
                  <c:v>0.64840330685686498</c:v>
                </c:pt>
                <c:pt idx="16">
                  <c:v>0.59009337359852798</c:v>
                </c:pt>
                <c:pt idx="17">
                  <c:v>0.53853518429870795</c:v>
                </c:pt>
                <c:pt idx="18">
                  <c:v>0.49323745489473297</c:v>
                </c:pt>
                <c:pt idx="19">
                  <c:v>0.45351473922902502</c:v>
                </c:pt>
                <c:pt idx="20">
                  <c:v>0.41865194075078199</c:v>
                </c:pt>
                <c:pt idx="21">
                  <c:v>0.38797968397291199</c:v>
                </c:pt>
                <c:pt idx="22">
                  <c:v>0.36090319948532101</c:v>
                </c:pt>
                <c:pt idx="23">
                  <c:v>0.33690830478971301</c:v>
                </c:pt>
                <c:pt idx="24">
                  <c:v>0.31555695803092498</c:v>
                </c:pt>
                <c:pt idx="25">
                  <c:v>0.296478744754607</c:v>
                </c:pt>
                <c:pt idx="26">
                  <c:v>0.27936140053182101</c:v>
                </c:pt>
                <c:pt idx="27">
                  <c:v>0.26394178198408802</c:v>
                </c:pt>
                <c:pt idx="28">
                  <c:v>0.249997844846165</c:v>
                </c:pt>
                <c:pt idx="29">
                  <c:v>0.237341772151899</c:v>
                </c:pt>
                <c:pt idx="30">
                  <c:v>0.22581420589885001</c:v>
                </c:pt>
                <c:pt idx="31">
                  <c:v>0.21527945964855599</c:v>
                </c:pt>
                <c:pt idx="32">
                  <c:v>0.20562156907950099</c:v>
                </c:pt>
                <c:pt idx="33">
                  <c:v>0.196741042496065</c:v>
                </c:pt>
                <c:pt idx="34">
                  <c:v>0.188552188552189</c:v>
                </c:pt>
                <c:pt idx="35">
                  <c:v>0.180980916567797</c:v>
                </c:pt>
                <c:pt idx="36">
                  <c:v>0.173962922389028</c:v>
                </c:pt>
                <c:pt idx="37">
                  <c:v>0.167442188381275</c:v>
                </c:pt>
                <c:pt idx="38">
                  <c:v>0.16136973944993599</c:v>
                </c:pt>
                <c:pt idx="39">
                  <c:v>0.15570260801868399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9-489D-AB5A-A775AC0C3F1E}"/>
            </c:ext>
          </c:extLst>
        </c:ser>
        <c:ser>
          <c:idx val="1"/>
          <c:order val="1"/>
          <c:tx>
            <c:strRef>
              <c:f>'UHPC受压 单波'!$I$79</c:f>
              <c:strCache>
                <c:ptCount val="1"/>
                <c:pt idx="0">
                  <c:v>沈涛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'UHPC受压 单波'!$G$80:$G$119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'UHPC受压 单波'!$I$80:$I$119</c:f>
              <c:numCache>
                <c:formatCode>General</c:formatCode>
                <c:ptCount val="40"/>
                <c:pt idx="0">
                  <c:v>0.100009</c:v>
                </c:pt>
                <c:pt idx="1">
                  <c:v>0.20025599999999999</c:v>
                </c:pt>
                <c:pt idx="2">
                  <c:v>0.301701</c:v>
                </c:pt>
                <c:pt idx="3">
                  <c:v>0.40614400000000001</c:v>
                </c:pt>
                <c:pt idx="4">
                  <c:v>0.515625</c:v>
                </c:pt>
                <c:pt idx="5">
                  <c:v>0.631104</c:v>
                </c:pt>
                <c:pt idx="6">
                  <c:v>0.750421</c:v>
                </c:pt>
                <c:pt idx="7">
                  <c:v>0.86553599999999997</c:v>
                </c:pt>
                <c:pt idx="8">
                  <c:v>0.95904900000000004</c:v>
                </c:pt>
                <c:pt idx="9">
                  <c:v>1</c:v>
                </c:pt>
                <c:pt idx="10">
                  <c:v>0.96491228070175405</c:v>
                </c:pt>
                <c:pt idx="11">
                  <c:v>0.88235294117647101</c:v>
                </c:pt>
                <c:pt idx="12">
                  <c:v>0.78313253012048201</c:v>
                </c:pt>
                <c:pt idx="13">
                  <c:v>0.68627450980392202</c:v>
                </c:pt>
                <c:pt idx="14">
                  <c:v>0.6</c:v>
                </c:pt>
                <c:pt idx="15">
                  <c:v>0.52631578947368396</c:v>
                </c:pt>
                <c:pt idx="16">
                  <c:v>0.46448087431694002</c:v>
                </c:pt>
                <c:pt idx="17">
                  <c:v>0.41284403669724801</c:v>
                </c:pt>
                <c:pt idx="18">
                  <c:v>0.369649805447471</c:v>
                </c:pt>
                <c:pt idx="19">
                  <c:v>0.33333333333333298</c:v>
                </c:pt>
                <c:pt idx="20">
                  <c:v>0.30259365994236298</c:v>
                </c:pt>
                <c:pt idx="21">
                  <c:v>0.276381909547739</c:v>
                </c:pt>
                <c:pt idx="22">
                  <c:v>0.253863134657837</c:v>
                </c:pt>
                <c:pt idx="23">
                  <c:v>0.234375</c:v>
                </c:pt>
                <c:pt idx="24">
                  <c:v>0.217391304347826</c:v>
                </c:pt>
                <c:pt idx="25">
                  <c:v>0.202492211838006</c:v>
                </c:pt>
                <c:pt idx="26">
                  <c:v>0.18934081346423601</c:v>
                </c:pt>
                <c:pt idx="27">
                  <c:v>0.17766497461928901</c:v>
                </c:pt>
                <c:pt idx="28">
                  <c:v>0.167243367935409</c:v>
                </c:pt>
                <c:pt idx="29">
                  <c:v>0.157894736842105</c:v>
                </c:pt>
                <c:pt idx="30">
                  <c:v>0.14946962391513999</c:v>
                </c:pt>
                <c:pt idx="31">
                  <c:v>0.14184397163120599</c:v>
                </c:pt>
                <c:pt idx="32">
                  <c:v>0.13491414554374501</c:v>
                </c:pt>
                <c:pt idx="33">
                  <c:v>0.128593040847201</c:v>
                </c:pt>
                <c:pt idx="34">
                  <c:v>0.12280701754386</c:v>
                </c:pt>
                <c:pt idx="35">
                  <c:v>0.117493472584856</c:v>
                </c:pt>
                <c:pt idx="36">
                  <c:v>0.11259890444309199</c:v>
                </c:pt>
                <c:pt idx="37">
                  <c:v>0.108077360637088</c:v>
                </c:pt>
                <c:pt idx="38">
                  <c:v>0.103889184869473</c:v>
                </c:pt>
                <c:pt idx="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9-489D-AB5A-A775AC0C3F1E}"/>
            </c:ext>
          </c:extLst>
        </c:ser>
        <c:ser>
          <c:idx val="2"/>
          <c:order val="2"/>
          <c:tx>
            <c:strRef>
              <c:f>'UHPC受压 单波'!$J$79</c:f>
              <c:strCache>
                <c:ptCount val="1"/>
                <c:pt idx="0">
                  <c:v>吴有明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'UHPC受压 单波'!$G$80:$G$119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'UHPC受压 单波'!$J$80:$J$119</c:f>
              <c:numCache>
                <c:formatCode>General</c:formatCode>
                <c:ptCount val="40"/>
                <c:pt idx="0">
                  <c:v>0.1100044</c:v>
                </c:pt>
                <c:pt idx="1">
                  <c:v>0.2201216</c:v>
                </c:pt>
                <c:pt idx="2">
                  <c:v>0.3307776</c:v>
                </c:pt>
                <c:pt idx="3">
                  <c:v>0.44266240000000001</c:v>
                </c:pt>
                <c:pt idx="4">
                  <c:v>0.55625000000000002</c:v>
                </c:pt>
                <c:pt idx="5">
                  <c:v>0.67088639999999999</c:v>
                </c:pt>
                <c:pt idx="6">
                  <c:v>0.78344559999999996</c:v>
                </c:pt>
                <c:pt idx="7">
                  <c:v>0.88655360000000005</c:v>
                </c:pt>
                <c:pt idx="8">
                  <c:v>0.96638040000000003</c:v>
                </c:pt>
                <c:pt idx="9">
                  <c:v>1</c:v>
                </c:pt>
                <c:pt idx="10">
                  <c:v>0.97345132743362806</c:v>
                </c:pt>
                <c:pt idx="11">
                  <c:v>0.90909090909090895</c:v>
                </c:pt>
                <c:pt idx="12">
                  <c:v>0.82802547770700596</c:v>
                </c:pt>
                <c:pt idx="13">
                  <c:v>0.74468085106382997</c:v>
                </c:pt>
                <c:pt idx="14">
                  <c:v>0.66666666666666696</c:v>
                </c:pt>
                <c:pt idx="15">
                  <c:v>0.59701492537313405</c:v>
                </c:pt>
                <c:pt idx="16">
                  <c:v>0.53627760252365897</c:v>
                </c:pt>
                <c:pt idx="17">
                  <c:v>0.483870967741935</c:v>
                </c:pt>
                <c:pt idx="18">
                  <c:v>0.438799076212471</c:v>
                </c:pt>
                <c:pt idx="19">
                  <c:v>0.4</c:v>
                </c:pt>
                <c:pt idx="20">
                  <c:v>0.36649214659685903</c:v>
                </c:pt>
                <c:pt idx="21">
                  <c:v>0.33742331288343602</c:v>
                </c:pt>
                <c:pt idx="22">
                  <c:v>0.31207598371777501</c:v>
                </c:pt>
                <c:pt idx="23">
                  <c:v>0.28985507246376802</c:v>
                </c:pt>
                <c:pt idx="24">
                  <c:v>0.27027027027027001</c:v>
                </c:pt>
                <c:pt idx="25">
                  <c:v>0.25291828793774301</c:v>
                </c:pt>
                <c:pt idx="26">
                  <c:v>0.23746701846965701</c:v>
                </c:pt>
                <c:pt idx="27">
                  <c:v>0.22364217252396201</c:v>
                </c:pt>
                <c:pt idx="28">
                  <c:v>0.21121631463947599</c:v>
                </c:pt>
                <c:pt idx="29">
                  <c:v>0.2</c:v>
                </c:pt>
                <c:pt idx="30">
                  <c:v>0.189834660134721</c:v>
                </c:pt>
                <c:pt idx="31">
                  <c:v>0.18058690744920999</c:v>
                </c:pt>
                <c:pt idx="32">
                  <c:v>0.172143974960876</c:v>
                </c:pt>
                <c:pt idx="33">
                  <c:v>0.164410058027079</c:v>
                </c:pt>
                <c:pt idx="34">
                  <c:v>0.15730337078651699</c:v>
                </c:pt>
                <c:pt idx="35">
                  <c:v>0.15075376884422101</c:v>
                </c:pt>
                <c:pt idx="36">
                  <c:v>0.144700821274932</c:v>
                </c:pt>
                <c:pt idx="37">
                  <c:v>0.13909224011713001</c:v>
                </c:pt>
                <c:pt idx="38">
                  <c:v>0.13388259526261601</c:v>
                </c:pt>
                <c:pt idx="39">
                  <c:v>0.12903225806451599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59-489D-AB5A-A775AC0C3F1E}"/>
            </c:ext>
          </c:extLst>
        </c:ser>
        <c:ser>
          <c:idx val="3"/>
          <c:order val="3"/>
          <c:tx>
            <c:strRef>
              <c:f>'UHPC受压 单波'!$K$79</c:f>
              <c:strCache>
                <c:ptCount val="1"/>
                <c:pt idx="0">
                  <c:v>杜任远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'UHPC受压 单波'!$G$80:$G$119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'UHPC受压 单波'!$K$80:$K$119</c:f>
              <c:numCache>
                <c:formatCode>General</c:formatCode>
                <c:ptCount val="40"/>
                <c:pt idx="0">
                  <c:v>0.1199998</c:v>
                </c:pt>
                <c:pt idx="1">
                  <c:v>0.23998720000000001</c:v>
                </c:pt>
                <c:pt idx="2">
                  <c:v>0.35985420000000001</c:v>
                </c:pt>
                <c:pt idx="3">
                  <c:v>0.47918080000000002</c:v>
                </c:pt>
                <c:pt idx="4">
                  <c:v>0.59687500000000004</c:v>
                </c:pt>
                <c:pt idx="5">
                  <c:v>0.71066879999999999</c:v>
                </c:pt>
                <c:pt idx="6">
                  <c:v>0.81647020000000003</c:v>
                </c:pt>
                <c:pt idx="7">
                  <c:v>0.90757120000000002</c:v>
                </c:pt>
                <c:pt idx="8">
                  <c:v>0.97371180000000002</c:v>
                </c:pt>
                <c:pt idx="9">
                  <c:v>1</c:v>
                </c:pt>
                <c:pt idx="10">
                  <c:v>0.91666666666666696</c:v>
                </c:pt>
                <c:pt idx="11">
                  <c:v>0.75</c:v>
                </c:pt>
                <c:pt idx="12">
                  <c:v>0.59090909090909105</c:v>
                </c:pt>
                <c:pt idx="13">
                  <c:v>0.46666666666666701</c:v>
                </c:pt>
                <c:pt idx="14">
                  <c:v>0.375</c:v>
                </c:pt>
                <c:pt idx="15">
                  <c:v>0.30769230769230799</c:v>
                </c:pt>
                <c:pt idx="16">
                  <c:v>0.25757575757575801</c:v>
                </c:pt>
                <c:pt idx="17">
                  <c:v>0.219512195121951</c:v>
                </c:pt>
                <c:pt idx="18">
                  <c:v>0.19</c:v>
                </c:pt>
                <c:pt idx="19">
                  <c:v>0.16666666666666699</c:v>
                </c:pt>
                <c:pt idx="20">
                  <c:v>0.147887323943662</c:v>
                </c:pt>
                <c:pt idx="21">
                  <c:v>0.132530120481928</c:v>
                </c:pt>
                <c:pt idx="22">
                  <c:v>0.119791666666667</c:v>
                </c:pt>
                <c:pt idx="23">
                  <c:v>0.109090909090909</c:v>
                </c:pt>
                <c:pt idx="24">
                  <c:v>0.1</c:v>
                </c:pt>
                <c:pt idx="25">
                  <c:v>9.2198581560283696E-2</c:v>
                </c:pt>
                <c:pt idx="26">
                  <c:v>8.54430379746835E-2</c:v>
                </c:pt>
                <c:pt idx="27">
                  <c:v>7.95454545454546E-2</c:v>
                </c:pt>
                <c:pt idx="28">
                  <c:v>7.43589743589744E-2</c:v>
                </c:pt>
                <c:pt idx="29">
                  <c:v>6.9767441860465101E-2</c:v>
                </c:pt>
                <c:pt idx="30">
                  <c:v>6.5677966101694907E-2</c:v>
                </c:pt>
                <c:pt idx="31">
                  <c:v>6.2015503875968998E-2</c:v>
                </c:pt>
                <c:pt idx="32">
                  <c:v>5.8718861209964397E-2</c:v>
                </c:pt>
                <c:pt idx="33">
                  <c:v>5.5737704918032802E-2</c:v>
                </c:pt>
                <c:pt idx="34">
                  <c:v>5.3030303030302997E-2</c:v>
                </c:pt>
                <c:pt idx="35">
                  <c:v>5.0561797752809001E-2</c:v>
                </c:pt>
                <c:pt idx="36">
                  <c:v>4.8302872062663198E-2</c:v>
                </c:pt>
                <c:pt idx="37">
                  <c:v>4.6228710462287097E-2</c:v>
                </c:pt>
                <c:pt idx="38">
                  <c:v>4.4318181818181798E-2</c:v>
                </c:pt>
                <c:pt idx="39">
                  <c:v>4.2553191489361701E-2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59-489D-AB5A-A775AC0C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10370"/>
        <c:axId val="64234929"/>
      </c:scatterChart>
      <c:valAx>
        <c:axId val="1567103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4929"/>
        <c:crosses val="autoZero"/>
        <c:crossBetween val="midCat"/>
      </c:valAx>
      <c:valAx>
        <c:axId val="6423492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</a:p>
            </c:rich>
          </c:tx>
          <c:layout>
            <c:manualLayout>
              <c:xMode val="edge"/>
              <c:yMode val="edge"/>
              <c:x val="2.9686718367964399E-2"/>
              <c:y val="0.381265160622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103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127889060092497E-2"/>
          <c:y val="0.17533499886441101"/>
          <c:w val="0.84493451463790403"/>
          <c:h val="0.608766749943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'UHPC受压 周传波在马亚峰'!$H$79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'UHPC受压 周传波在马亚峰'!$G$80:$G$119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'UHPC受压 周传波在马亚峰'!$H$80:$H$119</c:f>
              <c:numCache>
                <c:formatCode>General</c:formatCode>
                <c:ptCount val="40"/>
                <c:pt idx="0">
                  <c:v>0.120016</c:v>
                </c:pt>
                <c:pt idx="1">
                  <c:v>0.24019199999999999</c:v>
                </c:pt>
                <c:pt idx="2">
                  <c:v>0.36064800000000002</c:v>
                </c:pt>
                <c:pt idx="3">
                  <c:v>0.48102400000000001</c:v>
                </c:pt>
                <c:pt idx="4">
                  <c:v>0.6</c:v>
                </c:pt>
                <c:pt idx="5">
                  <c:v>0.71481600000000001</c:v>
                </c:pt>
                <c:pt idx="6">
                  <c:v>0.82079199999999997</c:v>
                </c:pt>
                <c:pt idx="7">
                  <c:v>0.91084799999999999</c:v>
                </c:pt>
                <c:pt idx="8">
                  <c:v>0.975024</c:v>
                </c:pt>
                <c:pt idx="9">
                  <c:v>1</c:v>
                </c:pt>
                <c:pt idx="10">
                  <c:v>0.65296803652968005</c:v>
                </c:pt>
                <c:pt idx="11">
                  <c:v>0.33913043478260901</c:v>
                </c:pt>
                <c:pt idx="12">
                  <c:v>0.19812426729191099</c:v>
                </c:pt>
                <c:pt idx="13">
                  <c:v>0.13018597997138801</c:v>
                </c:pt>
                <c:pt idx="14">
                  <c:v>9.3078758949880699E-2</c:v>
                </c:pt>
                <c:pt idx="15">
                  <c:v>7.0652173913043501E-2</c:v>
                </c:pt>
                <c:pt idx="16">
                  <c:v>5.6020278833967103E-2</c:v>
                </c:pt>
                <c:pt idx="17">
                  <c:v>4.5900353079639099E-2</c:v>
                </c:pt>
                <c:pt idx="18">
                  <c:v>3.8575667655786398E-2</c:v>
                </c:pt>
                <c:pt idx="19">
                  <c:v>3.30788804071247E-2</c:v>
                </c:pt>
                <c:pt idx="20">
                  <c:v>2.88309219558559E-2</c:v>
                </c:pt>
                <c:pt idx="21">
                  <c:v>2.54674977738201E-2</c:v>
                </c:pt>
                <c:pt idx="22">
                  <c:v>2.2749752720079099E-2</c:v>
                </c:pt>
                <c:pt idx="23">
                  <c:v>2.0515518148343001E-2</c:v>
                </c:pt>
                <c:pt idx="24">
                  <c:v>1.8651362984218101E-2</c:v>
                </c:pt>
                <c:pt idx="25">
                  <c:v>1.7075881580276901E-2</c:v>
                </c:pt>
                <c:pt idx="26">
                  <c:v>1.57293300470536E-2</c:v>
                </c:pt>
                <c:pt idx="27">
                  <c:v>1.4566992156235E-2</c:v>
                </c:pt>
                <c:pt idx="28">
                  <c:v>1.3554812497752901E-2</c:v>
                </c:pt>
                <c:pt idx="29">
                  <c:v>1.26664501461513E-2</c:v>
                </c:pt>
                <c:pt idx="30">
                  <c:v>1.1881246499012401E-2</c:v>
                </c:pt>
                <c:pt idx="31">
                  <c:v>1.11827956989247E-2</c:v>
                </c:pt>
                <c:pt idx="32">
                  <c:v>1.05579209017301E-2</c:v>
                </c:pt>
                <c:pt idx="33">
                  <c:v>9.9959292595775493E-3</c:v>
                </c:pt>
                <c:pt idx="34">
                  <c:v>9.4880617245334201E-3</c:v>
                </c:pt>
                <c:pt idx="35">
                  <c:v>9.0270812437311908E-3</c:v>
                </c:pt>
                <c:pt idx="36">
                  <c:v>8.6069607229131307E-3</c:v>
                </c:pt>
                <c:pt idx="37">
                  <c:v>8.2226438962681898E-3</c:v>
                </c:pt>
                <c:pt idx="38">
                  <c:v>7.8698601431165909E-3</c:v>
                </c:pt>
                <c:pt idx="39">
                  <c:v>7.5449796865931498E-3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3-4CBC-A4CF-8230DE116C65}"/>
            </c:ext>
          </c:extLst>
        </c:ser>
        <c:ser>
          <c:idx val="1"/>
          <c:order val="1"/>
          <c:tx>
            <c:strRef>
              <c:f>'UHPC受压 周传波在马亚峰'!$I$79</c:f>
              <c:strCache>
                <c:ptCount val="1"/>
                <c:pt idx="0">
                  <c:v>1.0%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'UHPC受压 周传波在马亚峰'!$G$80:$G$119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'UHPC受压 周传波在马亚峰'!$I$80:$I$119</c:f>
              <c:numCache>
                <c:formatCode>General</c:formatCode>
                <c:ptCount val="40"/>
                <c:pt idx="0">
                  <c:v>0.120016</c:v>
                </c:pt>
                <c:pt idx="1">
                  <c:v>0.24019199999999999</c:v>
                </c:pt>
                <c:pt idx="2">
                  <c:v>0.36064800000000002</c:v>
                </c:pt>
                <c:pt idx="3">
                  <c:v>0.48102400000000001</c:v>
                </c:pt>
                <c:pt idx="4">
                  <c:v>0.6</c:v>
                </c:pt>
                <c:pt idx="5">
                  <c:v>0.71481600000000001</c:v>
                </c:pt>
                <c:pt idx="6">
                  <c:v>0.82079199999999997</c:v>
                </c:pt>
                <c:pt idx="7">
                  <c:v>0.91084799999999999</c:v>
                </c:pt>
                <c:pt idx="8">
                  <c:v>0.975024</c:v>
                </c:pt>
                <c:pt idx="9">
                  <c:v>1</c:v>
                </c:pt>
                <c:pt idx="10">
                  <c:v>0.94238059135708896</c:v>
                </c:pt>
                <c:pt idx="11">
                  <c:v>0.81686746987951797</c:v>
                </c:pt>
                <c:pt idx="12">
                  <c:v>0.68230376219229005</c:v>
                </c:pt>
                <c:pt idx="13">
                  <c:v>0.56540385989992903</c:v>
                </c:pt>
                <c:pt idx="14">
                  <c:v>0.47148817802503501</c:v>
                </c:pt>
                <c:pt idx="15">
                  <c:v>0.397887323943662</c:v>
                </c:pt>
                <c:pt idx="16">
                  <c:v>0.34030115146147</c:v>
                </c:pt>
                <c:pt idx="17">
                  <c:v>0.29486807770368201</c:v>
                </c:pt>
                <c:pt idx="18">
                  <c:v>0.258581235697941</c:v>
                </c:pt>
                <c:pt idx="19">
                  <c:v>0.22920892494928999</c:v>
                </c:pt>
                <c:pt idx="20">
                  <c:v>0.20511712334687501</c:v>
                </c:pt>
                <c:pt idx="21">
                  <c:v>0.18510796723752801</c:v>
                </c:pt>
                <c:pt idx="22">
                  <c:v>0.16829631548274299</c:v>
                </c:pt>
                <c:pt idx="23">
                  <c:v>0.154020899591095</c:v>
                </c:pt>
                <c:pt idx="24">
                  <c:v>0.14178168130489299</c:v>
                </c:pt>
                <c:pt idx="25">
                  <c:v>0.13119585603286599</c:v>
                </c:pt>
                <c:pt idx="26">
                  <c:v>0.121966819908055</c:v>
                </c:pt>
                <c:pt idx="27">
                  <c:v>0.113862098747661</c:v>
                </c:pt>
                <c:pt idx="28">
                  <c:v>0.10669748966235799</c:v>
                </c:pt>
                <c:pt idx="29">
                  <c:v>0.100325540100621</c:v>
                </c:pt>
                <c:pt idx="30">
                  <c:v>9.4627083389610706E-2</c:v>
                </c:pt>
                <c:pt idx="31">
                  <c:v>8.9504950495049501E-2</c:v>
                </c:pt>
                <c:pt idx="32">
                  <c:v>8.4879247945735606E-2</c:v>
                </c:pt>
                <c:pt idx="33">
                  <c:v>8.0683775043051006E-2</c:v>
                </c:pt>
                <c:pt idx="34">
                  <c:v>7.6863278592945297E-2</c:v>
                </c:pt>
                <c:pt idx="35">
                  <c:v>7.33713296298968E-2</c:v>
                </c:pt>
                <c:pt idx="36">
                  <c:v>7.0168666610724198E-2</c:v>
                </c:pt>
                <c:pt idx="37">
                  <c:v>6.7221891731112399E-2</c:v>
                </c:pt>
                <c:pt idx="38">
                  <c:v>6.4502436953880804E-2</c:v>
                </c:pt>
                <c:pt idx="39">
                  <c:v>6.1985737794843697E-2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4CBC-A4CF-8230DE116C65}"/>
            </c:ext>
          </c:extLst>
        </c:ser>
        <c:ser>
          <c:idx val="2"/>
          <c:order val="2"/>
          <c:tx>
            <c:strRef>
              <c:f>'UHPC受压 周传波在马亚峰'!$J$79</c:f>
              <c:strCache>
                <c:ptCount val="1"/>
                <c:pt idx="0">
                  <c:v>2.0%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'UHPC受压 周传波在马亚峰'!$G$80:$G$119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'UHPC受压 周传波在马亚峰'!$J$80:$J$119</c:f>
              <c:numCache>
                <c:formatCode>General</c:formatCode>
                <c:ptCount val="40"/>
                <c:pt idx="0">
                  <c:v>0.120016</c:v>
                </c:pt>
                <c:pt idx="1">
                  <c:v>0.24019199999999999</c:v>
                </c:pt>
                <c:pt idx="2">
                  <c:v>0.36064800000000002</c:v>
                </c:pt>
                <c:pt idx="3">
                  <c:v>0.48102400000000001</c:v>
                </c:pt>
                <c:pt idx="4">
                  <c:v>0.6</c:v>
                </c:pt>
                <c:pt idx="5">
                  <c:v>0.71481600000000001</c:v>
                </c:pt>
                <c:pt idx="6">
                  <c:v>0.82079199999999997</c:v>
                </c:pt>
                <c:pt idx="7">
                  <c:v>0.91084799999999999</c:v>
                </c:pt>
                <c:pt idx="8">
                  <c:v>0.975024</c:v>
                </c:pt>
                <c:pt idx="9">
                  <c:v>1</c:v>
                </c:pt>
                <c:pt idx="10">
                  <c:v>0.96858205870194303</c:v>
                </c:pt>
                <c:pt idx="11">
                  <c:v>0.89370629370629395</c:v>
                </c:pt>
                <c:pt idx="12">
                  <c:v>0.80191138140747198</c:v>
                </c:pt>
                <c:pt idx="13">
                  <c:v>0.71033825631253</c:v>
                </c:pt>
                <c:pt idx="14">
                  <c:v>0.62708537782139395</c:v>
                </c:pt>
                <c:pt idx="15">
                  <c:v>0.5546875</c:v>
                </c:pt>
                <c:pt idx="16">
                  <c:v>0.49298842750170202</c:v>
                </c:pt>
                <c:pt idx="17">
                  <c:v>0.44079098643366299</c:v>
                </c:pt>
                <c:pt idx="18">
                  <c:v>0.39664804469273701</c:v>
                </c:pt>
                <c:pt idx="19">
                  <c:v>0.359190556492411</c:v>
                </c:pt>
                <c:pt idx="20">
                  <c:v>0.32723681322700998</c:v>
                </c:pt>
                <c:pt idx="21">
                  <c:v>0.299808061420345</c:v>
                </c:pt>
                <c:pt idx="22">
                  <c:v>0.27610888801217398</c:v>
                </c:pt>
                <c:pt idx="23">
                  <c:v>0.25549780087964802</c:v>
                </c:pt>
                <c:pt idx="24">
                  <c:v>0.23745819397993301</c:v>
                </c:pt>
                <c:pt idx="25">
                  <c:v>0.22157317756261499</c:v>
                </c:pt>
                <c:pt idx="26">
                  <c:v>0.20750496121233999</c:v>
                </c:pt>
                <c:pt idx="27">
                  <c:v>0.194978422910945</c:v>
                </c:pt>
                <c:pt idx="28">
                  <c:v>0.18376818492845001</c:v>
                </c:pt>
                <c:pt idx="29">
                  <c:v>0.17368850231041</c:v>
                </c:pt>
                <c:pt idx="30">
                  <c:v>0.16458535855828901</c:v>
                </c:pt>
                <c:pt idx="31">
                  <c:v>0.156330275229358</c:v>
                </c:pt>
                <c:pt idx="32">
                  <c:v>0.14881544682743</c:v>
                </c:pt>
                <c:pt idx="33">
                  <c:v>0.14194990003528199</c:v>
                </c:pt>
                <c:pt idx="34">
                  <c:v>0.13565644618324099</c:v>
                </c:pt>
                <c:pt idx="35">
                  <c:v>0.12986925005080999</c:v>
                </c:pt>
                <c:pt idx="36">
                  <c:v>0.12453187959232</c:v>
                </c:pt>
                <c:pt idx="37">
                  <c:v>0.11959573273441899</c:v>
                </c:pt>
                <c:pt idx="38">
                  <c:v>0.115018761336416</c:v>
                </c:pt>
                <c:pt idx="39">
                  <c:v>0.110764430577223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E3-4CBC-A4CF-8230DE116C65}"/>
            </c:ext>
          </c:extLst>
        </c:ser>
        <c:ser>
          <c:idx val="3"/>
          <c:order val="3"/>
          <c:tx>
            <c:strRef>
              <c:f>'UHPC受压 周传波在马亚峰'!$K$79</c:f>
              <c:strCache>
                <c:ptCount val="1"/>
                <c:pt idx="0">
                  <c:v>3.0%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'UHPC受压 周传波在马亚峰'!$G$80:$G$119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'UHPC受压 周传波在马亚峰'!$K$80:$K$119</c:f>
              <c:numCache>
                <c:formatCode>General</c:formatCode>
                <c:ptCount val="40"/>
                <c:pt idx="0">
                  <c:v>0.120016</c:v>
                </c:pt>
                <c:pt idx="1">
                  <c:v>0.24019199999999999</c:v>
                </c:pt>
                <c:pt idx="2">
                  <c:v>0.36064800000000002</c:v>
                </c:pt>
                <c:pt idx="3">
                  <c:v>0.48102400000000001</c:v>
                </c:pt>
                <c:pt idx="4">
                  <c:v>0.6</c:v>
                </c:pt>
                <c:pt idx="5">
                  <c:v>0.71481600000000001</c:v>
                </c:pt>
                <c:pt idx="6">
                  <c:v>0.82079199999999997</c:v>
                </c:pt>
                <c:pt idx="7">
                  <c:v>0.91084799999999999</c:v>
                </c:pt>
                <c:pt idx="8">
                  <c:v>0.975024</c:v>
                </c:pt>
                <c:pt idx="9">
                  <c:v>1</c:v>
                </c:pt>
                <c:pt idx="10">
                  <c:v>0.97840295538505295</c:v>
                </c:pt>
                <c:pt idx="11">
                  <c:v>0.92512315270935996</c:v>
                </c:pt>
                <c:pt idx="12">
                  <c:v>0.85609088996423299</c:v>
                </c:pt>
                <c:pt idx="13">
                  <c:v>0.78277956413004601</c:v>
                </c:pt>
                <c:pt idx="14">
                  <c:v>0.71190295678544302</c:v>
                </c:pt>
                <c:pt idx="15">
                  <c:v>0.64669421487603296</c:v>
                </c:pt>
                <c:pt idx="16">
                  <c:v>0.58828081813156496</c:v>
                </c:pt>
                <c:pt idx="17">
                  <c:v>0.53667365212421403</c:v>
                </c:pt>
                <c:pt idx="18">
                  <c:v>0.49136577708006302</c:v>
                </c:pt>
                <c:pt idx="19">
                  <c:v>0.45165945165945198</c:v>
                </c:pt>
                <c:pt idx="20">
                  <c:v>0.41683049020229601</c:v>
                </c:pt>
                <c:pt idx="21">
                  <c:v>0.38620302860347699</c:v>
                </c:pt>
                <c:pt idx="22">
                  <c:v>0.359177767799232</c:v>
                </c:pt>
                <c:pt idx="23">
                  <c:v>0.33523741520885397</c:v>
                </c:pt>
                <c:pt idx="24">
                  <c:v>0.31394182547642902</c:v>
                </c:pt>
                <c:pt idx="25">
                  <c:v>0.294919185330144</c:v>
                </c:pt>
                <c:pt idx="26">
                  <c:v>0.27785632089429602</c:v>
                </c:pt>
                <c:pt idx="27">
                  <c:v>0.26248951719180502</c:v>
                </c:pt>
                <c:pt idx="28">
                  <c:v>0.248596390326733</c:v>
                </c:pt>
                <c:pt idx="29">
                  <c:v>0.235988941945212</c:v>
                </c:pt>
                <c:pt idx="30">
                  <c:v>0.224507739651542</c:v>
                </c:pt>
                <c:pt idx="31">
                  <c:v>0.21401709401709401</c:v>
                </c:pt>
                <c:pt idx="32">
                  <c:v>0.20440108443987101</c:v>
                </c:pt>
                <c:pt idx="33">
                  <c:v>0.195560292550259</c:v>
                </c:pt>
                <c:pt idx="34">
                  <c:v>0.18740911812505301</c:v>
                </c:pt>
                <c:pt idx="35">
                  <c:v>0.179873571291744</c:v>
                </c:pt>
                <c:pt idx="36">
                  <c:v>0.17288945286258101</c:v>
                </c:pt>
                <c:pt idx="37">
                  <c:v>0.16640085061137699</c:v>
                </c:pt>
                <c:pt idx="38">
                  <c:v>0.16035889284447499</c:v>
                </c:pt>
                <c:pt idx="39">
                  <c:v>0.15472071181413699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E3-4CBC-A4CF-8230DE116C65}"/>
            </c:ext>
          </c:extLst>
        </c:ser>
        <c:ser>
          <c:idx val="4"/>
          <c:order val="4"/>
          <c:tx>
            <c:strRef>
              <c:f>'UHPC受压 周传波在马亚峰'!$L$79</c:f>
              <c:strCache>
                <c:ptCount val="1"/>
                <c:pt idx="0">
                  <c:v>4.0%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'UHPC受压 周传波在马亚峰'!$G$80:$G$119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'UHPC受压 周传波在马亚峰'!$L$80:$L$119</c:f>
              <c:numCache>
                <c:formatCode>General</c:formatCode>
                <c:ptCount val="40"/>
                <c:pt idx="0">
                  <c:v>0.120016</c:v>
                </c:pt>
                <c:pt idx="1">
                  <c:v>0.24019199999999999</c:v>
                </c:pt>
                <c:pt idx="2">
                  <c:v>0.36064800000000002</c:v>
                </c:pt>
                <c:pt idx="3">
                  <c:v>0.48102400000000001</c:v>
                </c:pt>
                <c:pt idx="4">
                  <c:v>0.6</c:v>
                </c:pt>
                <c:pt idx="5">
                  <c:v>0.71481600000000001</c:v>
                </c:pt>
                <c:pt idx="6">
                  <c:v>0.82079199999999997</c:v>
                </c:pt>
                <c:pt idx="7">
                  <c:v>0.91084799999999999</c:v>
                </c:pt>
                <c:pt idx="8">
                  <c:v>0.975024</c:v>
                </c:pt>
                <c:pt idx="9">
                  <c:v>1</c:v>
                </c:pt>
                <c:pt idx="10">
                  <c:v>0.98354622212600096</c:v>
                </c:pt>
                <c:pt idx="11">
                  <c:v>0.94220532319391603</c:v>
                </c:pt>
                <c:pt idx="12">
                  <c:v>0.88699818271931297</c:v>
                </c:pt>
                <c:pt idx="13">
                  <c:v>0.82623606744784195</c:v>
                </c:pt>
                <c:pt idx="14">
                  <c:v>0.76528721432983304</c:v>
                </c:pt>
                <c:pt idx="15">
                  <c:v>0.70719178082191803</c:v>
                </c:pt>
                <c:pt idx="16">
                  <c:v>0.65342019543973995</c:v>
                </c:pt>
                <c:pt idx="17">
                  <c:v>0.60448853472109298</c:v>
                </c:pt>
                <c:pt idx="18">
                  <c:v>0.56037991858887404</c:v>
                </c:pt>
                <c:pt idx="19">
                  <c:v>0.52080706179066805</c:v>
                </c:pt>
                <c:pt idx="20">
                  <c:v>0.485365717163803</c:v>
                </c:pt>
                <c:pt idx="21">
                  <c:v>0.45361957064403402</c:v>
                </c:pt>
                <c:pt idx="22">
                  <c:v>0.42514434050933197</c:v>
                </c:pt>
                <c:pt idx="23">
                  <c:v>0.39954853273137703</c:v>
                </c:pt>
                <c:pt idx="24">
                  <c:v>0.376481312670921</c:v>
                </c:pt>
                <c:pt idx="25">
                  <c:v>0.35563356958336101</c:v>
                </c:pt>
                <c:pt idx="26">
                  <c:v>0.33673561829986398</c:v>
                </c:pt>
                <c:pt idx="27">
                  <c:v>0.31955344313031903</c:v>
                </c:pt>
                <c:pt idx="28">
                  <c:v>0.30388450511252602</c:v>
                </c:pt>
                <c:pt idx="29">
                  <c:v>0.28955363402664203</c:v>
                </c:pt>
                <c:pt idx="30">
                  <c:v>0.27640924890433699</c:v>
                </c:pt>
                <c:pt idx="31">
                  <c:v>0.26432</c:v>
                </c:pt>
                <c:pt idx="32">
                  <c:v>0.25317184626530198</c:v>
                </c:pt>
                <c:pt idx="33">
                  <c:v>0.242865543602338</c:v>
                </c:pt>
                <c:pt idx="34">
                  <c:v>0.23331450246146401</c:v>
                </c:pt>
                <c:pt idx="35">
                  <c:v>0.22444296841978101</c:v>
                </c:pt>
                <c:pt idx="36">
                  <c:v>0.21618448044139499</c:v>
                </c:pt>
                <c:pt idx="37">
                  <c:v>0.208480565371025</c:v>
                </c:pt>
                <c:pt idx="38">
                  <c:v>0.20127963210576999</c:v>
                </c:pt>
                <c:pt idx="39">
                  <c:v>0.19453603391427199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E3-4CBC-A4CF-8230DE11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06925"/>
        <c:axId val="276747057"/>
      </c:scatterChart>
      <c:valAx>
        <c:axId val="3162069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747057"/>
        <c:crosses val="autoZero"/>
        <c:crossBetween val="midCat"/>
      </c:valAx>
      <c:valAx>
        <c:axId val="276747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069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800" b="1"/>
              <a:t>受压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'UHPC受压 周传波在马亚峰'!$L$4:$L$34</c:f>
              <c:numCache>
                <c:formatCode>General</c:formatCode>
                <c:ptCount val="31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1.3999999999999999E-2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2.2000000000000002E-2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2.7999999999999997E-2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4.4000000000000004E-2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5.4000000000000006E-2</c:v>
                </c:pt>
                <c:pt idx="27">
                  <c:v>5.5999999999999994E-2</c:v>
                </c:pt>
                <c:pt idx="28">
                  <c:v>5.7999999999999996E-2</c:v>
                </c:pt>
                <c:pt idx="29">
                  <c:v>0.06</c:v>
                </c:pt>
                <c:pt idx="30">
                  <c:v>6.2000000000000006E-2</c:v>
                </c:pt>
              </c:numCache>
            </c:numRef>
          </c:xVal>
          <c:yVal>
            <c:numRef>
              <c:f>'UHPC受压 周传波在马亚峰'!$M$4:$M$34</c:f>
              <c:numCache>
                <c:formatCode>General</c:formatCode>
                <c:ptCount val="31"/>
                <c:pt idx="0">
                  <c:v>13.681823999999999</c:v>
                </c:pt>
                <c:pt idx="1">
                  <c:v>27.381888</c:v>
                </c:pt>
                <c:pt idx="2">
                  <c:v>41.113872000000001</c:v>
                </c:pt>
                <c:pt idx="3">
                  <c:v>54.836736000000002</c:v>
                </c:pt>
                <c:pt idx="4">
                  <c:v>68.399999999999991</c:v>
                </c:pt>
                <c:pt idx="5">
                  <c:v>81.489023999999986</c:v>
                </c:pt>
                <c:pt idx="6">
                  <c:v>93.570287999999991</c:v>
                </c:pt>
                <c:pt idx="7">
                  <c:v>103.83667199999999</c:v>
                </c:pt>
                <c:pt idx="8">
                  <c:v>111.15273600000002</c:v>
                </c:pt>
                <c:pt idx="9">
                  <c:v>113.99999999999999</c:v>
                </c:pt>
                <c:pt idx="10">
                  <c:v>111.537936913896</c:v>
                </c:pt>
                <c:pt idx="11">
                  <c:v>105.464039408867</c:v>
                </c:pt>
                <c:pt idx="12">
                  <c:v>97.594361455922581</c:v>
                </c:pt>
                <c:pt idx="13">
                  <c:v>89.236870310825296</c:v>
                </c:pt>
                <c:pt idx="14">
                  <c:v>81.156937073540561</c:v>
                </c:pt>
                <c:pt idx="15">
                  <c:v>73.723140495867767</c:v>
                </c:pt>
                <c:pt idx="16">
                  <c:v>67.064013266998359</c:v>
                </c:pt>
                <c:pt idx="17">
                  <c:v>61.180796342160413</c:v>
                </c:pt>
                <c:pt idx="18">
                  <c:v>56.015698587127162</c:v>
                </c:pt>
                <c:pt idx="19">
                  <c:v>51.489177489177479</c:v>
                </c:pt>
                <c:pt idx="20">
                  <c:v>47.518675883061704</c:v>
                </c:pt>
                <c:pt idx="21">
                  <c:v>44.027145260796402</c:v>
                </c:pt>
                <c:pt idx="22">
                  <c:v>40.946265529112416</c:v>
                </c:pt>
                <c:pt idx="23">
                  <c:v>38.217065333809352</c:v>
                </c:pt>
                <c:pt idx="24">
                  <c:v>35.789368104312942</c:v>
                </c:pt>
                <c:pt idx="25">
                  <c:v>33.62078712763644</c:v>
                </c:pt>
                <c:pt idx="26">
                  <c:v>31.675620581949694</c:v>
                </c:pt>
                <c:pt idx="27">
                  <c:v>29.923804959865823</c:v>
                </c:pt>
                <c:pt idx="28">
                  <c:v>28.339988497247553</c:v>
                </c:pt>
                <c:pt idx="29">
                  <c:v>26.902739381754209</c:v>
                </c:pt>
                <c:pt idx="30">
                  <c:v>25.593882320275807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F-4FB5-BDEA-C34600F8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83456"/>
        <c:axId val="1907698336"/>
      </c:scatterChart>
      <c:valAx>
        <c:axId val="19076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strain</a:t>
                </a:r>
                <a:endParaRPr lang="zh-CN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698336"/>
        <c:crosses val="autoZero"/>
        <c:crossBetween val="midCat"/>
      </c:valAx>
      <c:valAx>
        <c:axId val="19076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stress</a:t>
                </a:r>
                <a:r>
                  <a:rPr lang="zh-CN" altLang="en-US" sz="2400"/>
                  <a:t>（</a:t>
                </a:r>
                <a:r>
                  <a:rPr lang="en-US" altLang="zh-CN" sz="2400"/>
                  <a:t>MPa</a:t>
                </a:r>
                <a:r>
                  <a:rPr lang="zh-CN" altLang="en-US" sz="2400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68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200"/>
              <a:t>受拉</a:t>
            </a:r>
            <a:endParaRPr lang="en-US" altLang="zh-CN" sz="3200"/>
          </a:p>
        </c:rich>
      </c:tx>
      <c:layout>
        <c:manualLayout>
          <c:xMode val="edge"/>
          <c:yMode val="edge"/>
          <c:x val="0.47559703222814698"/>
          <c:y val="4.461371055495100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647490820073402E-2"/>
          <c:y val="0.163962794722042"/>
          <c:w val="0.90794369645042805"/>
          <c:h val="0.729699329439758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'UHPC 受拉 徐海滨'!$M$2</c:f>
              <c:strCache>
                <c:ptCount val="1"/>
                <c:pt idx="0">
                  <c:v>σ（名义）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'UHPC 受拉 徐海滨'!$L$3:$L$30</c:f>
              <c:numCache>
                <c:formatCode>General</c:formatCode>
                <c:ptCount val="28"/>
                <c:pt idx="0">
                  <c:v>3.2880000000000004E-5</c:v>
                </c:pt>
                <c:pt idx="1">
                  <c:v>6.5760000000000007E-5</c:v>
                </c:pt>
                <c:pt idx="2">
                  <c:v>9.8640000000000004E-5</c:v>
                </c:pt>
                <c:pt idx="3">
                  <c:v>1.3152000000000001E-4</c:v>
                </c:pt>
                <c:pt idx="4">
                  <c:v>1.6440000000000001E-4</c:v>
                </c:pt>
                <c:pt idx="5">
                  <c:v>1.9728000000000001E-4</c:v>
                </c:pt>
                <c:pt idx="6">
                  <c:v>2.3016000000000001E-4</c:v>
                </c:pt>
                <c:pt idx="7">
                  <c:v>2.6304000000000003E-4</c:v>
                </c:pt>
                <c:pt idx="8">
                  <c:v>2.9592000000000003E-4</c:v>
                </c:pt>
                <c:pt idx="9">
                  <c:v>3.2880000000000002E-4</c:v>
                </c:pt>
                <c:pt idx="10">
                  <c:v>4.9320000000000006E-4</c:v>
                </c:pt>
                <c:pt idx="11">
                  <c:v>6.5760000000000005E-4</c:v>
                </c:pt>
                <c:pt idx="12">
                  <c:v>8.2200000000000003E-4</c:v>
                </c:pt>
                <c:pt idx="13">
                  <c:v>9.8640000000000012E-4</c:v>
                </c:pt>
                <c:pt idx="14">
                  <c:v>1.1508E-3</c:v>
                </c:pt>
                <c:pt idx="15">
                  <c:v>1.3152000000000001E-3</c:v>
                </c:pt>
                <c:pt idx="16">
                  <c:v>1.4796000000000002E-3</c:v>
                </c:pt>
                <c:pt idx="17">
                  <c:v>1.6440000000000001E-3</c:v>
                </c:pt>
                <c:pt idx="18">
                  <c:v>1.8084000000000002E-3</c:v>
                </c:pt>
                <c:pt idx="19">
                  <c:v>1.9728000000000002E-3</c:v>
                </c:pt>
                <c:pt idx="20">
                  <c:v>2.1372000000000001E-3</c:v>
                </c:pt>
                <c:pt idx="21">
                  <c:v>2.3016E-3</c:v>
                </c:pt>
                <c:pt idx="22">
                  <c:v>2.4660000000000003E-3</c:v>
                </c:pt>
                <c:pt idx="23">
                  <c:v>2.6304000000000002E-3</c:v>
                </c:pt>
                <c:pt idx="24">
                  <c:v>2.7948000000000001E-3</c:v>
                </c:pt>
                <c:pt idx="25">
                  <c:v>2.9592000000000004E-3</c:v>
                </c:pt>
                <c:pt idx="26">
                  <c:v>3.1236000000000002E-3</c:v>
                </c:pt>
                <c:pt idx="27">
                  <c:v>2.1949999999999999E-3</c:v>
                </c:pt>
              </c:numCache>
            </c:numRef>
          </c:xVal>
          <c:yVal>
            <c:numRef>
              <c:f>'UHPC 受拉 徐海滨'!$M$3:$M$30</c:f>
              <c:numCache>
                <c:formatCode>General</c:formatCode>
                <c:ptCount val="28"/>
                <c:pt idx="0">
                  <c:v>0.8</c:v>
                </c:pt>
                <c:pt idx="1">
                  <c:v>1.6</c:v>
                </c:pt>
                <c:pt idx="2">
                  <c:v>2.4</c:v>
                </c:pt>
                <c:pt idx="3">
                  <c:v>3.2</c:v>
                </c:pt>
                <c:pt idx="4">
                  <c:v>4</c:v>
                </c:pt>
                <c:pt idx="5">
                  <c:v>4.8</c:v>
                </c:pt>
                <c:pt idx="6">
                  <c:v>5.6</c:v>
                </c:pt>
                <c:pt idx="7">
                  <c:v>6.4</c:v>
                </c:pt>
                <c:pt idx="8">
                  <c:v>7.2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F-4C19-8A8D-62A4762D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3433"/>
        <c:axId val="658711781"/>
      </c:scatterChart>
      <c:valAx>
        <c:axId val="1049834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strain</a:t>
                </a:r>
                <a:endParaRPr lang="zh-CN" altLang="en-US" sz="2800"/>
              </a:p>
            </c:rich>
          </c:tx>
          <c:layout>
            <c:manualLayout>
              <c:xMode val="edge"/>
              <c:yMode val="edge"/>
              <c:x val="0.91030479999418434"/>
              <c:y val="0.84773852034702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11781"/>
        <c:crosses val="autoZero"/>
        <c:crossBetween val="midCat"/>
      </c:valAx>
      <c:valAx>
        <c:axId val="658711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stress</a:t>
                </a:r>
                <a:r>
                  <a:rPr lang="zh-CN" altLang="en-US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（</a:t>
                </a:r>
                <a:r>
                  <a:rPr lang="en-US" altLang="zh-CN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MPa</a:t>
                </a:r>
                <a:r>
                  <a:rPr lang="zh-CN" altLang="en-US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）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 sz="2400"/>
              </a:p>
            </c:rich>
          </c:tx>
          <c:layout>
            <c:manualLayout>
              <c:xMode val="edge"/>
              <c:yMode val="edge"/>
              <c:x val="2.8458679954898976E-2"/>
              <c:y val="1.876977184489287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834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82921763212504E-2"/>
          <c:y val="6.0637450199203198E-2"/>
          <c:w val="0.90366951303946497"/>
          <c:h val="0.7887968127490040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'UHPC 受拉 部分汇总'!$Q$2</c:f>
              <c:strCache>
                <c:ptCount val="1"/>
                <c:pt idx="0">
                  <c:v>胡翱翔</c:v>
                </c:pt>
              </c:strCache>
            </c:strRef>
          </c:tx>
          <c:spPr>
            <a:ln w="19050" cap="rnd">
              <a:solidFill>
                <a:srgbClr val="00CC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FF"/>
              </a:solidFill>
              <a:ln w="9525">
                <a:noFill/>
              </a:ln>
              <a:effectLst/>
            </c:spPr>
          </c:marker>
          <c:yVal>
            <c:numRef>
              <c:f>'UHPC 受拉 部分汇总'!$Q$3:$Q$43</c:f>
              <c:numCache>
                <c:formatCode>General</c:formatCode>
                <c:ptCount val="41"/>
                <c:pt idx="0">
                  <c:v>0</c:v>
                </c:pt>
                <c:pt idx="1">
                  <c:v>0.1601863698732415</c:v>
                </c:pt>
                <c:pt idx="2">
                  <c:v>0.31812593668815253</c:v>
                </c:pt>
                <c:pt idx="3">
                  <c:v>0.4696119559786554</c:v>
                </c:pt>
                <c:pt idx="4">
                  <c:v>0.6093185752980107</c:v>
                </c:pt>
                <c:pt idx="5">
                  <c:v>0.73186537620502579</c:v>
                </c:pt>
                <c:pt idx="6">
                  <c:v>0.8328665120502825</c:v>
                </c:pt>
                <c:pt idx="7">
                  <c:v>0.90972700131976925</c:v>
                </c:pt>
                <c:pt idx="8">
                  <c:v>0.96197589165639152</c:v>
                </c:pt>
                <c:pt idx="9">
                  <c:v>0.99109718426045357</c:v>
                </c:pt>
                <c:pt idx="10">
                  <c:v>1</c:v>
                </c:pt>
                <c:pt idx="11">
                  <c:v>0.99954673683271533</c:v>
                </c:pt>
                <c:pt idx="12">
                  <c:v>0.99865127435368595</c:v>
                </c:pt>
                <c:pt idx="13">
                  <c:v>0.99752243269959329</c:v>
                </c:pt>
                <c:pt idx="14">
                  <c:v>0.99625300079639156</c:v>
                </c:pt>
                <c:pt idx="15">
                  <c:v>0.99489641183629529</c:v>
                </c:pt>
                <c:pt idx="16">
                  <c:v>0.99348613189128776</c:v>
                </c:pt>
                <c:pt idx="17">
                  <c:v>0.99204411057381325</c:v>
                </c:pt>
                <c:pt idx="18">
                  <c:v>0.99058517384785416</c:v>
                </c:pt>
                <c:pt idx="19">
                  <c:v>0.98911953508137151</c:v>
                </c:pt>
                <c:pt idx="20">
                  <c:v>0.98765432098765438</c:v>
                </c:pt>
                <c:pt idx="21">
                  <c:v>0.98619454029804321</c:v>
                </c:pt>
                <c:pt idx="22">
                  <c:v>0.98474371947290451</c:v>
                </c:pt>
                <c:pt idx="23">
                  <c:v>0.98330433109180959</c:v>
                </c:pt>
                <c:pt idx="24">
                  <c:v>0.98187808887215899</c:v>
                </c:pt>
                <c:pt idx="25">
                  <c:v>0.98046615456673003</c:v>
                </c:pt>
                <c:pt idx="26">
                  <c:v>0.97906928531901427</c:v>
                </c:pt>
                <c:pt idx="27">
                  <c:v>0.97768794000899961</c:v>
                </c:pt>
                <c:pt idx="28">
                  <c:v>0.9763223568811199</c:v>
                </c:pt>
                <c:pt idx="29">
                  <c:v>0.97497261076751607</c:v>
                </c:pt>
                <c:pt idx="30">
                  <c:v>0.9736386556260882</c:v>
                </c:pt>
                <c:pt idx="31">
                  <c:v>0.97232035638859293</c:v>
                </c:pt>
                <c:pt idx="32">
                  <c:v>0.97101751294771532</c:v>
                </c:pt>
                <c:pt idx="33">
                  <c:v>0.9697298783108067</c:v>
                </c:pt>
                <c:pt idx="34">
                  <c:v>0.96845717238977713</c:v>
                </c:pt>
                <c:pt idx="35">
                  <c:v>0.96719909250281766</c:v>
                </c:pt>
                <c:pt idx="36">
                  <c:v>0.96595532138254026</c:v>
                </c:pt>
                <c:pt idx="37">
                  <c:v>0.96472553328239596</c:v>
                </c:pt>
                <c:pt idx="38">
                  <c:v>0.96350939862556817</c:v>
                </c:pt>
                <c:pt idx="39">
                  <c:v>0.96230658753203746</c:v>
                </c:pt>
                <c:pt idx="40">
                  <c:v>0.9611167724791273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0-4695-B162-86663EAFAD08}"/>
            </c:ext>
          </c:extLst>
        </c:ser>
        <c:ser>
          <c:idx val="2"/>
          <c:order val="1"/>
          <c:tx>
            <c:strRef>
              <c:f>'UHPC 受拉 部分汇总'!$R$2</c:f>
              <c:strCache>
                <c:ptCount val="1"/>
                <c:pt idx="0">
                  <c:v>杜任远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yVal>
            <c:numRef>
              <c:f>'UHPC 受拉 部分汇总'!$R$3:$R$43</c:f>
              <c:numCache>
                <c:formatCode>General</c:formatCode>
                <c:ptCount val="41"/>
                <c:pt idx="0">
                  <c:v>0</c:v>
                </c:pt>
                <c:pt idx="1">
                  <c:v>0.64607660377387388</c:v>
                </c:pt>
                <c:pt idx="2">
                  <c:v>0.83616209785434936</c:v>
                </c:pt>
                <c:pt idx="3">
                  <c:v>0.91559258599437732</c:v>
                </c:pt>
                <c:pt idx="4">
                  <c:v>0.95495005380143372</c:v>
                </c:pt>
                <c:pt idx="5">
                  <c:v>0.97621841229918116</c:v>
                </c:pt>
                <c:pt idx="6">
                  <c:v>0.98814764874145522</c:v>
                </c:pt>
                <c:pt idx="7">
                  <c:v>0.99480511976506747</c:v>
                </c:pt>
                <c:pt idx="8">
                  <c:v>0.99829490525539455</c:v>
                </c:pt>
                <c:pt idx="9">
                  <c:v>0.99979377304998673</c:v>
                </c:pt>
                <c:pt idx="10">
                  <c:v>1</c:v>
                </c:pt>
                <c:pt idx="11">
                  <c:v>0.99963821532592678</c:v>
                </c:pt>
                <c:pt idx="12">
                  <c:v>0.99825204217029118</c:v>
                </c:pt>
                <c:pt idx="13">
                  <c:v>0.99574113271643494</c:v>
                </c:pt>
                <c:pt idx="14">
                  <c:v>0.99214060407543181</c:v>
                </c:pt>
                <c:pt idx="15">
                  <c:v>0.98752658002324512</c:v>
                </c:pt>
                <c:pt idx="16">
                  <c:v>0.98198851882911364</c:v>
                </c:pt>
                <c:pt idx="17">
                  <c:v>0.97561817241837923</c:v>
                </c:pt>
                <c:pt idx="18">
                  <c:v>0.96850473885208088</c:v>
                </c:pt>
                <c:pt idx="19">
                  <c:v>0.96073270398679922</c:v>
                </c:pt>
                <c:pt idx="20">
                  <c:v>0.95238095238095233</c:v>
                </c:pt>
                <c:pt idx="21">
                  <c:v>0.9435225065565952</c:v>
                </c:pt>
                <c:pt idx="22">
                  <c:v>0.93422458432351141</c:v>
                </c:pt>
                <c:pt idx="23">
                  <c:v>0.92454881647298437</c:v>
                </c:pt>
                <c:pt idx="24">
                  <c:v>0.91455154193118771</c:v>
                </c:pt>
                <c:pt idx="25">
                  <c:v>0.90428413577607181</c:v>
                </c:pt>
                <c:pt idx="26">
                  <c:v>0.89379334582826453</c:v>
                </c:pt>
                <c:pt idx="27">
                  <c:v>0.88312162457442744</c:v>
                </c:pt>
                <c:pt idx="28">
                  <c:v>0.87230744931445015</c:v>
                </c:pt>
                <c:pt idx="29">
                  <c:v>0.86138562688034481</c:v>
                </c:pt>
                <c:pt idx="30">
                  <c:v>0.85038758124349134</c:v>
                </c:pt>
                <c:pt idx="31">
                  <c:v>0.83934162345493002</c:v>
                </c:pt>
                <c:pt idx="32">
                  <c:v>0.82827320400987847</c:v>
                </c:pt>
                <c:pt idx="33">
                  <c:v>0.81720514809515987</c:v>
                </c:pt>
                <c:pt idx="34">
                  <c:v>0.8061578743826</c:v>
                </c:pt>
                <c:pt idx="35">
                  <c:v>0.79514959813961128</c:v>
                </c:pt>
                <c:pt idx="36">
                  <c:v>0.7841965194790993</c:v>
                </c:pt>
                <c:pt idx="37">
                  <c:v>0.77331299758743022</c:v>
                </c:pt>
                <c:pt idx="38">
                  <c:v>0.76251171176504406</c:v>
                </c:pt>
                <c:pt idx="39">
                  <c:v>0.75180381009745978</c:v>
                </c:pt>
                <c:pt idx="40">
                  <c:v>0.7411990465498125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0-4695-B162-86663EAFAD08}"/>
            </c:ext>
          </c:extLst>
        </c:ser>
        <c:ser>
          <c:idx val="3"/>
          <c:order val="2"/>
          <c:tx>
            <c:strRef>
              <c:f>'UHPC 受拉 部分汇总'!$S$2</c:f>
              <c:strCache>
                <c:ptCount val="1"/>
                <c:pt idx="0">
                  <c:v>安明喆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'UHPC 受拉 部分汇总'!$S$3:$S$43</c:f>
              <c:numCache>
                <c:formatCode>General</c:formatCode>
                <c:ptCount val="41"/>
                <c:pt idx="0">
                  <c:v>0</c:v>
                </c:pt>
                <c:pt idx="1">
                  <c:v>0.1333</c:v>
                </c:pt>
                <c:pt idx="2">
                  <c:v>0.27040000000000003</c:v>
                </c:pt>
                <c:pt idx="3">
                  <c:v>0.40710000000000002</c:v>
                </c:pt>
                <c:pt idx="4">
                  <c:v>0.53920000000000012</c:v>
                </c:pt>
                <c:pt idx="5">
                  <c:v>0.66249999999999998</c:v>
                </c:pt>
                <c:pt idx="6">
                  <c:v>0.77280000000000004</c:v>
                </c:pt>
                <c:pt idx="7">
                  <c:v>0.86589999999999989</c:v>
                </c:pt>
                <c:pt idx="8">
                  <c:v>0.93759999999999999</c:v>
                </c:pt>
                <c:pt idx="9">
                  <c:v>0.98370000000000013</c:v>
                </c:pt>
                <c:pt idx="10">
                  <c:v>1.0000000000000002</c:v>
                </c:pt>
                <c:pt idx="11">
                  <c:v>0.8873340916621425</c:v>
                </c:pt>
                <c:pt idx="12">
                  <c:v>0.72560873183224661</c:v>
                </c:pt>
                <c:pt idx="13">
                  <c:v>0.58981674961189789</c:v>
                </c:pt>
                <c:pt idx="14">
                  <c:v>0.48706696839190061</c:v>
                </c:pt>
                <c:pt idx="15">
                  <c:v>0.41045256045766598</c:v>
                </c:pt>
                <c:pt idx="16">
                  <c:v>0.35262901683932935</c:v>
                </c:pt>
                <c:pt idx="17">
                  <c:v>0.30811759518224446</c:v>
                </c:pt>
                <c:pt idx="18">
                  <c:v>0.27313403519054519</c:v>
                </c:pt>
                <c:pt idx="19">
                  <c:v>0.24509548786341551</c:v>
                </c:pt>
                <c:pt idx="20">
                  <c:v>0.22222222222222221</c:v>
                </c:pt>
                <c:pt idx="21">
                  <c:v>0.20326685758642277</c:v>
                </c:pt>
                <c:pt idx="22">
                  <c:v>0.18733820883972377</c:v>
                </c:pt>
                <c:pt idx="23">
                  <c:v>0.17378727602787492</c:v>
                </c:pt>
                <c:pt idx="24">
                  <c:v>0.16213275230565505</c:v>
                </c:pt>
                <c:pt idx="25">
                  <c:v>0.15201160280549045</c:v>
                </c:pt>
                <c:pt idx="26">
                  <c:v>0.14314570319616801</c:v>
                </c:pt>
                <c:pt idx="27">
                  <c:v>0.13531891761965964</c:v>
                </c:pt>
                <c:pt idx="28">
                  <c:v>0.12836107589766574</c:v>
                </c:pt>
                <c:pt idx="29">
                  <c:v>0.12213658837856269</c:v>
                </c:pt>
                <c:pt idx="30">
                  <c:v>0.11653623045701626</c:v>
                </c:pt>
                <c:pt idx="31">
                  <c:v>0.1114711282985528</c:v>
                </c:pt>
                <c:pt idx="32">
                  <c:v>0.10686829649738692</c:v>
                </c:pt>
                <c:pt idx="33">
                  <c:v>0.10266728559240824</c:v>
                </c:pt>
                <c:pt idx="34">
                  <c:v>9.8817633962502163E-2</c:v>
                </c:pt>
                <c:pt idx="35">
                  <c:v>9.5276910038091203E-2</c:v>
                </c:pt>
                <c:pt idx="36">
                  <c:v>9.2009192832143441E-2</c:v>
                </c:pt>
                <c:pt idx="37">
                  <c:v>8.8983881515106639E-2</c:v>
                </c:pt>
                <c:pt idx="38">
                  <c:v>8.6174754548371799E-2</c:v>
                </c:pt>
                <c:pt idx="39">
                  <c:v>8.3559219920796624E-2</c:v>
                </c:pt>
                <c:pt idx="40">
                  <c:v>8.1117713051919185E-2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40-4695-B162-86663EAFAD08}"/>
            </c:ext>
          </c:extLst>
        </c:ser>
        <c:ser>
          <c:idx val="4"/>
          <c:order val="3"/>
          <c:tx>
            <c:strRef>
              <c:f>'UHPC 受拉 部分汇总'!$V$2</c:f>
              <c:strCache>
                <c:ptCount val="1"/>
                <c:pt idx="0">
                  <c:v>陈扬弘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0">
                <a:noFill/>
              </a:ln>
              <a:effectLst/>
            </c:spPr>
          </c:marker>
          <c:yVal>
            <c:numRef>
              <c:f>'UHPC 受拉 部分汇总'!$V$3:$V$43</c:f>
              <c:numCache>
                <c:formatCode>General</c:formatCode>
                <c:ptCount val="41"/>
                <c:pt idx="0">
                  <c:v>0</c:v>
                </c:pt>
                <c:pt idx="1">
                  <c:v>0.11629000000000002</c:v>
                </c:pt>
                <c:pt idx="2">
                  <c:v>0.24352000000000001</c:v>
                </c:pt>
                <c:pt idx="3">
                  <c:v>0.37623000000000001</c:v>
                </c:pt>
                <c:pt idx="4">
                  <c:v>0.50896000000000008</c:v>
                </c:pt>
                <c:pt idx="5">
                  <c:v>0.63624999999999998</c:v>
                </c:pt>
                <c:pt idx="6">
                  <c:v>0.75263999999999998</c:v>
                </c:pt>
                <c:pt idx="7">
                  <c:v>0.85267000000000015</c:v>
                </c:pt>
                <c:pt idx="8">
                  <c:v>0.93088000000000015</c:v>
                </c:pt>
                <c:pt idx="9">
                  <c:v>0.98180999999999985</c:v>
                </c:pt>
                <c:pt idx="10">
                  <c:v>1</c:v>
                </c:pt>
                <c:pt idx="11">
                  <c:v>0.94078132420109373</c:v>
                </c:pt>
                <c:pt idx="12">
                  <c:v>0.82281040676750405</c:v>
                </c:pt>
                <c:pt idx="13">
                  <c:v>0.69955180334987077</c:v>
                </c:pt>
                <c:pt idx="14">
                  <c:v>0.59210556497115985</c:v>
                </c:pt>
                <c:pt idx="15">
                  <c:v>0.50442404927674489</c:v>
                </c:pt>
                <c:pt idx="16">
                  <c:v>0.43433748798699301</c:v>
                </c:pt>
                <c:pt idx="17">
                  <c:v>0.37837824633750744</c:v>
                </c:pt>
                <c:pt idx="18">
                  <c:v>0.3333685566461102</c:v>
                </c:pt>
                <c:pt idx="19">
                  <c:v>0.2967736215924674</c:v>
                </c:pt>
                <c:pt idx="20">
                  <c:v>0.26666666666666666</c:v>
                </c:pt>
                <c:pt idx="21">
                  <c:v>0.24160501974216231</c:v>
                </c:pt>
                <c:pt idx="22">
                  <c:v>0.22050916198517256</c:v>
                </c:pt>
                <c:pt idx="23">
                  <c:v>0.20256636206872125</c:v>
                </c:pt>
                <c:pt idx="24">
                  <c:v>0.18715905948894557</c:v>
                </c:pt>
                <c:pt idx="25">
                  <c:v>0.17381300943853673</c:v>
                </c:pt>
                <c:pt idx="26">
                  <c:v>0.1621600144754082</c:v>
                </c:pt>
                <c:pt idx="27">
                  <c:v>0.15191109840677708</c:v>
                </c:pt>
                <c:pt idx="28">
                  <c:v>0.14283707842207657</c:v>
                </c:pt>
                <c:pt idx="29">
                  <c:v>0.13475437621172137</c:v>
                </c:pt>
                <c:pt idx="30">
                  <c:v>0.12751455615804619</c:v>
                </c:pt>
                <c:pt idx="31">
                  <c:v>0.12099653447892947</c:v>
                </c:pt>
                <c:pt idx="32">
                  <c:v>0.11510071922169615</c:v>
                </c:pt>
                <c:pt idx="33">
                  <c:v>0.1097445592096989</c:v>
                </c:pt>
                <c:pt idx="34">
                  <c:v>0.10485913099639263</c:v>
                </c:pt>
                <c:pt idx="35">
                  <c:v>0.10038649785722381</c:v>
                </c:pt>
                <c:pt idx="36">
                  <c:v>9.6277648372256094E-2</c:v>
                </c:pt>
                <c:pt idx="37">
                  <c:v>9.249087406607881E-2</c:v>
                </c:pt>
                <c:pt idx="38">
                  <c:v>8.8990482544925781E-2</c:v>
                </c:pt>
                <c:pt idx="39">
                  <c:v>8.5745769136914451E-2</c:v>
                </c:pt>
                <c:pt idx="40">
                  <c:v>8.2730189298255347E-2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40-4695-B162-86663EAF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59468"/>
        <c:axId val="266518318"/>
      </c:scatterChart>
      <c:valAx>
        <c:axId val="436959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518318"/>
        <c:crosses val="autoZero"/>
        <c:crossBetween val="midCat"/>
      </c:valAx>
      <c:valAx>
        <c:axId val="26651831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  <a:alpha val="88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594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63517060367459E-2"/>
          <c:y val="5.1400554097404488E-2"/>
          <c:w val="0.83507392825896765"/>
          <c:h val="0.8326195683872849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[1]ABAQUS中塑性损伤模型参数输入!$I$7:$I$43</c:f>
              <c:numCache>
                <c:formatCode>General</c:formatCode>
                <c:ptCount val="37"/>
                <c:pt idx="0">
                  <c:v>5.816939999999999E-4</c:v>
                </c:pt>
                <c:pt idx="1">
                  <c:v>7.5124619736399582E-4</c:v>
                </c:pt>
                <c:pt idx="2">
                  <c:v>7.9363424670499485E-4</c:v>
                </c:pt>
                <c:pt idx="3">
                  <c:v>8.6428099560665987E-4</c:v>
                </c:pt>
                <c:pt idx="4">
                  <c:v>1.0055744934099897E-3</c:v>
                </c:pt>
                <c:pt idx="5">
                  <c:v>1.4294549868199796E-3</c:v>
                </c:pt>
                <c:pt idx="6">
                  <c:v>1.6955219736399594E-3</c:v>
                </c:pt>
                <c:pt idx="7">
                  <c:v>1.8650741710039556E-3</c:v>
                </c:pt>
                <c:pt idx="8">
                  <c:v>2.034626368367951E-3</c:v>
                </c:pt>
                <c:pt idx="9">
                  <c:v>2.2041785657319472E-3</c:v>
                </c:pt>
                <c:pt idx="10">
                  <c:v>2.3737307630959429E-3</c:v>
                </c:pt>
                <c:pt idx="11">
                  <c:v>2.543282960459939E-3</c:v>
                </c:pt>
                <c:pt idx="12">
                  <c:v>2.7128351578239352E-3</c:v>
                </c:pt>
                <c:pt idx="13">
                  <c:v>2.8823873551879309E-3</c:v>
                </c:pt>
                <c:pt idx="14">
                  <c:v>3.051939552551927E-3</c:v>
                </c:pt>
                <c:pt idx="15">
                  <c:v>3.2214917499159227E-3</c:v>
                </c:pt>
                <c:pt idx="16">
                  <c:v>3.3910439472799188E-3</c:v>
                </c:pt>
                <c:pt idx="17">
                  <c:v>3.560596144643915E-3</c:v>
                </c:pt>
                <c:pt idx="18">
                  <c:v>3.7301483420079111E-3</c:v>
                </c:pt>
                <c:pt idx="19">
                  <c:v>3.8997005393719064E-3</c:v>
                </c:pt>
                <c:pt idx="20">
                  <c:v>4.0692527367359021E-3</c:v>
                </c:pt>
                <c:pt idx="21">
                  <c:v>4.2388049340998987E-3</c:v>
                </c:pt>
                <c:pt idx="22">
                  <c:v>4.4083571314638944E-3</c:v>
                </c:pt>
                <c:pt idx="23">
                  <c:v>4.5779093288278909E-3</c:v>
                </c:pt>
                <c:pt idx="24">
                  <c:v>4.7474615261918858E-3</c:v>
                </c:pt>
                <c:pt idx="25">
                  <c:v>4.9170137235558823E-3</c:v>
                </c:pt>
                <c:pt idx="26">
                  <c:v>5.086565920919878E-3</c:v>
                </c:pt>
                <c:pt idx="27">
                  <c:v>5.4256703156478703E-3</c:v>
                </c:pt>
                <c:pt idx="28">
                  <c:v>5.7647747103758617E-3</c:v>
                </c:pt>
                <c:pt idx="29">
                  <c:v>6.103879105103854E-3</c:v>
                </c:pt>
                <c:pt idx="30">
                  <c:v>6.4429834998318454E-3</c:v>
                </c:pt>
                <c:pt idx="31">
                  <c:v>6.7820878945598377E-3</c:v>
                </c:pt>
                <c:pt idx="32">
                  <c:v>7.1211922892878299E-3</c:v>
                </c:pt>
                <c:pt idx="33">
                  <c:v>7.4602966840158222E-3</c:v>
                </c:pt>
                <c:pt idx="34">
                  <c:v>7.7994010787438128E-3</c:v>
                </c:pt>
                <c:pt idx="35">
                  <c:v>8.1385054734718042E-3</c:v>
                </c:pt>
                <c:pt idx="36">
                  <c:v>8.4776098681997973E-3</c:v>
                </c:pt>
              </c:numCache>
            </c:numRef>
          </c:xVal>
          <c:yVal>
            <c:numRef>
              <c:f>[1]ABAQUS中塑性损伤模型参数输入!$J$7:$J$43</c:f>
              <c:numCache>
                <c:formatCode>General</c:formatCode>
                <c:ptCount val="37"/>
                <c:pt idx="0">
                  <c:v>18.934144823258041</c:v>
                </c:pt>
                <c:pt idx="1">
                  <c:v>23.346325749020782</c:v>
                </c:pt>
                <c:pt idx="2">
                  <c:v>24.328762920901582</c:v>
                </c:pt>
                <c:pt idx="3">
                  <c:v>25.851577217563097</c:v>
                </c:pt>
                <c:pt idx="4">
                  <c:v>28.455822158634664</c:v>
                </c:pt>
                <c:pt idx="5">
                  <c:v>32.870532097954062</c:v>
                </c:pt>
                <c:pt idx="6">
                  <c:v>33.5</c:v>
                </c:pt>
                <c:pt idx="7">
                  <c:v>33.029460901025189</c:v>
                </c:pt>
                <c:pt idx="8">
                  <c:v>31.836979803257723</c:v>
                </c:pt>
                <c:pt idx="9">
                  <c:v>30.22131678903855</c:v>
                </c:pt>
                <c:pt idx="10">
                  <c:v>28.411666465748297</c:v>
                </c:pt>
                <c:pt idx="11">
                  <c:v>26.562479515514081</c:v>
                </c:pt>
                <c:pt idx="12">
                  <c:v>24.767306565504928</c:v>
                </c:pt>
                <c:pt idx="13">
                  <c:v>23.076657980150532</c:v>
                </c:pt>
                <c:pt idx="14">
                  <c:v>21.513268403095694</c:v>
                </c:pt>
                <c:pt idx="15">
                  <c:v>20.083157372913636</c:v>
                </c:pt>
                <c:pt idx="16">
                  <c:v>18.782950802143318</c:v>
                </c:pt>
                <c:pt idx="17">
                  <c:v>17.604452041986505</c:v>
                </c:pt>
                <c:pt idx="18">
                  <c:v>16.537370350632624</c:v>
                </c:pt>
                <c:pt idx="19">
                  <c:v>15.570880599606838</c:v>
                </c:pt>
                <c:pt idx="20">
                  <c:v>14.694468198345781</c:v>
                </c:pt>
                <c:pt idx="21">
                  <c:v>13.898349255561849</c:v>
                </c:pt>
                <c:pt idx="22">
                  <c:v>13.173645304257654</c:v>
                </c:pt>
                <c:pt idx="23">
                  <c:v>12.512421007693957</c:v>
                </c:pt>
                <c:pt idx="24">
                  <c:v>11.907649205180343</c:v>
                </c:pt>
                <c:pt idx="25">
                  <c:v>11.353140804652785</c:v>
                </c:pt>
                <c:pt idx="26">
                  <c:v>10.843460885430849</c:v>
                </c:pt>
                <c:pt idx="27">
                  <c:v>9.9401062697880818</c:v>
                </c:pt>
                <c:pt idx="28">
                  <c:v>9.1660485686011128</c:v>
                </c:pt>
                <c:pt idx="29">
                  <c:v>8.4969326980376625</c:v>
                </c:pt>
                <c:pt idx="30">
                  <c:v>7.9138186135864075</c:v>
                </c:pt>
                <c:pt idx="31">
                  <c:v>7.4018501147370301</c:v>
                </c:pt>
                <c:pt idx="32">
                  <c:v>6.9492661703804774</c:v>
                </c:pt>
                <c:pt idx="33">
                  <c:v>6.5466688444579395</c:v>
                </c:pt>
                <c:pt idx="34">
                  <c:v>6.1864796919869409</c:v>
                </c:pt>
                <c:pt idx="35">
                  <c:v>5.862533717441937</c:v>
                </c:pt>
                <c:pt idx="36">
                  <c:v>5.569773803362958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6-4088-AD43-D440871AB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3696"/>
        <c:axId val="108415232"/>
      </c:scatterChart>
      <c:valAx>
        <c:axId val="108413696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08415232"/>
        <c:crosses val="autoZero"/>
        <c:crossBetween val="midCat"/>
      </c:valAx>
      <c:valAx>
        <c:axId val="108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1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12369752044307E-2"/>
          <c:y val="5.0435149008712994E-2"/>
          <c:w val="0.83758946228788911"/>
          <c:h val="0.8357633072683887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[1]ABAQUS中塑性损伤模型参数输入!$N$6</c:f>
              <c:strCache>
                <c:ptCount val="1"/>
                <c:pt idx="0">
                  <c:v>d_c1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[1]ABAQUS中塑性损伤模型参数输入!$M$7:$M$43</c:f>
              <c:numCache>
                <c:formatCode>General</c:formatCode>
                <c:ptCount val="37"/>
                <c:pt idx="0">
                  <c:v>3.3251988798402733E-5</c:v>
                </c:pt>
                <c:pt idx="1">
                  <c:v>7.4813912025886308E-5</c:v>
                </c:pt>
                <c:pt idx="2">
                  <c:v>8.8686309085894612E-5</c:v>
                </c:pt>
                <c:pt idx="3">
                  <c:v>1.1511646797371985E-4</c:v>
                </c:pt>
                <c:pt idx="4">
                  <c:v>1.8072964663919436E-4</c:v>
                </c:pt>
                <c:pt idx="5">
                  <c:v>4.7580128748639578E-4</c:v>
                </c:pt>
                <c:pt idx="6">
                  <c:v>7.2295240735601417E-4</c:v>
                </c:pt>
                <c:pt idx="7">
                  <c:v>9.0568170793652969E-4</c:v>
                </c:pt>
                <c:pt idx="8">
                  <c:v>1.1093224961210525E-3</c:v>
                </c:pt>
                <c:pt idx="9">
                  <c:v>1.3252202345962333E-3</c:v>
                </c:pt>
                <c:pt idx="10">
                  <c:v>1.546732525870508E-3</c:v>
                </c:pt>
                <c:pt idx="11">
                  <c:v>1.7693810645058542E-3</c:v>
                </c:pt>
                <c:pt idx="12">
                  <c:v>1.9904517424207705E-3</c:v>
                </c:pt>
                <c:pt idx="13">
                  <c:v>2.2084777908395049E-3</c:v>
                </c:pt>
                <c:pt idx="14">
                  <c:v>2.4227977321936408E-3</c:v>
                </c:pt>
                <c:pt idx="15">
                  <c:v>2.6332349361789706E-3</c:v>
                </c:pt>
                <c:pt idx="16">
                  <c:v>2.8398854277366663E-3</c:v>
                </c:pt>
                <c:pt idx="17">
                  <c:v>3.0429853598862105E-3</c:v>
                </c:pt>
                <c:pt idx="18">
                  <c:v>3.2428318756318247E-3</c:v>
                </c:pt>
                <c:pt idx="19">
                  <c:v>3.439737845411594E-3</c:v>
                </c:pt>
                <c:pt idx="20">
                  <c:v>3.634007328590701E-3</c:v>
                </c:pt>
                <c:pt idx="21">
                  <c:v>3.8259233548304651E-3</c:v>
                </c:pt>
                <c:pt idx="22">
                  <c:v>4.0157428273275928E-3</c:v>
                </c:pt>
                <c:pt idx="23">
                  <c:v>4.2036954043954723E-3</c:v>
                </c:pt>
                <c:pt idx="24">
                  <c:v>4.3899844927017947E-3</c:v>
                </c:pt>
                <c:pt idx="25">
                  <c:v>4.5747892638714942E-3</c:v>
                </c:pt>
                <c:pt idx="26">
                  <c:v>4.7582670742630489E-3</c:v>
                </c:pt>
                <c:pt idx="27">
                  <c:v>5.1217769308705176E-3</c:v>
                </c:pt>
                <c:pt idx="28">
                  <c:v>5.4814273402398984E-3</c:v>
                </c:pt>
                <c:pt idx="29">
                  <c:v>5.8379237107893719E-3</c:v>
                </c:pt>
                <c:pt idx="30">
                  <c:v>6.1918146859864884E-3</c:v>
                </c:pt>
                <c:pt idx="31">
                  <c:v>6.5435306647106898E-3</c:v>
                </c:pt>
                <c:pt idx="32">
                  <c:v>6.8934124168625599E-3</c:v>
                </c:pt>
                <c:pt idx="33">
                  <c:v>7.2417322757768552E-3</c:v>
                </c:pt>
                <c:pt idx="34">
                  <c:v>7.5887098768663737E-3</c:v>
                </c:pt>
                <c:pt idx="35">
                  <c:v>7.9345239148219705E-3</c:v>
                </c:pt>
                <c:pt idx="36">
                  <c:v>8.2793209924631826E-3</c:v>
                </c:pt>
              </c:numCache>
            </c:numRef>
          </c:xVal>
          <c:yVal>
            <c:numRef>
              <c:f>[1]ABAQUS中塑性损伤模型参数输入!$N$7:$N$44</c:f>
              <c:numCache>
                <c:formatCode>General</c:formatCode>
                <c:ptCount val="38"/>
                <c:pt idx="0">
                  <c:v>1.7869455677438362E-2</c:v>
                </c:pt>
                <c:pt idx="1">
                  <c:v>3.2127616730503017E-2</c:v>
                </c:pt>
                <c:pt idx="2">
                  <c:v>3.6384670685667642E-2</c:v>
                </c:pt>
                <c:pt idx="3">
                  <c:v>4.4087559860829462E-2</c:v>
                </c:pt>
                <c:pt idx="4">
                  <c:v>6.1713471151865651E-2</c:v>
                </c:pt>
                <c:pt idx="5">
                  <c:v>0.13031208160671348</c:v>
                </c:pt>
                <c:pt idx="6">
                  <c:v>0.18256074053207727</c:v>
                </c:pt>
                <c:pt idx="7">
                  <c:v>0.2210129969944804</c:v>
                </c:pt>
                <c:pt idx="8">
                  <c:v>0.26495848217170059</c:v>
                </c:pt>
                <c:pt idx="9">
                  <c:v>0.31203708984182188</c:v>
                </c:pt>
                <c:pt idx="10">
                  <c:v>0.36020641511090601</c:v>
                </c:pt>
                <c:pt idx="11">
                  <c:v>0.40785201646211089</c:v>
                </c:pt>
                <c:pt idx="12">
                  <c:v>0.45380355624828561</c:v>
                </c:pt>
                <c:pt idx="13">
                  <c:v>0.49729037112462626</c:v>
                </c:pt>
                <c:pt idx="14">
                  <c:v>0.53786823105706372</c:v>
                </c:pt>
                <c:pt idx="15">
                  <c:v>0.57534017100210311</c:v>
                </c:pt>
                <c:pt idx="16">
                  <c:v>0.60968458214189303</c:v>
                </c:pt>
                <c:pt idx="17">
                  <c:v>0.64099623653973814</c:v>
                </c:pt>
                <c:pt idx="18">
                  <c:v>0.66944121329981143</c:v>
                </c:pt>
                <c:pt idx="19">
                  <c:v>0.69522428410797543</c:v>
                </c:pt>
                <c:pt idx="20">
                  <c:v>0.71856641192943105</c:v>
                </c:pt>
                <c:pt idx="21">
                  <c:v>0.73968994599422611</c:v>
                </c:pt>
                <c:pt idx="22">
                  <c:v>0.75880940519226425</c:v>
                </c:pt>
                <c:pt idx="23">
                  <c:v>0.77612616878791263</c:v>
                </c:pt>
                <c:pt idx="24">
                  <c:v>0.791825807804721</c:v>
                </c:pt>
                <c:pt idx="25">
                  <c:v>0.80607714021272103</c:v>
                </c:pt>
                <c:pt idx="26">
                  <c:v>0.81903236644532229</c:v>
                </c:pt>
                <c:pt idx="27">
                  <c:v>0.84158521680605458</c:v>
                </c:pt>
                <c:pt idx="28">
                  <c:v>0.86040631417753954</c:v>
                </c:pt>
                <c:pt idx="29">
                  <c:v>0.87622336089976782</c:v>
                </c:pt>
                <c:pt idx="30">
                  <c:v>0.88960897942891526</c:v>
                </c:pt>
                <c:pt idx="31">
                  <c:v>0.90101427496506314</c:v>
                </c:pt>
                <c:pt idx="32">
                  <c:v>0.91079591084609945</c:v>
                </c:pt>
                <c:pt idx="33">
                  <c:v>0.91923731213268156</c:v>
                </c:pt>
                <c:pt idx="34">
                  <c:v>0.92656503103696952</c:v>
                </c:pt>
                <c:pt idx="35">
                  <c:v>0.93296129997649213</c:v>
                </c:pt>
                <c:pt idx="36">
                  <c:v>0.93857364767329954</c:v>
                </c:pt>
                <c:pt idx="37">
                  <c:v>0.94352227761969942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E-4903-8E27-6CFE68840B76}"/>
            </c:ext>
          </c:extLst>
        </c:ser>
        <c:ser>
          <c:idx val="0"/>
          <c:order val="1"/>
          <c:tx>
            <c:strRef>
              <c:f>[1]ABAQUS中塑性损伤模型参数输入!$O$6</c:f>
              <c:strCache>
                <c:ptCount val="1"/>
                <c:pt idx="0">
                  <c:v>d_c2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[1]ABAQUS中塑性损伤模型参数输入!$M$7:$M$70</c:f>
              <c:numCache>
                <c:formatCode>General</c:formatCode>
                <c:ptCount val="64"/>
                <c:pt idx="0">
                  <c:v>3.3251988798402733E-5</c:v>
                </c:pt>
                <c:pt idx="1">
                  <c:v>7.4813912025886308E-5</c:v>
                </c:pt>
                <c:pt idx="2">
                  <c:v>8.8686309085894612E-5</c:v>
                </c:pt>
                <c:pt idx="3">
                  <c:v>1.1511646797371985E-4</c:v>
                </c:pt>
                <c:pt idx="4">
                  <c:v>1.8072964663919436E-4</c:v>
                </c:pt>
                <c:pt idx="5">
                  <c:v>4.7580128748639578E-4</c:v>
                </c:pt>
                <c:pt idx="6">
                  <c:v>7.2295240735601417E-4</c:v>
                </c:pt>
                <c:pt idx="7">
                  <c:v>9.0568170793652969E-4</c:v>
                </c:pt>
                <c:pt idx="8">
                  <c:v>1.1093224961210525E-3</c:v>
                </c:pt>
                <c:pt idx="9">
                  <c:v>1.3252202345962333E-3</c:v>
                </c:pt>
                <c:pt idx="10">
                  <c:v>1.546732525870508E-3</c:v>
                </c:pt>
                <c:pt idx="11">
                  <c:v>1.7693810645058542E-3</c:v>
                </c:pt>
                <c:pt idx="12">
                  <c:v>1.9904517424207705E-3</c:v>
                </c:pt>
                <c:pt idx="13">
                  <c:v>2.2084777908395049E-3</c:v>
                </c:pt>
                <c:pt idx="14">
                  <c:v>2.4227977321936408E-3</c:v>
                </c:pt>
                <c:pt idx="15">
                  <c:v>2.6332349361789706E-3</c:v>
                </c:pt>
                <c:pt idx="16">
                  <c:v>2.8398854277366663E-3</c:v>
                </c:pt>
                <c:pt idx="17">
                  <c:v>3.0429853598862105E-3</c:v>
                </c:pt>
                <c:pt idx="18">
                  <c:v>3.2428318756318247E-3</c:v>
                </c:pt>
                <c:pt idx="19">
                  <c:v>3.439737845411594E-3</c:v>
                </c:pt>
                <c:pt idx="20">
                  <c:v>3.634007328590701E-3</c:v>
                </c:pt>
                <c:pt idx="21">
                  <c:v>3.8259233548304651E-3</c:v>
                </c:pt>
                <c:pt idx="22">
                  <c:v>4.0157428273275928E-3</c:v>
                </c:pt>
                <c:pt idx="23">
                  <c:v>4.2036954043954723E-3</c:v>
                </c:pt>
                <c:pt idx="24">
                  <c:v>4.3899844927017947E-3</c:v>
                </c:pt>
                <c:pt idx="25">
                  <c:v>4.5747892638714942E-3</c:v>
                </c:pt>
                <c:pt idx="26">
                  <c:v>4.7582670742630489E-3</c:v>
                </c:pt>
                <c:pt idx="27">
                  <c:v>5.1217769308705176E-3</c:v>
                </c:pt>
                <c:pt idx="28">
                  <c:v>5.4814273402398984E-3</c:v>
                </c:pt>
                <c:pt idx="29">
                  <c:v>5.8379237107893719E-3</c:v>
                </c:pt>
                <c:pt idx="30">
                  <c:v>6.1918146859864884E-3</c:v>
                </c:pt>
                <c:pt idx="31">
                  <c:v>6.5435306647106898E-3</c:v>
                </c:pt>
                <c:pt idx="32">
                  <c:v>6.8934124168625599E-3</c:v>
                </c:pt>
                <c:pt idx="33">
                  <c:v>7.2417322757768552E-3</c:v>
                </c:pt>
                <c:pt idx="34">
                  <c:v>7.5887098768663737E-3</c:v>
                </c:pt>
                <c:pt idx="35">
                  <c:v>7.9345239148219705E-3</c:v>
                </c:pt>
                <c:pt idx="36">
                  <c:v>8.2793209924631826E-3</c:v>
                </c:pt>
                <c:pt idx="37">
                  <c:v>8.6232223358252078E-3</c:v>
                </c:pt>
                <c:pt idx="38">
                  <c:v>8.9663289337051557E-3</c:v>
                </c:pt>
                <c:pt idx="39">
                  <c:v>9.3087255050876665E-3</c:v>
                </c:pt>
                <c:pt idx="40">
                  <c:v>9.6504835875475398E-3</c:v>
                </c:pt>
                <c:pt idx="41">
                  <c:v>9.9916639610092318E-3</c:v>
                </c:pt>
                <c:pt idx="42">
                  <c:v>1.0332318564827811E-2</c:v>
                </c:pt>
                <c:pt idx="43">
                  <c:v>1.0672492025499214E-2</c:v>
                </c:pt>
                <c:pt idx="44">
                  <c:v>1.1012222882810709E-2</c:v>
                </c:pt>
                <c:pt idx="45">
                  <c:v>1.135154458067044E-2</c:v>
                </c:pt>
                <c:pt idx="46">
                  <c:v>1.1690486272971316E-2</c:v>
                </c:pt>
                <c:pt idx="47">
                  <c:v>1.202907348306312E-2</c:v>
                </c:pt>
                <c:pt idx="48">
                  <c:v>1.2367328646585437E-2</c:v>
                </c:pt>
                <c:pt idx="49">
                  <c:v>1.2705271560781212E-2</c:v>
                </c:pt>
                <c:pt idx="50">
                  <c:v>1.3042919758368014E-2</c:v>
                </c:pt>
                <c:pt idx="51">
                  <c:v>1.338028882020369E-2</c:v>
                </c:pt>
                <c:pt idx="52">
                  <c:v>1.371739263801753E-2</c:v>
                </c:pt>
                <c:pt idx="53">
                  <c:v>1.4054243636186839E-2</c:v>
                </c:pt>
                <c:pt idx="54">
                  <c:v>1.4390852959760026E-2</c:v>
                </c:pt>
                <c:pt idx="55">
                  <c:v>1.472723063452264E-2</c:v>
                </c:pt>
                <c:pt idx="56">
                  <c:v>1.5063385703800327E-2</c:v>
                </c:pt>
                <c:pt idx="57">
                  <c:v>1.5399326345824693E-2</c:v>
                </c:pt>
                <c:pt idx="58">
                  <c:v>1.573505997478581E-2</c:v>
                </c:pt>
                <c:pt idx="59">
                  <c:v>1.6070593328137376E-2</c:v>
                </c:pt>
                <c:pt idx="60">
                  <c:v>1.6405932542277474E-2</c:v>
                </c:pt>
                <c:pt idx="61">
                  <c:v>1.674108321835904E-2</c:v>
                </c:pt>
                <c:pt idx="62">
                  <c:v>1.7076050479688968E-2</c:v>
                </c:pt>
                <c:pt idx="63">
                  <c:v>1.7410839021940294E-2</c:v>
                </c:pt>
              </c:numCache>
            </c:numRef>
          </c:xVal>
          <c:yVal>
            <c:numRef>
              <c:f>[1]ABAQUS中塑性损伤模型参数输入!$O$7:$O$43</c:f>
              <c:numCache>
                <c:formatCode>General</c:formatCode>
                <c:ptCount val="37"/>
                <c:pt idx="0">
                  <c:v>4.0725083156131436E-2</c:v>
                </c:pt>
                <c:pt idx="1">
                  <c:v>7.1885109380753431E-2</c:v>
                </c:pt>
                <c:pt idx="2">
                  <c:v>8.0969500135856132E-2</c:v>
                </c:pt>
                <c:pt idx="3">
                  <c:v>9.7159600094948284E-2</c:v>
                </c:pt>
                <c:pt idx="4">
                  <c:v>0.13305011972082836</c:v>
                </c:pt>
                <c:pt idx="5">
                  <c:v>0.25905147455834876</c:v>
                </c:pt>
                <c:pt idx="6">
                  <c:v>0.34258497280172173</c:v>
                </c:pt>
                <c:pt idx="7">
                  <c:v>0.39831881338096986</c:v>
                </c:pt>
                <c:pt idx="8">
                  <c:v>0.45684365611522193</c:v>
                </c:pt>
                <c:pt idx="9">
                  <c:v>0.51416745464559843</c:v>
                </c:pt>
                <c:pt idx="10">
                  <c:v>0.56778741129964949</c:v>
                </c:pt>
                <c:pt idx="11">
                  <c:v>0.61643545000644762</c:v>
                </c:pt>
                <c:pt idx="12">
                  <c:v>0.65970582933774313</c:v>
                </c:pt>
                <c:pt idx="13">
                  <c:v>0.69771896714268933</c:v>
                </c:pt>
                <c:pt idx="14">
                  <c:v>0.73087399910259532</c:v>
                </c:pt>
                <c:pt idx="15">
                  <c:v>0.75968820781489976</c:v>
                </c:pt>
                <c:pt idx="16">
                  <c:v>0.78470259408808163</c:v>
                </c:pt>
                <c:pt idx="17">
                  <c:v>0.8064316670870415</c:v>
                </c:pt>
                <c:pt idx="18">
                  <c:v>0.82534036090948948</c:v>
                </c:pt>
                <c:pt idx="19">
                  <c:v>0.84183646134890111</c:v>
                </c:pt>
                <c:pt idx="20">
                  <c:v>0.85627126608757709</c:v>
                </c:pt>
                <c:pt idx="21">
                  <c:v>0.86894417792822565</c:v>
                </c:pt>
                <c:pt idx="22">
                  <c:v>0.88010881594236157</c:v>
                </c:pt>
                <c:pt idx="23">
                  <c:v>0.8899793628842495</c:v>
                </c:pt>
                <c:pt idx="24">
                  <c:v>0.8987365217548402</c:v>
                </c:pt>
                <c:pt idx="25">
                  <c:v>0.90653281827623478</c:v>
                </c:pt>
                <c:pt idx="26">
                  <c:v>0.9134971794919069</c:v>
                </c:pt>
                <c:pt idx="27">
                  <c:v>0.92535047062457287</c:v>
                </c:pt>
                <c:pt idx="28">
                  <c:v>0.93498829242959414</c:v>
                </c:pt>
                <c:pt idx="29">
                  <c:v>0.9429152959198599</c:v>
                </c:pt>
                <c:pt idx="30">
                  <c:v>0.9495042620118177</c:v>
                </c:pt>
                <c:pt idx="31">
                  <c:v>0.95503412968505463</c:v>
                </c:pt>
                <c:pt idx="32">
                  <c:v>0.9597162622881571</c:v>
                </c:pt>
                <c:pt idx="33">
                  <c:v>0.96371275943796164</c:v>
                </c:pt>
                <c:pt idx="34">
                  <c:v>0.9671493645026058</c:v>
                </c:pt>
                <c:pt idx="35">
                  <c:v>0.97012466952250587</c:v>
                </c:pt>
                <c:pt idx="36">
                  <c:v>0.9727167575376382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E-4903-8E27-6CFE6884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8000"/>
        <c:axId val="108453888"/>
      </c:scatterChart>
      <c:valAx>
        <c:axId val="108448000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08453888"/>
        <c:crosses val="autoZero"/>
        <c:crossBetween val="midCat"/>
      </c:valAx>
      <c:valAx>
        <c:axId val="108453888"/>
        <c:scaling>
          <c:orientation val="minMax"/>
        </c:scaling>
        <c:delete val="0"/>
        <c:axPos val="l"/>
        <c:majorGridlines/>
        <c:numFmt formatCode="0.00_ " sourceLinked="0"/>
        <c:majorTickMark val="out"/>
        <c:minorTickMark val="none"/>
        <c:tickLblPos val="nextTo"/>
        <c:crossAx val="10844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740029108246274"/>
          <c:y val="0.47690979282893892"/>
          <c:w val="0.13586475874257042"/>
          <c:h val="0.164289631002368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[1]ABAQUS中塑性损伤模型参数输入!$M$7:$M$70</c:f>
              <c:numCache>
                <c:formatCode>General</c:formatCode>
                <c:ptCount val="64"/>
                <c:pt idx="0">
                  <c:v>3.3251988798402733E-5</c:v>
                </c:pt>
                <c:pt idx="1">
                  <c:v>7.4813912025886308E-5</c:v>
                </c:pt>
                <c:pt idx="2">
                  <c:v>8.8686309085894612E-5</c:v>
                </c:pt>
                <c:pt idx="3">
                  <c:v>1.1511646797371985E-4</c:v>
                </c:pt>
                <c:pt idx="4">
                  <c:v>1.8072964663919436E-4</c:v>
                </c:pt>
                <c:pt idx="5">
                  <c:v>4.7580128748639578E-4</c:v>
                </c:pt>
                <c:pt idx="6">
                  <c:v>7.2295240735601417E-4</c:v>
                </c:pt>
                <c:pt idx="7">
                  <c:v>9.0568170793652969E-4</c:v>
                </c:pt>
                <c:pt idx="8">
                  <c:v>1.1093224961210525E-3</c:v>
                </c:pt>
                <c:pt idx="9">
                  <c:v>1.3252202345962333E-3</c:v>
                </c:pt>
                <c:pt idx="10">
                  <c:v>1.546732525870508E-3</c:v>
                </c:pt>
                <c:pt idx="11">
                  <c:v>1.7693810645058542E-3</c:v>
                </c:pt>
                <c:pt idx="12">
                  <c:v>1.9904517424207705E-3</c:v>
                </c:pt>
                <c:pt idx="13">
                  <c:v>2.2084777908395049E-3</c:v>
                </c:pt>
                <c:pt idx="14">
                  <c:v>2.4227977321936408E-3</c:v>
                </c:pt>
                <c:pt idx="15">
                  <c:v>2.6332349361789706E-3</c:v>
                </c:pt>
                <c:pt idx="16">
                  <c:v>2.8398854277366663E-3</c:v>
                </c:pt>
                <c:pt idx="17">
                  <c:v>3.0429853598862105E-3</c:v>
                </c:pt>
                <c:pt idx="18">
                  <c:v>3.2428318756318247E-3</c:v>
                </c:pt>
                <c:pt idx="19">
                  <c:v>3.439737845411594E-3</c:v>
                </c:pt>
                <c:pt idx="20">
                  <c:v>3.634007328590701E-3</c:v>
                </c:pt>
                <c:pt idx="21">
                  <c:v>3.8259233548304651E-3</c:v>
                </c:pt>
                <c:pt idx="22">
                  <c:v>4.0157428273275928E-3</c:v>
                </c:pt>
                <c:pt idx="23">
                  <c:v>4.2036954043954723E-3</c:v>
                </c:pt>
                <c:pt idx="24">
                  <c:v>4.3899844927017947E-3</c:v>
                </c:pt>
                <c:pt idx="25">
                  <c:v>4.5747892638714942E-3</c:v>
                </c:pt>
                <c:pt idx="26">
                  <c:v>4.7582670742630489E-3</c:v>
                </c:pt>
                <c:pt idx="27">
                  <c:v>5.1217769308705176E-3</c:v>
                </c:pt>
                <c:pt idx="28">
                  <c:v>5.4814273402398984E-3</c:v>
                </c:pt>
                <c:pt idx="29">
                  <c:v>5.8379237107893719E-3</c:v>
                </c:pt>
                <c:pt idx="30">
                  <c:v>6.1918146859864884E-3</c:v>
                </c:pt>
                <c:pt idx="31">
                  <c:v>6.5435306647106898E-3</c:v>
                </c:pt>
                <c:pt idx="32">
                  <c:v>6.8934124168625599E-3</c:v>
                </c:pt>
                <c:pt idx="33">
                  <c:v>7.2417322757768552E-3</c:v>
                </c:pt>
                <c:pt idx="34">
                  <c:v>7.5887098768663737E-3</c:v>
                </c:pt>
                <c:pt idx="35">
                  <c:v>7.9345239148219705E-3</c:v>
                </c:pt>
                <c:pt idx="36">
                  <c:v>8.2793209924631826E-3</c:v>
                </c:pt>
                <c:pt idx="37">
                  <c:v>8.6232223358252078E-3</c:v>
                </c:pt>
                <c:pt idx="38">
                  <c:v>8.9663289337051557E-3</c:v>
                </c:pt>
                <c:pt idx="39">
                  <c:v>9.3087255050876665E-3</c:v>
                </c:pt>
                <c:pt idx="40">
                  <c:v>9.6504835875475398E-3</c:v>
                </c:pt>
                <c:pt idx="41">
                  <c:v>9.9916639610092318E-3</c:v>
                </c:pt>
                <c:pt idx="42">
                  <c:v>1.0332318564827811E-2</c:v>
                </c:pt>
                <c:pt idx="43">
                  <c:v>1.0672492025499214E-2</c:v>
                </c:pt>
                <c:pt idx="44">
                  <c:v>1.1012222882810709E-2</c:v>
                </c:pt>
                <c:pt idx="45">
                  <c:v>1.135154458067044E-2</c:v>
                </c:pt>
                <c:pt idx="46">
                  <c:v>1.1690486272971316E-2</c:v>
                </c:pt>
                <c:pt idx="47">
                  <c:v>1.202907348306312E-2</c:v>
                </c:pt>
                <c:pt idx="48">
                  <c:v>1.2367328646585437E-2</c:v>
                </c:pt>
                <c:pt idx="49">
                  <c:v>1.2705271560781212E-2</c:v>
                </c:pt>
                <c:pt idx="50">
                  <c:v>1.3042919758368014E-2</c:v>
                </c:pt>
                <c:pt idx="51">
                  <c:v>1.338028882020369E-2</c:v>
                </c:pt>
                <c:pt idx="52">
                  <c:v>1.371739263801753E-2</c:v>
                </c:pt>
                <c:pt idx="53">
                  <c:v>1.4054243636186839E-2</c:v>
                </c:pt>
                <c:pt idx="54">
                  <c:v>1.4390852959760026E-2</c:v>
                </c:pt>
                <c:pt idx="55">
                  <c:v>1.472723063452264E-2</c:v>
                </c:pt>
                <c:pt idx="56">
                  <c:v>1.5063385703800327E-2</c:v>
                </c:pt>
                <c:pt idx="57">
                  <c:v>1.5399326345824693E-2</c:v>
                </c:pt>
                <c:pt idx="58">
                  <c:v>1.573505997478581E-2</c:v>
                </c:pt>
                <c:pt idx="59">
                  <c:v>1.6070593328137376E-2</c:v>
                </c:pt>
                <c:pt idx="60">
                  <c:v>1.6405932542277474E-2</c:v>
                </c:pt>
                <c:pt idx="61">
                  <c:v>1.674108321835904E-2</c:v>
                </c:pt>
                <c:pt idx="62">
                  <c:v>1.7076050479688968E-2</c:v>
                </c:pt>
                <c:pt idx="63">
                  <c:v>1.7410839021940294E-2</c:v>
                </c:pt>
              </c:numCache>
            </c:numRef>
          </c:xVal>
          <c:yVal>
            <c:numRef>
              <c:f>[1]ABAQUS中塑性损伤模型参数输入!$T$7:$T$70</c:f>
              <c:numCache>
                <c:formatCode>General</c:formatCode>
                <c:ptCount val="64"/>
                <c:pt idx="1">
                  <c:v>5.2369738418120371E-5</c:v>
                </c:pt>
                <c:pt idx="2">
                  <c:v>6.2080416360126229E-5</c:v>
                </c:pt>
                <c:pt idx="3">
                  <c:v>8.0581527581603872E-5</c:v>
                </c:pt>
                <c:pt idx="4">
                  <c:v>1.2651075264743605E-4</c:v>
                </c:pt>
                <c:pt idx="5">
                  <c:v>3.3306090124047704E-4</c:v>
                </c:pt>
                <c:pt idx="6">
                  <c:v>5.0606668514920983E-4</c:v>
                </c:pt>
                <c:pt idx="7">
                  <c:v>6.3397719555557074E-4</c:v>
                </c:pt>
                <c:pt idx="8">
                  <c:v>7.7652574728473672E-4</c:v>
                </c:pt>
                <c:pt idx="9">
                  <c:v>9.2765416421736332E-4</c:v>
                </c:pt>
                <c:pt idx="10">
                  <c:v>1.0827127681093556E-3</c:v>
                </c:pt>
                <c:pt idx="11">
                  <c:v>1.2385667451540981E-3</c:v>
                </c:pt>
                <c:pt idx="12">
                  <c:v>1.3933162196945394E-3</c:v>
                </c:pt>
                <c:pt idx="13">
                  <c:v>1.5459344535876534E-3</c:v>
                </c:pt>
                <c:pt idx="14">
                  <c:v>1.6959584125355483E-3</c:v>
                </c:pt>
                <c:pt idx="15">
                  <c:v>1.8432644553252795E-3</c:v>
                </c:pt>
                <c:pt idx="16">
                  <c:v>1.9879197994156664E-3</c:v>
                </c:pt>
                <c:pt idx="17">
                  <c:v>2.1300897519203475E-3</c:v>
                </c:pt>
                <c:pt idx="18">
                  <c:v>2.2699823129422774E-3</c:v>
                </c:pt>
                <c:pt idx="19">
                  <c:v>2.4078164917881156E-3</c:v>
                </c:pt>
                <c:pt idx="20">
                  <c:v>2.5438051300134905E-3</c:v>
                </c:pt>
                <c:pt idx="21">
                  <c:v>2.6781463483813253E-3</c:v>
                </c:pt>
                <c:pt idx="22">
                  <c:v>2.8110199791293155E-3</c:v>
                </c:pt>
                <c:pt idx="23">
                  <c:v>2.9425867830768304E-3</c:v>
                </c:pt>
                <c:pt idx="24">
                  <c:v>3.072989144891256E-3</c:v>
                </c:pt>
                <c:pt idx="25">
                  <c:v>3.2023524847100459E-3</c:v>
                </c:pt>
                <c:pt idx="26">
                  <c:v>3.330786951984134E-3</c:v>
                </c:pt>
                <c:pt idx="27">
                  <c:v>3.5852438516093626E-3</c:v>
                </c:pt>
                <c:pt idx="28">
                  <c:v>3.8369991381679278E-3</c:v>
                </c:pt>
                <c:pt idx="29">
                  <c:v>4.0865465975525612E-3</c:v>
                </c:pt>
                <c:pt idx="30">
                  <c:v>4.3342702801905421E-3</c:v>
                </c:pt>
                <c:pt idx="31">
                  <c:v>4.5804714652974837E-3</c:v>
                </c:pt>
                <c:pt idx="32">
                  <c:v>4.8253886918037912E-3</c:v>
                </c:pt>
                <c:pt idx="33">
                  <c:v>5.0692125930437973E-3</c:v>
                </c:pt>
                <c:pt idx="34">
                  <c:v>5.3120969138064607E-3</c:v>
                </c:pt>
                <c:pt idx="35">
                  <c:v>5.5541667403753792E-3</c:v>
                </c:pt>
                <c:pt idx="36">
                  <c:v>5.7955246947242293E-3</c:v>
                </c:pt>
                <c:pt idx="37">
                  <c:v>6.0362556350776458E-3</c:v>
                </c:pt>
                <c:pt idx="38">
                  <c:v>6.2764302535936109E-3</c:v>
                </c:pt>
                <c:pt idx="39">
                  <c:v>6.5161078535613641E-3</c:v>
                </c:pt>
                <c:pt idx="40">
                  <c:v>6.755338511283274E-3</c:v>
                </c:pt>
                <c:pt idx="41">
                  <c:v>6.9941647727064637E-3</c:v>
                </c:pt>
                <c:pt idx="42">
                  <c:v>7.2326229953794657E-3</c:v>
                </c:pt>
                <c:pt idx="43">
                  <c:v>7.4707444178494543E-3</c:v>
                </c:pt>
                <c:pt idx="44">
                  <c:v>7.7085560179675E-3</c:v>
                </c:pt>
                <c:pt idx="45">
                  <c:v>7.9460812064693041E-3</c:v>
                </c:pt>
                <c:pt idx="46">
                  <c:v>8.1833403910799157E-3</c:v>
                </c:pt>
                <c:pt idx="47">
                  <c:v>8.4203514381441906E-3</c:v>
                </c:pt>
                <c:pt idx="48">
                  <c:v>8.6571300526097975E-3</c:v>
                </c:pt>
                <c:pt idx="49">
                  <c:v>8.8936900925468427E-3</c:v>
                </c:pt>
                <c:pt idx="50">
                  <c:v>9.1300438308576162E-3</c:v>
                </c:pt>
                <c:pt idx="51">
                  <c:v>9.3662021741425829E-3</c:v>
                </c:pt>
                <c:pt idx="52">
                  <c:v>9.6021748466122679E-3</c:v>
                </c:pt>
                <c:pt idx="53">
                  <c:v>9.8379705453307976E-3</c:v>
                </c:pt>
                <c:pt idx="54">
                  <c:v>1.0073597071832023E-2</c:v>
                </c:pt>
                <c:pt idx="55">
                  <c:v>1.0309061444165846E-2</c:v>
                </c:pt>
                <c:pt idx="56">
                  <c:v>1.0544369992660223E-2</c:v>
                </c:pt>
                <c:pt idx="57">
                  <c:v>1.0779528442077276E-2</c:v>
                </c:pt>
                <c:pt idx="58">
                  <c:v>1.1014541982350072E-2</c:v>
                </c:pt>
                <c:pt idx="59">
                  <c:v>1.1249415329696151E-2</c:v>
                </c:pt>
                <c:pt idx="60">
                  <c:v>1.1484152779594236E-2</c:v>
                </c:pt>
                <c:pt idx="61">
                  <c:v>1.1718758252851343E-2</c:v>
                </c:pt>
                <c:pt idx="62">
                  <c:v>1.1953235335782297E-2</c:v>
                </c:pt>
                <c:pt idx="63">
                  <c:v>1.2187587315358185E-2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D-4FFD-8822-3D7C20E4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5152"/>
        <c:axId val="108475136"/>
      </c:scatterChart>
      <c:valAx>
        <c:axId val="108465152"/>
        <c:scaling>
          <c:orientation val="minMax"/>
        </c:scaling>
        <c:delete val="0"/>
        <c:axPos val="b"/>
        <c:majorGridlines/>
        <c:numFmt formatCode="0.000_ " sourceLinked="0"/>
        <c:majorTickMark val="out"/>
        <c:minorTickMark val="none"/>
        <c:tickLblPos val="nextTo"/>
        <c:crossAx val="108475136"/>
        <c:crosses val="autoZero"/>
        <c:crossBetween val="midCat"/>
      </c:valAx>
      <c:valAx>
        <c:axId val="108475136"/>
        <c:scaling>
          <c:orientation val="minMax"/>
        </c:scaling>
        <c:delete val="0"/>
        <c:axPos val="l"/>
        <c:majorGridlines/>
        <c:numFmt formatCode="0.000_ " sourceLinked="0"/>
        <c:majorTickMark val="out"/>
        <c:minorTickMark val="none"/>
        <c:tickLblPos val="nextTo"/>
        <c:crossAx val="10846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4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6.png"/><Relationship Id="rId10" Type="http://schemas.openxmlformats.org/officeDocument/2006/relationships/image" Target="../media/image12.png"/><Relationship Id="rId4" Type="http://schemas.openxmlformats.org/officeDocument/2006/relationships/image" Target="../media/image5.png"/><Relationship Id="rId9" Type="http://schemas.openxmlformats.org/officeDocument/2006/relationships/image" Target="../media/image11.png"/><Relationship Id="rId1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chart" Target="../charts/chart4.xml"/><Relationship Id="rId3" Type="http://schemas.openxmlformats.org/officeDocument/2006/relationships/image" Target="../media/image4.png"/><Relationship Id="rId7" Type="http://schemas.openxmlformats.org/officeDocument/2006/relationships/image" Target="../media/image9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11" Type="http://schemas.openxmlformats.org/officeDocument/2006/relationships/image" Target="../media/image16.png"/><Relationship Id="rId5" Type="http://schemas.openxmlformats.org/officeDocument/2006/relationships/image" Target="../media/image6.png"/><Relationship Id="rId10" Type="http://schemas.openxmlformats.org/officeDocument/2006/relationships/image" Target="../media/image15.png"/><Relationship Id="rId4" Type="http://schemas.openxmlformats.org/officeDocument/2006/relationships/image" Target="../media/image5.png"/><Relationship Id="rId9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17.png"/><Relationship Id="rId5" Type="http://schemas.openxmlformats.org/officeDocument/2006/relationships/image" Target="../media/image18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323850</xdr:colOff>
      <xdr:row>5</xdr:row>
      <xdr:rowOff>63500</xdr:rowOff>
    </xdr:from>
    <xdr:to>
      <xdr:col>19</xdr:col>
      <xdr:colOff>385632</xdr:colOff>
      <xdr:row>9</xdr:row>
      <xdr:rowOff>52422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6770" y="1189355"/>
          <a:ext cx="1913255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15</xdr:row>
      <xdr:rowOff>217805</xdr:rowOff>
    </xdr:from>
    <xdr:to>
      <xdr:col>8</xdr:col>
      <xdr:colOff>595486</xdr:colOff>
      <xdr:row>32</xdr:row>
      <xdr:rowOff>136745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" y="3362960"/>
          <a:ext cx="5883275" cy="33096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168421</xdr:rowOff>
    </xdr:from>
    <xdr:to>
      <xdr:col>6</xdr:col>
      <xdr:colOff>205409</xdr:colOff>
      <xdr:row>8</xdr:row>
      <xdr:rowOff>7823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3640" y="1501775"/>
          <a:ext cx="2056765" cy="235585"/>
        </a:xfrm>
        <a:prstGeom prst="rect">
          <a:avLst/>
        </a:prstGeom>
      </xdr:spPr>
    </xdr:pic>
    <xdr:clientData/>
  </xdr:twoCellAnchor>
  <xdr:twoCellAnchor editAs="oneCell">
    <xdr:from>
      <xdr:col>2</xdr:col>
      <xdr:colOff>1199323</xdr:colOff>
      <xdr:row>7</xdr:row>
      <xdr:rowOff>184437</xdr:rowOff>
    </xdr:from>
    <xdr:to>
      <xdr:col>4</xdr:col>
      <xdr:colOff>549966</xdr:colOff>
      <xdr:row>9</xdr:row>
      <xdr:rowOff>6993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3320" y="1715770"/>
          <a:ext cx="118745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1212850</xdr:colOff>
      <xdr:row>8</xdr:row>
      <xdr:rowOff>190500</xdr:rowOff>
    </xdr:from>
    <xdr:to>
      <xdr:col>7</xdr:col>
      <xdr:colOff>13528</xdr:colOff>
      <xdr:row>10</xdr:row>
      <xdr:rowOff>16924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7290" y="1920240"/>
          <a:ext cx="2488565" cy="241300"/>
        </a:xfrm>
        <a:prstGeom prst="rect">
          <a:avLst/>
        </a:prstGeom>
      </xdr:spPr>
    </xdr:pic>
    <xdr:clientData/>
  </xdr:twoCellAnchor>
  <xdr:twoCellAnchor editAs="oneCell">
    <xdr:from>
      <xdr:col>3</xdr:col>
      <xdr:colOff>26505</xdr:colOff>
      <xdr:row>10</xdr:row>
      <xdr:rowOff>15044</xdr:rowOff>
    </xdr:from>
    <xdr:to>
      <xdr:col>3</xdr:col>
      <xdr:colOff>602975</xdr:colOff>
      <xdr:row>11</xdr:row>
      <xdr:rowOff>29768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9675" y="2159635"/>
          <a:ext cx="576580" cy="212725"/>
        </a:xfrm>
        <a:prstGeom prst="rect">
          <a:avLst/>
        </a:prstGeom>
      </xdr:spPr>
    </xdr:pic>
    <xdr:clientData/>
  </xdr:twoCellAnchor>
  <xdr:twoCellAnchor>
    <xdr:from>
      <xdr:col>9</xdr:col>
      <xdr:colOff>609600</xdr:colOff>
      <xdr:row>36</xdr:row>
      <xdr:rowOff>110490</xdr:rowOff>
    </xdr:from>
    <xdr:to>
      <xdr:col>16</xdr:col>
      <xdr:colOff>28823</xdr:colOff>
      <xdr:row>50</xdr:row>
      <xdr:rowOff>70734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586105</xdr:colOff>
      <xdr:row>1</xdr:row>
      <xdr:rowOff>19685</xdr:rowOff>
    </xdr:from>
    <xdr:to>
      <xdr:col>11</xdr:col>
      <xdr:colOff>829945</xdr:colOff>
      <xdr:row>1</xdr:row>
      <xdr:rowOff>309245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60285" y="213995"/>
          <a:ext cx="86106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285115</xdr:colOff>
      <xdr:row>32</xdr:row>
      <xdr:rowOff>184150</xdr:rowOff>
    </xdr:from>
    <xdr:to>
      <xdr:col>7</xdr:col>
      <xdr:colOff>551815</xdr:colOff>
      <xdr:row>50</xdr:row>
      <xdr:rowOff>146050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115" y="6720205"/>
          <a:ext cx="5189220" cy="3528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51</xdr:row>
      <xdr:rowOff>53340</xdr:rowOff>
    </xdr:from>
    <xdr:to>
      <xdr:col>8</xdr:col>
      <xdr:colOff>568960</xdr:colOff>
      <xdr:row>64</xdr:row>
      <xdr:rowOff>129540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" y="10353675"/>
          <a:ext cx="6101080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102870</xdr:colOff>
      <xdr:row>7</xdr:row>
      <xdr:rowOff>170180</xdr:rowOff>
    </xdr:from>
    <xdr:to>
      <xdr:col>20</xdr:col>
      <xdr:colOff>1170305</xdr:colOff>
      <xdr:row>11</xdr:row>
      <xdr:rowOff>158750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7970" y="1701800"/>
          <a:ext cx="1913255" cy="8001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168421</xdr:rowOff>
    </xdr:from>
    <xdr:to>
      <xdr:col>6</xdr:col>
      <xdr:colOff>205105</xdr:colOff>
      <xdr:row>8</xdr:row>
      <xdr:rowOff>7766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3640" y="1501775"/>
          <a:ext cx="2056765" cy="235585"/>
        </a:xfrm>
        <a:prstGeom prst="rect">
          <a:avLst/>
        </a:prstGeom>
      </xdr:spPr>
    </xdr:pic>
    <xdr:clientData/>
  </xdr:twoCellAnchor>
  <xdr:twoCellAnchor editAs="oneCell">
    <xdr:from>
      <xdr:col>2</xdr:col>
      <xdr:colOff>1199323</xdr:colOff>
      <xdr:row>7</xdr:row>
      <xdr:rowOff>184437</xdr:rowOff>
    </xdr:from>
    <xdr:to>
      <xdr:col>4</xdr:col>
      <xdr:colOff>550353</xdr:colOff>
      <xdr:row>9</xdr:row>
      <xdr:rowOff>7272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3320" y="1715770"/>
          <a:ext cx="1187450" cy="228600"/>
        </a:xfrm>
        <a:prstGeom prst="rect">
          <a:avLst/>
        </a:prstGeom>
      </xdr:spPr>
    </xdr:pic>
    <xdr:clientData/>
  </xdr:twoCellAnchor>
  <xdr:twoCellAnchor editAs="oneCell">
    <xdr:from>
      <xdr:col>3</xdr:col>
      <xdr:colOff>33020</xdr:colOff>
      <xdr:row>8</xdr:row>
      <xdr:rowOff>182880</xdr:rowOff>
    </xdr:from>
    <xdr:to>
      <xdr:col>7</xdr:col>
      <xdr:colOff>52705</xdr:colOff>
      <xdr:row>10</xdr:row>
      <xdr:rowOff>8890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86660" y="1912620"/>
          <a:ext cx="2488565" cy="241300"/>
        </a:xfrm>
        <a:prstGeom prst="rect">
          <a:avLst/>
        </a:prstGeom>
      </xdr:spPr>
    </xdr:pic>
    <xdr:clientData/>
  </xdr:twoCellAnchor>
  <xdr:twoCellAnchor editAs="oneCell">
    <xdr:from>
      <xdr:col>3</xdr:col>
      <xdr:colOff>26505</xdr:colOff>
      <xdr:row>10</xdr:row>
      <xdr:rowOff>15044</xdr:rowOff>
    </xdr:from>
    <xdr:to>
      <xdr:col>3</xdr:col>
      <xdr:colOff>603085</xdr:colOff>
      <xdr:row>11</xdr:row>
      <xdr:rowOff>29649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9675" y="2159635"/>
          <a:ext cx="576580" cy="212725"/>
        </a:xfrm>
        <a:prstGeom prst="rect">
          <a:avLst/>
        </a:prstGeom>
      </xdr:spPr>
    </xdr:pic>
    <xdr:clientData/>
  </xdr:twoCellAnchor>
  <xdr:twoCellAnchor editAs="oneCell">
    <xdr:from>
      <xdr:col>7</xdr:col>
      <xdr:colOff>455295</xdr:colOff>
      <xdr:row>61</xdr:row>
      <xdr:rowOff>37465</xdr:rowOff>
    </xdr:from>
    <xdr:to>
      <xdr:col>13</xdr:col>
      <xdr:colOff>491490</xdr:colOff>
      <xdr:row>75</xdr:row>
      <xdr:rowOff>73660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77815" y="12319000"/>
          <a:ext cx="4311015" cy="2939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772160</xdr:colOff>
      <xdr:row>61</xdr:row>
      <xdr:rowOff>158115</xdr:rowOff>
    </xdr:from>
    <xdr:to>
      <xdr:col>20</xdr:col>
      <xdr:colOff>1089660</xdr:colOff>
      <xdr:row>74</xdr:row>
      <xdr:rowOff>114300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69500" y="12439650"/>
          <a:ext cx="6101080" cy="2661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16</xdr:row>
      <xdr:rowOff>116840</xdr:rowOff>
    </xdr:from>
    <xdr:to>
      <xdr:col>9</xdr:col>
      <xdr:colOff>551815</xdr:colOff>
      <xdr:row>27</xdr:row>
      <xdr:rowOff>22860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" y="3473450"/>
          <a:ext cx="6701155" cy="208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27</xdr:row>
      <xdr:rowOff>73025</xdr:rowOff>
    </xdr:from>
    <xdr:to>
      <xdr:col>9</xdr:col>
      <xdr:colOff>307340</xdr:colOff>
      <xdr:row>52</xdr:row>
      <xdr:rowOff>61595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5" y="5608955"/>
          <a:ext cx="6463665" cy="494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52</xdr:row>
      <xdr:rowOff>176530</xdr:rowOff>
    </xdr:from>
    <xdr:to>
      <xdr:col>9</xdr:col>
      <xdr:colOff>368300</xdr:colOff>
      <xdr:row>56</xdr:row>
      <xdr:rowOff>24130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5" y="10665460"/>
          <a:ext cx="652462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125730</xdr:colOff>
      <xdr:row>34</xdr:row>
      <xdr:rowOff>15240</xdr:rowOff>
    </xdr:from>
    <xdr:to>
      <xdr:col>16</xdr:col>
      <xdr:colOff>49530</xdr:colOff>
      <xdr:row>37</xdr:row>
      <xdr:rowOff>129540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82690" y="6938010"/>
          <a:ext cx="5699760" cy="708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99060</xdr:colOff>
      <xdr:row>37</xdr:row>
      <xdr:rowOff>102870</xdr:rowOff>
    </xdr:from>
    <xdr:to>
      <xdr:col>16</xdr:col>
      <xdr:colOff>46990</xdr:colOff>
      <xdr:row>40</xdr:row>
      <xdr:rowOff>2540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256020" y="7620000"/>
          <a:ext cx="5723890" cy="494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43180</xdr:colOff>
      <xdr:row>0</xdr:row>
      <xdr:rowOff>62865</xdr:rowOff>
    </xdr:from>
    <xdr:to>
      <xdr:col>11</xdr:col>
      <xdr:colOff>53975</xdr:colOff>
      <xdr:row>1</xdr:row>
      <xdr:rowOff>311785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17360" y="62865"/>
          <a:ext cx="628015" cy="44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133350</xdr:colOff>
      <xdr:row>57</xdr:row>
      <xdr:rowOff>46355</xdr:rowOff>
    </xdr:from>
    <xdr:to>
      <xdr:col>7</xdr:col>
      <xdr:colOff>220980</xdr:colOff>
      <xdr:row>78</xdr:row>
      <xdr:rowOff>103505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102870</xdr:colOff>
      <xdr:row>7</xdr:row>
      <xdr:rowOff>170180</xdr:rowOff>
    </xdr:from>
    <xdr:to>
      <xdr:col>20</xdr:col>
      <xdr:colOff>1170305</xdr:colOff>
      <xdr:row>11</xdr:row>
      <xdr:rowOff>158750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7970" y="1701800"/>
          <a:ext cx="1913255" cy="8001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168421</xdr:rowOff>
    </xdr:from>
    <xdr:to>
      <xdr:col>6</xdr:col>
      <xdr:colOff>205105</xdr:colOff>
      <xdr:row>8</xdr:row>
      <xdr:rowOff>7766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3640" y="1501775"/>
          <a:ext cx="2056765" cy="235585"/>
        </a:xfrm>
        <a:prstGeom prst="rect">
          <a:avLst/>
        </a:prstGeom>
      </xdr:spPr>
    </xdr:pic>
    <xdr:clientData/>
  </xdr:twoCellAnchor>
  <xdr:twoCellAnchor editAs="oneCell">
    <xdr:from>
      <xdr:col>2</xdr:col>
      <xdr:colOff>1199323</xdr:colOff>
      <xdr:row>7</xdr:row>
      <xdr:rowOff>184437</xdr:rowOff>
    </xdr:from>
    <xdr:to>
      <xdr:col>4</xdr:col>
      <xdr:colOff>550353</xdr:colOff>
      <xdr:row>9</xdr:row>
      <xdr:rowOff>7272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3320" y="1715770"/>
          <a:ext cx="1187450" cy="228600"/>
        </a:xfrm>
        <a:prstGeom prst="rect">
          <a:avLst/>
        </a:prstGeom>
      </xdr:spPr>
    </xdr:pic>
    <xdr:clientData/>
  </xdr:twoCellAnchor>
  <xdr:twoCellAnchor editAs="oneCell">
    <xdr:from>
      <xdr:col>3</xdr:col>
      <xdr:colOff>33020</xdr:colOff>
      <xdr:row>8</xdr:row>
      <xdr:rowOff>182880</xdr:rowOff>
    </xdr:from>
    <xdr:to>
      <xdr:col>7</xdr:col>
      <xdr:colOff>52705</xdr:colOff>
      <xdr:row>10</xdr:row>
      <xdr:rowOff>8890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86660" y="1912620"/>
          <a:ext cx="2488565" cy="241300"/>
        </a:xfrm>
        <a:prstGeom prst="rect">
          <a:avLst/>
        </a:prstGeom>
      </xdr:spPr>
    </xdr:pic>
    <xdr:clientData/>
  </xdr:twoCellAnchor>
  <xdr:twoCellAnchor editAs="oneCell">
    <xdr:from>
      <xdr:col>3</xdr:col>
      <xdr:colOff>26505</xdr:colOff>
      <xdr:row>10</xdr:row>
      <xdr:rowOff>15044</xdr:rowOff>
    </xdr:from>
    <xdr:to>
      <xdr:col>3</xdr:col>
      <xdr:colOff>603085</xdr:colOff>
      <xdr:row>11</xdr:row>
      <xdr:rowOff>29649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9675" y="2159635"/>
          <a:ext cx="576580" cy="212725"/>
        </a:xfrm>
        <a:prstGeom prst="rect">
          <a:avLst/>
        </a:prstGeom>
      </xdr:spPr>
    </xdr:pic>
    <xdr:clientData/>
  </xdr:twoCellAnchor>
  <xdr:twoCellAnchor editAs="oneCell">
    <xdr:from>
      <xdr:col>7</xdr:col>
      <xdr:colOff>455295</xdr:colOff>
      <xdr:row>61</xdr:row>
      <xdr:rowOff>37465</xdr:rowOff>
    </xdr:from>
    <xdr:to>
      <xdr:col>13</xdr:col>
      <xdr:colOff>491490</xdr:colOff>
      <xdr:row>75</xdr:row>
      <xdr:rowOff>73660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77815" y="12319000"/>
          <a:ext cx="4311015" cy="2939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772160</xdr:colOff>
      <xdr:row>61</xdr:row>
      <xdr:rowOff>158115</xdr:rowOff>
    </xdr:from>
    <xdr:to>
      <xdr:col>20</xdr:col>
      <xdr:colOff>1089660</xdr:colOff>
      <xdr:row>74</xdr:row>
      <xdr:rowOff>114300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69500" y="12439650"/>
          <a:ext cx="6101080" cy="2661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627958</xdr:colOff>
      <xdr:row>40</xdr:row>
      <xdr:rowOff>171104</xdr:rowOff>
    </xdr:from>
    <xdr:to>
      <xdr:col>15</xdr:col>
      <xdr:colOff>924099</xdr:colOff>
      <xdr:row>44</xdr:row>
      <xdr:rowOff>86246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6254" y="8276013"/>
          <a:ext cx="5933209" cy="71177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47106</xdr:colOff>
      <xdr:row>45</xdr:row>
      <xdr:rowOff>24939</xdr:rowOff>
    </xdr:from>
    <xdr:to>
      <xdr:col>15</xdr:col>
      <xdr:colOff>1008150</xdr:colOff>
      <xdr:row>47</xdr:row>
      <xdr:rowOff>123766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46175" y="9125644"/>
          <a:ext cx="5957339" cy="49714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43180</xdr:colOff>
      <xdr:row>0</xdr:row>
      <xdr:rowOff>62865</xdr:rowOff>
    </xdr:from>
    <xdr:to>
      <xdr:col>11</xdr:col>
      <xdr:colOff>53975</xdr:colOff>
      <xdr:row>1</xdr:row>
      <xdr:rowOff>311785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17360" y="62865"/>
          <a:ext cx="628015" cy="44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16</xdr:row>
      <xdr:rowOff>91440</xdr:rowOff>
    </xdr:from>
    <xdr:to>
      <xdr:col>9</xdr:col>
      <xdr:colOff>403860</xdr:colOff>
      <xdr:row>27</xdr:row>
      <xdr:rowOff>103505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" y="3448050"/>
          <a:ext cx="6553200" cy="2191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315595</xdr:colOff>
      <xdr:row>28</xdr:row>
      <xdr:rowOff>161925</xdr:rowOff>
    </xdr:from>
    <xdr:to>
      <xdr:col>6</xdr:col>
      <xdr:colOff>132080</xdr:colOff>
      <xdr:row>45</xdr:row>
      <xdr:rowOff>29210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86590</xdr:colOff>
      <xdr:row>3</xdr:row>
      <xdr:rowOff>51955</xdr:rowOff>
    </xdr:from>
    <xdr:to>
      <xdr:col>19</xdr:col>
      <xdr:colOff>592067</xdr:colOff>
      <xdr:row>31</xdr:row>
      <xdr:rowOff>168526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018EB62-13CD-97A2-B41B-31917A9E0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9</xdr:row>
      <xdr:rowOff>193675</xdr:rowOff>
    </xdr:from>
    <xdr:to>
      <xdr:col>9</xdr:col>
      <xdr:colOff>315595</xdr:colOff>
      <xdr:row>21</xdr:row>
      <xdr:rowOff>2886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2214880"/>
          <a:ext cx="6167755" cy="21824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95250</xdr:colOff>
      <xdr:row>3</xdr:row>
      <xdr:rowOff>173355</xdr:rowOff>
    </xdr:from>
    <xdr:to>
      <xdr:col>24</xdr:col>
      <xdr:colOff>179705</xdr:colOff>
      <xdr:row>7</xdr:row>
      <xdr:rowOff>100965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58110" y="916305"/>
          <a:ext cx="1913255" cy="8001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</xdr:colOff>
      <xdr:row>0</xdr:row>
      <xdr:rowOff>635</xdr:rowOff>
    </xdr:from>
    <xdr:to>
      <xdr:col>11</xdr:col>
      <xdr:colOff>26670</xdr:colOff>
      <xdr:row>0</xdr:row>
      <xdr:rowOff>290195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8910" y="635"/>
          <a:ext cx="86106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502228</xdr:colOff>
      <xdr:row>22</xdr:row>
      <xdr:rowOff>173181</xdr:rowOff>
    </xdr:from>
    <xdr:to>
      <xdr:col>15</xdr:col>
      <xdr:colOff>381000</xdr:colOff>
      <xdr:row>56</xdr:row>
      <xdr:rowOff>77932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432435</xdr:colOff>
      <xdr:row>3</xdr:row>
      <xdr:rowOff>13970</xdr:rowOff>
    </xdr:from>
    <xdr:to>
      <xdr:col>8</xdr:col>
      <xdr:colOff>440055</xdr:colOff>
      <xdr:row>8</xdr:row>
      <xdr:rowOff>78740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5015" y="756920"/>
          <a:ext cx="366522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893445</xdr:colOff>
      <xdr:row>15</xdr:row>
      <xdr:rowOff>97155</xdr:rowOff>
    </xdr:from>
    <xdr:to>
      <xdr:col>20</xdr:col>
      <xdr:colOff>603885</xdr:colOff>
      <xdr:row>18</xdr:row>
      <xdr:rowOff>173990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385" y="3307080"/>
          <a:ext cx="1607820" cy="671195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</xdr:colOff>
      <xdr:row>0</xdr:row>
      <xdr:rowOff>635</xdr:rowOff>
    </xdr:from>
    <xdr:to>
      <xdr:col>11</xdr:col>
      <xdr:colOff>26670</xdr:colOff>
      <xdr:row>0</xdr:row>
      <xdr:rowOff>290195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8910" y="635"/>
          <a:ext cx="86106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</xdr:colOff>
      <xdr:row>13</xdr:row>
      <xdr:rowOff>91440</xdr:rowOff>
    </xdr:from>
    <xdr:to>
      <xdr:col>9</xdr:col>
      <xdr:colOff>403860</xdr:colOff>
      <xdr:row>25</xdr:row>
      <xdr:rowOff>137160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" y="2905125"/>
          <a:ext cx="6262370" cy="2423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</xdr:colOff>
      <xdr:row>26</xdr:row>
      <xdr:rowOff>42545</xdr:rowOff>
    </xdr:from>
    <xdr:to>
      <xdr:col>9</xdr:col>
      <xdr:colOff>366395</xdr:colOff>
      <xdr:row>57</xdr:row>
      <xdr:rowOff>169545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" y="5431790"/>
          <a:ext cx="6224905" cy="626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55</xdr:row>
      <xdr:rowOff>92075</xdr:rowOff>
    </xdr:from>
    <xdr:to>
      <xdr:col>9</xdr:col>
      <xdr:colOff>483870</xdr:colOff>
      <xdr:row>68</xdr:row>
      <xdr:rowOff>71120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5" y="11226800"/>
          <a:ext cx="6343015" cy="2371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378460</xdr:colOff>
      <xdr:row>15</xdr:row>
      <xdr:rowOff>161925</xdr:rowOff>
    </xdr:from>
    <xdr:to>
      <xdr:col>17</xdr:col>
      <xdr:colOff>882650</xdr:colOff>
      <xdr:row>35</xdr:row>
      <xdr:rowOff>184150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100</xdr:row>
      <xdr:rowOff>68037</xdr:rowOff>
    </xdr:from>
    <xdr:to>
      <xdr:col>22</xdr:col>
      <xdr:colOff>1047750</xdr:colOff>
      <xdr:row>113</xdr:row>
      <xdr:rowOff>163286</xdr:rowOff>
    </xdr:to>
    <xdr:sp macro="" textlink="">
      <xdr:nvSpPr>
        <xdr:cNvPr id="2" name="TextBox 7">
          <a:extLst>
            <a:ext uri="{FF2B5EF4-FFF2-40B4-BE49-F238E27FC236}">
              <a16:creationId xmlns:a16="http://schemas.microsoft.com/office/drawing/2014/main" id="{13C6C17D-2565-4F6A-9E21-6BCEE780A56A}"/>
            </a:ext>
          </a:extLst>
        </xdr:cNvPr>
        <xdr:cNvSpPr txBox="1"/>
      </xdr:nvSpPr>
      <xdr:spPr>
        <a:xfrm>
          <a:off x="636269" y="20634417"/>
          <a:ext cx="17731741" cy="2670809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zh-CN" altLang="en-US" sz="2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 以上本构数据属于局部损伤模型计算范畴，暂未考虑非局部损伤的影响，主要用于常规的结构分析模拟，上述的部分材料参数也可用于其他结构程序中的模型参数定义：</a:t>
          </a:r>
          <a:endParaRPr lang="en-US" altLang="zh-CN" sz="2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2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ABAQUS</a:t>
          </a:r>
          <a:r>
            <a:rPr lang="zh-CN" altLang="en-US" sz="2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中脆性开裂模型、弥散裂缝模型、塑性损伤模型；</a:t>
          </a:r>
          <a:r>
            <a:rPr lang="en-US" altLang="zh-CN" sz="2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ADINA</a:t>
          </a:r>
          <a:r>
            <a:rPr lang="zh-CN" altLang="en-US" sz="2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中的混凝土材料模型；</a:t>
          </a:r>
          <a:r>
            <a:rPr lang="en-US" altLang="zh-CN" sz="2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midas FEA &amp; DIANA</a:t>
          </a:r>
          <a:r>
            <a:rPr lang="zh-CN" altLang="en-US" sz="2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中的总应变裂缝模型；</a:t>
          </a:r>
          <a:r>
            <a:rPr lang="en-US" altLang="zh-CN" sz="2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midas Gen</a:t>
          </a:r>
          <a:r>
            <a:rPr lang="zh-CN" altLang="en-US" sz="2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中的塑性损伤模型等。</a:t>
          </a:r>
          <a:endParaRPr lang="en-US" altLang="zh-CN" sz="2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2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若要对结构或材料的软化段行为进行精确模拟，需使用材料断裂能对本构行为进行规则化处理，以此避免数值病态问题。关于基于断裂能的本构模型，有需求请单独联系</a:t>
          </a:r>
          <a:r>
            <a:rPr lang="en-US" altLang="zh-CN" sz="2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UP</a:t>
          </a:r>
          <a:r>
            <a:rPr lang="zh-CN" altLang="en-US" sz="2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主。</a:t>
          </a:r>
          <a:endParaRPr lang="en-US" altLang="zh-CN" sz="200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25</xdr:col>
      <xdr:colOff>16686</xdr:colOff>
      <xdr:row>4</xdr:row>
      <xdr:rowOff>0</xdr:rowOff>
    </xdr:from>
    <xdr:to>
      <xdr:col>31</xdr:col>
      <xdr:colOff>521998</xdr:colOff>
      <xdr:row>16</xdr:row>
      <xdr:rowOff>63001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526E45-ED4F-476B-ADC6-989C21483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16</xdr:row>
      <xdr:rowOff>105396</xdr:rowOff>
    </xdr:from>
    <xdr:to>
      <xdr:col>31</xdr:col>
      <xdr:colOff>536080</xdr:colOff>
      <xdr:row>29</xdr:row>
      <xdr:rowOff>133252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F84AA7-C90C-49EA-9E94-962FBAA51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374</xdr:colOff>
      <xdr:row>29</xdr:row>
      <xdr:rowOff>199310</xdr:rowOff>
    </xdr:from>
    <xdr:to>
      <xdr:col>31</xdr:col>
      <xdr:colOff>496487</xdr:colOff>
      <xdr:row>43</xdr:row>
      <xdr:rowOff>27648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0787033-A7A4-4B6C-ABF2-41B4E95A7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439644</xdr:colOff>
      <xdr:row>72</xdr:row>
      <xdr:rowOff>12700</xdr:rowOff>
    </xdr:from>
    <xdr:to>
      <xdr:col>31</xdr:col>
      <xdr:colOff>8805</xdr:colOff>
      <xdr:row>83</xdr:row>
      <xdr:rowOff>131233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3E3276B-C619-49A3-88AA-939E82B06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10583</xdr:colOff>
      <xdr:row>84</xdr:row>
      <xdr:rowOff>16185</xdr:rowOff>
    </xdr:from>
    <xdr:to>
      <xdr:col>31</xdr:col>
      <xdr:colOff>202044</xdr:colOff>
      <xdr:row>94</xdr:row>
      <xdr:rowOff>191370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1B165C0-0F63-4EE9-A870-67FD8A0CD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95</xdr:row>
      <xdr:rowOff>20542</xdr:rowOff>
    </xdr:from>
    <xdr:to>
      <xdr:col>31</xdr:col>
      <xdr:colOff>191461</xdr:colOff>
      <xdr:row>108</xdr:row>
      <xdr:rowOff>12076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338F7B8-0E5F-434E-A75E-0EB545430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247650</xdr:colOff>
      <xdr:row>28</xdr:row>
      <xdr:rowOff>127000</xdr:rowOff>
    </xdr:from>
    <xdr:to>
      <xdr:col>14</xdr:col>
      <xdr:colOff>12700</xdr:colOff>
      <xdr:row>57</xdr:row>
      <xdr:rowOff>25400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5B31413-B49F-4F5E-A075-FDB4FE433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25\file\&#26412;&#26500;\&#22522;&#20110;GB50010-2010&#35268;&#33539;&#30340;&#22609;&#24615;&#25439;&#20260;&#27169;&#22411;&#21442;&#25968;&#35745;&#31639;_&#24352;&#30000;V1.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AQUS中塑性损伤模型参数输入"/>
    </sheetNames>
    <sheetDataSet>
      <sheetData sheetId="0">
        <row r="6">
          <cell r="N6" t="str">
            <v>d_c1</v>
          </cell>
          <cell r="O6" t="str">
            <v>d_c2</v>
          </cell>
        </row>
        <row r="7">
          <cell r="I7">
            <v>5.816939999999999E-4</v>
          </cell>
          <cell r="J7">
            <v>18.934144823258041</v>
          </cell>
          <cell r="M7">
            <v>3.3251988798402733E-5</v>
          </cell>
          <cell r="N7">
            <v>1.7869455677438362E-2</v>
          </cell>
          <cell r="O7">
            <v>4.0725083156131436E-2</v>
          </cell>
          <cell r="T7"/>
        </row>
        <row r="8">
          <cell r="I8">
            <v>7.5124619736399582E-4</v>
          </cell>
          <cell r="J8">
            <v>23.346325749020782</v>
          </cell>
          <cell r="M8">
            <v>7.4813912025886308E-5</v>
          </cell>
          <cell r="N8">
            <v>3.2127616730503017E-2</v>
          </cell>
          <cell r="O8">
            <v>7.1885109380753431E-2</v>
          </cell>
          <cell r="T8">
            <v>5.2369738418120371E-5</v>
          </cell>
        </row>
        <row r="9">
          <cell r="I9">
            <v>7.9363424670499485E-4</v>
          </cell>
          <cell r="J9">
            <v>24.328762920901582</v>
          </cell>
          <cell r="M9">
            <v>8.8686309085894612E-5</v>
          </cell>
          <cell r="N9">
            <v>3.6384670685667642E-2</v>
          </cell>
          <cell r="O9">
            <v>8.0969500135856132E-2</v>
          </cell>
          <cell r="T9">
            <v>6.2080416360126229E-5</v>
          </cell>
        </row>
        <row r="10">
          <cell r="I10">
            <v>8.6428099560665987E-4</v>
          </cell>
          <cell r="J10">
            <v>25.851577217563097</v>
          </cell>
          <cell r="M10">
            <v>1.1511646797371985E-4</v>
          </cell>
          <cell r="N10">
            <v>4.4087559860829462E-2</v>
          </cell>
          <cell r="O10">
            <v>9.7159600094948284E-2</v>
          </cell>
          <cell r="T10">
            <v>8.0581527581603872E-5</v>
          </cell>
        </row>
        <row r="11">
          <cell r="I11">
            <v>1.0055744934099897E-3</v>
          </cell>
          <cell r="J11">
            <v>28.455822158634664</v>
          </cell>
          <cell r="M11">
            <v>1.8072964663919436E-4</v>
          </cell>
          <cell r="N11">
            <v>6.1713471151865651E-2</v>
          </cell>
          <cell r="O11">
            <v>0.13305011972082836</v>
          </cell>
          <cell r="T11">
            <v>1.2651075264743605E-4</v>
          </cell>
        </row>
        <row r="12">
          <cell r="I12">
            <v>1.4294549868199796E-3</v>
          </cell>
          <cell r="J12">
            <v>32.870532097954062</v>
          </cell>
          <cell r="M12">
            <v>4.7580128748639578E-4</v>
          </cell>
          <cell r="N12">
            <v>0.13031208160671348</v>
          </cell>
          <cell r="O12">
            <v>0.25905147455834876</v>
          </cell>
          <cell r="T12">
            <v>3.3306090124047704E-4</v>
          </cell>
        </row>
        <row r="13">
          <cell r="I13">
            <v>1.6955219736399594E-3</v>
          </cell>
          <cell r="J13">
            <v>33.5</v>
          </cell>
          <cell r="M13">
            <v>7.2295240735601417E-4</v>
          </cell>
          <cell r="N13">
            <v>0.18256074053207727</v>
          </cell>
          <cell r="O13">
            <v>0.34258497280172173</v>
          </cell>
          <cell r="T13">
            <v>5.0606668514920983E-4</v>
          </cell>
        </row>
        <row r="14">
          <cell r="I14">
            <v>1.8650741710039556E-3</v>
          </cell>
          <cell r="J14">
            <v>33.029460901025189</v>
          </cell>
          <cell r="M14">
            <v>9.0568170793652969E-4</v>
          </cell>
          <cell r="N14">
            <v>0.2210129969944804</v>
          </cell>
          <cell r="O14">
            <v>0.39831881338096986</v>
          </cell>
          <cell r="T14">
            <v>6.3397719555557074E-4</v>
          </cell>
        </row>
        <row r="15">
          <cell r="I15">
            <v>2.034626368367951E-3</v>
          </cell>
          <cell r="J15">
            <v>31.836979803257723</v>
          </cell>
          <cell r="M15">
            <v>1.1093224961210525E-3</v>
          </cell>
          <cell r="N15">
            <v>0.26495848217170059</v>
          </cell>
          <cell r="O15">
            <v>0.45684365611522193</v>
          </cell>
          <cell r="T15">
            <v>7.7652574728473672E-4</v>
          </cell>
        </row>
        <row r="16">
          <cell r="I16">
            <v>2.2041785657319472E-3</v>
          </cell>
          <cell r="J16">
            <v>30.22131678903855</v>
          </cell>
          <cell r="M16">
            <v>1.3252202345962333E-3</v>
          </cell>
          <cell r="N16">
            <v>0.31203708984182188</v>
          </cell>
          <cell r="O16">
            <v>0.51416745464559843</v>
          </cell>
          <cell r="T16">
            <v>9.2765416421736332E-4</v>
          </cell>
        </row>
        <row r="17">
          <cell r="I17">
            <v>2.3737307630959429E-3</v>
          </cell>
          <cell r="J17">
            <v>28.411666465748297</v>
          </cell>
          <cell r="M17">
            <v>1.546732525870508E-3</v>
          </cell>
          <cell r="N17">
            <v>0.36020641511090601</v>
          </cell>
          <cell r="O17">
            <v>0.56778741129964949</v>
          </cell>
          <cell r="T17">
            <v>1.0827127681093556E-3</v>
          </cell>
        </row>
        <row r="18">
          <cell r="I18">
            <v>2.543282960459939E-3</v>
          </cell>
          <cell r="J18">
            <v>26.562479515514081</v>
          </cell>
          <cell r="M18">
            <v>1.7693810645058542E-3</v>
          </cell>
          <cell r="N18">
            <v>0.40785201646211089</v>
          </cell>
          <cell r="O18">
            <v>0.61643545000644762</v>
          </cell>
          <cell r="T18">
            <v>1.2385667451540981E-3</v>
          </cell>
        </row>
        <row r="19">
          <cell r="I19">
            <v>2.7128351578239352E-3</v>
          </cell>
          <cell r="J19">
            <v>24.767306565504928</v>
          </cell>
          <cell r="M19">
            <v>1.9904517424207705E-3</v>
          </cell>
          <cell r="N19">
            <v>0.45380355624828561</v>
          </cell>
          <cell r="O19">
            <v>0.65970582933774313</v>
          </cell>
          <cell r="T19">
            <v>1.3933162196945394E-3</v>
          </cell>
        </row>
        <row r="20">
          <cell r="I20">
            <v>2.8823873551879309E-3</v>
          </cell>
          <cell r="J20">
            <v>23.076657980150532</v>
          </cell>
          <cell r="M20">
            <v>2.2084777908395049E-3</v>
          </cell>
          <cell r="N20">
            <v>0.49729037112462626</v>
          </cell>
          <cell r="O20">
            <v>0.69771896714268933</v>
          </cell>
          <cell r="T20">
            <v>1.5459344535876534E-3</v>
          </cell>
        </row>
        <row r="21">
          <cell r="I21">
            <v>3.051939552551927E-3</v>
          </cell>
          <cell r="J21">
            <v>21.513268403095694</v>
          </cell>
          <cell r="M21">
            <v>2.4227977321936408E-3</v>
          </cell>
          <cell r="N21">
            <v>0.53786823105706372</v>
          </cell>
          <cell r="O21">
            <v>0.73087399910259532</v>
          </cell>
          <cell r="T21">
            <v>1.6959584125355483E-3</v>
          </cell>
        </row>
        <row r="22">
          <cell r="I22">
            <v>3.2214917499159227E-3</v>
          </cell>
          <cell r="J22">
            <v>20.083157372913636</v>
          </cell>
          <cell r="M22">
            <v>2.6332349361789706E-3</v>
          </cell>
          <cell r="N22">
            <v>0.57534017100210311</v>
          </cell>
          <cell r="O22">
            <v>0.75968820781489976</v>
          </cell>
          <cell r="T22">
            <v>1.8432644553252795E-3</v>
          </cell>
        </row>
        <row r="23">
          <cell r="I23">
            <v>3.3910439472799188E-3</v>
          </cell>
          <cell r="J23">
            <v>18.782950802143318</v>
          </cell>
          <cell r="M23">
            <v>2.8398854277366663E-3</v>
          </cell>
          <cell r="N23">
            <v>0.60968458214189303</v>
          </cell>
          <cell r="O23">
            <v>0.78470259408808163</v>
          </cell>
          <cell r="T23">
            <v>1.9879197994156664E-3</v>
          </cell>
        </row>
        <row r="24">
          <cell r="I24">
            <v>3.560596144643915E-3</v>
          </cell>
          <cell r="J24">
            <v>17.604452041986505</v>
          </cell>
          <cell r="M24">
            <v>3.0429853598862105E-3</v>
          </cell>
          <cell r="N24">
            <v>0.64099623653973814</v>
          </cell>
          <cell r="O24">
            <v>0.8064316670870415</v>
          </cell>
          <cell r="T24">
            <v>2.1300897519203475E-3</v>
          </cell>
        </row>
        <row r="25">
          <cell r="I25">
            <v>3.7301483420079111E-3</v>
          </cell>
          <cell r="J25">
            <v>16.537370350632624</v>
          </cell>
          <cell r="M25">
            <v>3.2428318756318247E-3</v>
          </cell>
          <cell r="N25">
            <v>0.66944121329981143</v>
          </cell>
          <cell r="O25">
            <v>0.82534036090948948</v>
          </cell>
          <cell r="T25">
            <v>2.2699823129422774E-3</v>
          </cell>
        </row>
        <row r="26">
          <cell r="I26">
            <v>3.8997005393719064E-3</v>
          </cell>
          <cell r="J26">
            <v>15.570880599606838</v>
          </cell>
          <cell r="M26">
            <v>3.439737845411594E-3</v>
          </cell>
          <cell r="N26">
            <v>0.69522428410797543</v>
          </cell>
          <cell r="O26">
            <v>0.84183646134890111</v>
          </cell>
          <cell r="T26">
            <v>2.4078164917881156E-3</v>
          </cell>
        </row>
        <row r="27">
          <cell r="I27">
            <v>4.0692527367359021E-3</v>
          </cell>
          <cell r="J27">
            <v>14.694468198345781</v>
          </cell>
          <cell r="M27">
            <v>3.634007328590701E-3</v>
          </cell>
          <cell r="N27">
            <v>0.71856641192943105</v>
          </cell>
          <cell r="O27">
            <v>0.85627126608757709</v>
          </cell>
          <cell r="T27">
            <v>2.5438051300134905E-3</v>
          </cell>
        </row>
        <row r="28">
          <cell r="I28">
            <v>4.2388049340998987E-3</v>
          </cell>
          <cell r="J28">
            <v>13.898349255561849</v>
          </cell>
          <cell r="M28">
            <v>3.8259233548304651E-3</v>
          </cell>
          <cell r="N28">
            <v>0.73968994599422611</v>
          </cell>
          <cell r="O28">
            <v>0.86894417792822565</v>
          </cell>
          <cell r="T28">
            <v>2.6781463483813253E-3</v>
          </cell>
        </row>
        <row r="29">
          <cell r="I29">
            <v>4.4083571314638944E-3</v>
          </cell>
          <cell r="J29">
            <v>13.173645304257654</v>
          </cell>
          <cell r="M29">
            <v>4.0157428273275928E-3</v>
          </cell>
          <cell r="N29">
            <v>0.75880940519226425</v>
          </cell>
          <cell r="O29">
            <v>0.88010881594236157</v>
          </cell>
          <cell r="T29">
            <v>2.8110199791293155E-3</v>
          </cell>
        </row>
        <row r="30">
          <cell r="I30">
            <v>4.5779093288278909E-3</v>
          </cell>
          <cell r="J30">
            <v>12.512421007693957</v>
          </cell>
          <cell r="M30">
            <v>4.2036954043954723E-3</v>
          </cell>
          <cell r="N30">
            <v>0.77612616878791263</v>
          </cell>
          <cell r="O30">
            <v>0.8899793628842495</v>
          </cell>
          <cell r="T30">
            <v>2.9425867830768304E-3</v>
          </cell>
        </row>
        <row r="31">
          <cell r="I31">
            <v>4.7474615261918858E-3</v>
          </cell>
          <cell r="J31">
            <v>11.907649205180343</v>
          </cell>
          <cell r="M31">
            <v>4.3899844927017947E-3</v>
          </cell>
          <cell r="N31">
            <v>0.791825807804721</v>
          </cell>
          <cell r="O31">
            <v>0.8987365217548402</v>
          </cell>
          <cell r="T31">
            <v>3.072989144891256E-3</v>
          </cell>
        </row>
        <row r="32">
          <cell r="I32">
            <v>4.9170137235558823E-3</v>
          </cell>
          <cell r="J32">
            <v>11.353140804652785</v>
          </cell>
          <cell r="M32">
            <v>4.5747892638714942E-3</v>
          </cell>
          <cell r="N32">
            <v>0.80607714021272103</v>
          </cell>
          <cell r="O32">
            <v>0.90653281827623478</v>
          </cell>
          <cell r="T32">
            <v>3.2023524847100459E-3</v>
          </cell>
        </row>
        <row r="33">
          <cell r="I33">
            <v>5.086565920919878E-3</v>
          </cell>
          <cell r="J33">
            <v>10.843460885430849</v>
          </cell>
          <cell r="M33">
            <v>4.7582670742630489E-3</v>
          </cell>
          <cell r="N33">
            <v>0.81903236644532229</v>
          </cell>
          <cell r="O33">
            <v>0.9134971794919069</v>
          </cell>
          <cell r="T33">
            <v>3.330786951984134E-3</v>
          </cell>
        </row>
        <row r="34">
          <cell r="I34">
            <v>5.4256703156478703E-3</v>
          </cell>
          <cell r="J34">
            <v>9.9401062697880818</v>
          </cell>
          <cell r="M34">
            <v>5.1217769308705176E-3</v>
          </cell>
          <cell r="N34">
            <v>0.84158521680605458</v>
          </cell>
          <cell r="O34">
            <v>0.92535047062457287</v>
          </cell>
          <cell r="T34">
            <v>3.5852438516093626E-3</v>
          </cell>
        </row>
        <row r="35">
          <cell r="I35">
            <v>5.7647747103758617E-3</v>
          </cell>
          <cell r="J35">
            <v>9.1660485686011128</v>
          </cell>
          <cell r="M35">
            <v>5.4814273402398984E-3</v>
          </cell>
          <cell r="N35">
            <v>0.86040631417753954</v>
          </cell>
          <cell r="O35">
            <v>0.93498829242959414</v>
          </cell>
          <cell r="T35">
            <v>3.8369991381679278E-3</v>
          </cell>
        </row>
        <row r="36">
          <cell r="I36">
            <v>6.103879105103854E-3</v>
          </cell>
          <cell r="J36">
            <v>8.4969326980376625</v>
          </cell>
          <cell r="M36">
            <v>5.8379237107893719E-3</v>
          </cell>
          <cell r="N36">
            <v>0.87622336089976782</v>
          </cell>
          <cell r="O36">
            <v>0.9429152959198599</v>
          </cell>
          <cell r="T36">
            <v>4.0865465975525612E-3</v>
          </cell>
        </row>
        <row r="37">
          <cell r="I37">
            <v>6.4429834998318454E-3</v>
          </cell>
          <cell r="J37">
            <v>7.9138186135864075</v>
          </cell>
          <cell r="M37">
            <v>6.1918146859864884E-3</v>
          </cell>
          <cell r="N37">
            <v>0.88960897942891526</v>
          </cell>
          <cell r="O37">
            <v>0.9495042620118177</v>
          </cell>
          <cell r="T37">
            <v>4.3342702801905421E-3</v>
          </cell>
        </row>
        <row r="38">
          <cell r="I38">
            <v>6.7820878945598377E-3</v>
          </cell>
          <cell r="J38">
            <v>7.4018501147370301</v>
          </cell>
          <cell r="M38">
            <v>6.5435306647106898E-3</v>
          </cell>
          <cell r="N38">
            <v>0.90101427496506314</v>
          </cell>
          <cell r="O38">
            <v>0.95503412968505463</v>
          </cell>
          <cell r="T38">
            <v>4.5804714652974837E-3</v>
          </cell>
        </row>
        <row r="39">
          <cell r="I39">
            <v>7.1211922892878299E-3</v>
          </cell>
          <cell r="J39">
            <v>6.9492661703804774</v>
          </cell>
          <cell r="M39">
            <v>6.8934124168625599E-3</v>
          </cell>
          <cell r="N39">
            <v>0.91079591084609945</v>
          </cell>
          <cell r="O39">
            <v>0.9597162622881571</v>
          </cell>
          <cell r="T39">
            <v>4.8253886918037912E-3</v>
          </cell>
        </row>
        <row r="40">
          <cell r="I40">
            <v>7.4602966840158222E-3</v>
          </cell>
          <cell r="J40">
            <v>6.5466688444579395</v>
          </cell>
          <cell r="M40">
            <v>7.2417322757768552E-3</v>
          </cell>
          <cell r="N40">
            <v>0.91923731213268156</v>
          </cell>
          <cell r="O40">
            <v>0.96371275943796164</v>
          </cell>
          <cell r="T40">
            <v>5.0692125930437973E-3</v>
          </cell>
        </row>
        <row r="41">
          <cell r="I41">
            <v>7.7994010787438128E-3</v>
          </cell>
          <cell r="J41">
            <v>6.1864796919869409</v>
          </cell>
          <cell r="M41">
            <v>7.5887098768663737E-3</v>
          </cell>
          <cell r="N41">
            <v>0.92656503103696952</v>
          </cell>
          <cell r="O41">
            <v>0.9671493645026058</v>
          </cell>
          <cell r="T41">
            <v>5.3120969138064607E-3</v>
          </cell>
        </row>
        <row r="42">
          <cell r="I42">
            <v>8.1385054734718042E-3</v>
          </cell>
          <cell r="J42">
            <v>5.862533717441937</v>
          </cell>
          <cell r="M42">
            <v>7.9345239148219705E-3</v>
          </cell>
          <cell r="N42">
            <v>0.93296129997649213</v>
          </cell>
          <cell r="O42">
            <v>0.97012466952250587</v>
          </cell>
          <cell r="T42">
            <v>5.5541667403753792E-3</v>
          </cell>
        </row>
        <row r="43">
          <cell r="I43">
            <v>8.4776098681997973E-3</v>
          </cell>
          <cell r="J43">
            <v>5.569773803362958</v>
          </cell>
          <cell r="M43">
            <v>8.2793209924631826E-3</v>
          </cell>
          <cell r="N43">
            <v>0.93857364767329954</v>
          </cell>
          <cell r="O43">
            <v>0.9727167575376382</v>
          </cell>
          <cell r="T43">
            <v>5.7955246947242293E-3</v>
          </cell>
        </row>
        <row r="44">
          <cell r="M44">
            <v>8.6232223358252078E-3</v>
          </cell>
          <cell r="N44">
            <v>0.94352227761969942</v>
          </cell>
          <cell r="T44">
            <v>6.0362556350776458E-3</v>
          </cell>
        </row>
        <row r="45">
          <cell r="M45">
            <v>8.9663289337051557E-3</v>
          </cell>
          <cell r="T45">
            <v>6.2764302535936109E-3</v>
          </cell>
        </row>
        <row r="46">
          <cell r="M46">
            <v>9.3087255050876665E-3</v>
          </cell>
          <cell r="T46">
            <v>6.5161078535613641E-3</v>
          </cell>
        </row>
        <row r="47">
          <cell r="M47">
            <v>9.6504835875475398E-3</v>
          </cell>
          <cell r="T47">
            <v>6.755338511283274E-3</v>
          </cell>
        </row>
        <row r="48">
          <cell r="M48">
            <v>9.9916639610092318E-3</v>
          </cell>
          <cell r="T48">
            <v>6.9941647727064637E-3</v>
          </cell>
        </row>
        <row r="49">
          <cell r="M49">
            <v>1.0332318564827811E-2</v>
          </cell>
          <cell r="T49">
            <v>7.2326229953794657E-3</v>
          </cell>
        </row>
        <row r="50">
          <cell r="M50">
            <v>1.0672492025499214E-2</v>
          </cell>
          <cell r="T50">
            <v>7.4707444178494543E-3</v>
          </cell>
        </row>
        <row r="51">
          <cell r="M51">
            <v>1.1012222882810709E-2</v>
          </cell>
          <cell r="T51">
            <v>7.7085560179675E-3</v>
          </cell>
        </row>
        <row r="52">
          <cell r="M52">
            <v>1.135154458067044E-2</v>
          </cell>
          <cell r="T52">
            <v>7.9460812064693041E-3</v>
          </cell>
        </row>
        <row r="53">
          <cell r="M53">
            <v>1.1690486272971316E-2</v>
          </cell>
          <cell r="T53">
            <v>8.1833403910799157E-3</v>
          </cell>
        </row>
        <row r="54">
          <cell r="M54">
            <v>1.202907348306312E-2</v>
          </cell>
          <cell r="T54">
            <v>8.4203514381441906E-3</v>
          </cell>
        </row>
        <row r="55">
          <cell r="M55">
            <v>1.2367328646585437E-2</v>
          </cell>
          <cell r="T55">
            <v>8.6571300526097975E-3</v>
          </cell>
        </row>
        <row r="56">
          <cell r="M56">
            <v>1.2705271560781212E-2</v>
          </cell>
          <cell r="T56">
            <v>8.8936900925468427E-3</v>
          </cell>
        </row>
        <row r="57">
          <cell r="M57">
            <v>1.3042919758368014E-2</v>
          </cell>
          <cell r="T57">
            <v>9.1300438308576162E-3</v>
          </cell>
        </row>
        <row r="58">
          <cell r="M58">
            <v>1.338028882020369E-2</v>
          </cell>
          <cell r="T58">
            <v>9.3662021741425829E-3</v>
          </cell>
        </row>
        <row r="59">
          <cell r="M59">
            <v>1.371739263801753E-2</v>
          </cell>
          <cell r="T59">
            <v>9.6021748466122679E-3</v>
          </cell>
        </row>
        <row r="60">
          <cell r="M60">
            <v>1.4054243636186839E-2</v>
          </cell>
          <cell r="T60">
            <v>9.8379705453307976E-3</v>
          </cell>
        </row>
        <row r="61">
          <cell r="M61">
            <v>1.4390852959760026E-2</v>
          </cell>
          <cell r="T61">
            <v>1.0073597071832023E-2</v>
          </cell>
        </row>
        <row r="62">
          <cell r="M62">
            <v>1.472723063452264E-2</v>
          </cell>
          <cell r="T62">
            <v>1.0309061444165846E-2</v>
          </cell>
        </row>
        <row r="63">
          <cell r="M63">
            <v>1.5063385703800327E-2</v>
          </cell>
          <cell r="T63">
            <v>1.0544369992660223E-2</v>
          </cell>
        </row>
        <row r="64">
          <cell r="M64">
            <v>1.5399326345824693E-2</v>
          </cell>
          <cell r="T64">
            <v>1.0779528442077276E-2</v>
          </cell>
        </row>
        <row r="65">
          <cell r="M65">
            <v>1.573505997478581E-2</v>
          </cell>
          <cell r="T65">
            <v>1.1014541982350072E-2</v>
          </cell>
        </row>
        <row r="66">
          <cell r="M66">
            <v>1.6070593328137376E-2</v>
          </cell>
          <cell r="T66">
            <v>1.1249415329696151E-2</v>
          </cell>
        </row>
        <row r="67">
          <cell r="M67">
            <v>1.6405932542277474E-2</v>
          </cell>
          <cell r="T67">
            <v>1.1484152779594236E-2</v>
          </cell>
        </row>
        <row r="68">
          <cell r="M68">
            <v>1.674108321835904E-2</v>
          </cell>
          <cell r="T68">
            <v>1.1718758252851343E-2</v>
          </cell>
        </row>
        <row r="69">
          <cell r="M69">
            <v>1.7076050479688968E-2</v>
          </cell>
          <cell r="T69">
            <v>1.1953235335782297E-2</v>
          </cell>
        </row>
        <row r="70">
          <cell r="M70">
            <v>1.7410839021940294E-2</v>
          </cell>
          <cell r="T70">
            <v>1.2187587315358185E-2</v>
          </cell>
        </row>
        <row r="74">
          <cell r="M74" t="str">
            <v>d_c1</v>
          </cell>
          <cell r="N74" t="str">
            <v>d_c2</v>
          </cell>
        </row>
        <row r="75">
          <cell r="H75">
            <v>7.8862450220622168E-5</v>
          </cell>
          <cell r="I75">
            <v>2.7250328341610977</v>
          </cell>
          <cell r="L75">
            <v>0</v>
          </cell>
          <cell r="M75">
            <v>0</v>
          </cell>
          <cell r="N75">
            <v>0</v>
          </cell>
          <cell r="R75">
            <v>0</v>
          </cell>
          <cell r="S75">
            <v>0</v>
          </cell>
        </row>
        <row r="76">
          <cell r="H76">
            <v>9.4634940264746599E-5</v>
          </cell>
          <cell r="I76">
            <v>2.421905554024137</v>
          </cell>
          <cell r="L76">
            <v>2.4544993531288071E-5</v>
          </cell>
          <cell r="M76">
            <v>0.23962680721834129</v>
          </cell>
          <cell r="N76">
            <v>0.16558371756868973</v>
          </cell>
          <cell r="R76">
            <v>2.4544993531288071E-5</v>
          </cell>
          <cell r="S76">
            <v>2.4565896879070671E-6</v>
          </cell>
        </row>
        <row r="77">
          <cell r="H77">
            <v>1.1040743030887103E-4</v>
          </cell>
          <cell r="I77">
            <v>2.0207048951837434</v>
          </cell>
          <cell r="L77">
            <v>5.1928230642253494E-5</v>
          </cell>
          <cell r="M77">
            <v>0.44416399053422684</v>
          </cell>
          <cell r="N77">
            <v>0.33474695874594751</v>
          </cell>
          <cell r="R77">
            <v>5.1928230642253494E-5</v>
          </cell>
          <cell r="S77">
            <v>5.1979824308480698E-6</v>
          </cell>
        </row>
        <row r="78">
          <cell r="H78">
            <v>1.2617992035299547E-4</v>
          </cell>
          <cell r="I78">
            <v>1.6950680822077078</v>
          </cell>
          <cell r="L78">
            <v>7.7124650053904411E-5</v>
          </cell>
          <cell r="M78">
            <v>0.58588713943792992</v>
          </cell>
          <cell r="N78">
            <v>0.47115488434173536</v>
          </cell>
          <cell r="R78">
            <v>7.7124650053904411E-5</v>
          </cell>
          <cell r="S78">
            <v>7.7212223243735813E-6</v>
          </cell>
        </row>
        <row r="79">
          <cell r="H79">
            <v>1.4195241039711992E-4</v>
          </cell>
          <cell r="I79">
            <v>1.4488670730257371</v>
          </cell>
          <cell r="L79">
            <v>1.0002219730375508E-4</v>
          </cell>
          <cell r="M79">
            <v>0.68219618798680282</v>
          </cell>
          <cell r="N79">
            <v>0.57478507797246792</v>
          </cell>
          <cell r="R79">
            <v>1.0002219730375508E-4</v>
          </cell>
          <cell r="S79">
            <v>1.0014996469486992E-5</v>
          </cell>
        </row>
        <row r="80">
          <cell r="H80">
            <v>1.5772490044124434E-4</v>
          </cell>
          <cell r="I80">
            <v>1.2625096119832837</v>
          </cell>
          <cell r="L80">
            <v>1.2118787227044811E-4</v>
          </cell>
          <cell r="M80">
            <v>0.74903976261811545</v>
          </cell>
          <cell r="N80">
            <v>0.65272337165363215</v>
          </cell>
          <cell r="R80">
            <v>1.2118787227044811E-4</v>
          </cell>
          <cell r="S80">
            <v>1.2135987424725025E-5</v>
          </cell>
        </row>
        <row r="81">
          <cell r="H81">
            <v>1.7349739048536878E-4</v>
          </cell>
          <cell r="I81">
            <v>1.1187582898390909</v>
          </cell>
          <cell r="L81">
            <v>1.411205255774255E-4</v>
          </cell>
          <cell r="M81">
            <v>0.7968361368877438</v>
          </cell>
          <cell r="N81">
            <v>0.71180899898404737</v>
          </cell>
          <cell r="R81">
            <v>1.411205255774255E-4</v>
          </cell>
          <cell r="S81">
            <v>1.4134084373918399E-5</v>
          </cell>
        </row>
        <row r="82">
          <cell r="H82">
            <v>1.892698805294932E-4</v>
          </cell>
          <cell r="I82">
            <v>1.0053888329108949</v>
          </cell>
          <cell r="L82">
            <v>1.6017392770505191E-4</v>
          </cell>
          <cell r="M82">
            <v>0.83203395690608584</v>
          </cell>
          <cell r="N82">
            <v>0.75725290554670732</v>
          </cell>
          <cell r="R82">
            <v>1.6017392770505191E-4</v>
          </cell>
          <cell r="S82">
            <v>1.604467209749487E-5</v>
          </cell>
        </row>
        <row r="83">
          <cell r="H83">
            <v>2.0504237057361764E-4</v>
          </cell>
          <cell r="I83">
            <v>0.91407193923852381</v>
          </cell>
          <cell r="L83">
            <v>1.7858912865205477E-4</v>
          </cell>
          <cell r="M83">
            <v>0.85865257749013812</v>
          </cell>
          <cell r="N83">
            <v>0.79277348058062813</v>
          </cell>
          <cell r="R83">
            <v>1.7858912865205477E-4</v>
          </cell>
          <cell r="S83">
            <v>1.7891862613578788E-5</v>
          </cell>
        </row>
        <row r="84">
          <cell r="H84">
            <v>2.2081486061774206E-4</v>
          </cell>
          <cell r="I84">
            <v>0.83911230223658362</v>
          </cell>
          <cell r="L84">
            <v>1.9653095059101534E-4</v>
          </cell>
          <cell r="M84">
            <v>0.87925824393011165</v>
          </cell>
          <cell r="N84">
            <v>0.82098303954473428</v>
          </cell>
          <cell r="R84">
            <v>1.9653095059101534E-4</v>
          </cell>
          <cell r="S84">
            <v>1.9692143695597956E-5</v>
          </cell>
        </row>
        <row r="85">
          <cell r="H85">
            <v>2.365873506618665E-4</v>
          </cell>
          <cell r="I85">
            <v>0.7765491678304195</v>
          </cell>
          <cell r="L85">
            <v>2.1411401774485417E-4</v>
          </cell>
          <cell r="M85">
            <v>0.89553621343197665</v>
          </cell>
          <cell r="N85">
            <v>0.84372313951956601</v>
          </cell>
          <cell r="R85">
            <v>2.1411401774485417E-4</v>
          </cell>
          <cell r="S85">
            <v>2.1456981992160567E-5</v>
          </cell>
        </row>
        <row r="86">
          <cell r="H86">
            <v>3.1544980088248867E-4</v>
          </cell>
          <cell r="I86">
            <v>0.5737819135045964</v>
          </cell>
          <cell r="L86">
            <v>2.9884455230566565E-4</v>
          </cell>
          <cell r="M86">
            <v>0.94183404158913842</v>
          </cell>
          <cell r="N86">
            <v>0.91070070242492085</v>
          </cell>
          <cell r="R86">
            <v>2.9884455230566565E-4</v>
          </cell>
          <cell r="S86">
            <v>2.9969271884237913E-5</v>
          </cell>
        </row>
        <row r="87">
          <cell r="H87">
            <v>3.9431225110311081E-4</v>
          </cell>
          <cell r="I87">
            <v>0.46254695243739019</v>
          </cell>
          <cell r="L87">
            <v>3.8092614229957275E-4</v>
          </cell>
          <cell r="M87">
            <v>0.96240749442392903</v>
          </cell>
          <cell r="N87">
            <v>0.94160765887494369</v>
          </cell>
          <cell r="R87">
            <v>3.8092614229957275E-4</v>
          </cell>
          <cell r="S87">
            <v>3.8227744406679526E-5</v>
          </cell>
        </row>
        <row r="88">
          <cell r="H88">
            <v>4.7317470132373301E-4</v>
          </cell>
          <cell r="I88">
            <v>0.39172107661247058</v>
          </cell>
          <cell r="L88">
            <v>4.6183829336656813E-4</v>
          </cell>
          <cell r="M88">
            <v>0.97343823879453883</v>
          </cell>
          <cell r="N88">
            <v>0.95848150549501054</v>
          </cell>
          <cell r="R88">
            <v>4.6183829336656813E-4</v>
          </cell>
          <cell r="S88">
            <v>4.638041349487842E-5</v>
          </cell>
        </row>
        <row r="89">
          <cell r="H89">
            <v>5.520371515443552E-4</v>
          </cell>
          <cell r="I89">
            <v>0.34230778195287914</v>
          </cell>
          <cell r="L89">
            <v>5.4213076433463892E-4</v>
          </cell>
          <cell r="M89">
            <v>0.98008986001967224</v>
          </cell>
          <cell r="N89">
            <v>0.96876078374848595</v>
          </cell>
          <cell r="R89">
            <v>5.4213076433463892E-4</v>
          </cell>
          <cell r="S89">
            <v>5.4482276515634078E-5</v>
          </cell>
        </row>
        <row r="90">
          <cell r="H90">
            <v>6.3089960176497734E-4</v>
          </cell>
          <cell r="I90">
            <v>0.30565339966366262</v>
          </cell>
          <cell r="L90">
            <v>6.2205399237871091E-4</v>
          </cell>
          <cell r="M90">
            <v>0.98443609380750519</v>
          </cell>
          <cell r="N90">
            <v>0.97552017743199571</v>
          </cell>
          <cell r="R90">
            <v>6.2205399237871091E-4</v>
          </cell>
          <cell r="S90">
            <v>6.2558384793886634E-5</v>
          </cell>
        </row>
        <row r="91">
          <cell r="H91">
            <v>7.0976205198559949E-4</v>
          </cell>
          <cell r="I91">
            <v>0.27724586469196</v>
          </cell>
          <cell r="L91">
            <v>7.0173855666141416E-4</v>
          </cell>
          <cell r="M91">
            <v>0.98744642466333965</v>
          </cell>
          <cell r="N91">
            <v>0.98022188077018668</v>
          </cell>
          <cell r="R91">
            <v>7.0173855666141416E-4</v>
          </cell>
          <cell r="S91">
            <v>7.0621798391532343E-5</v>
          </cell>
        </row>
        <row r="92">
          <cell r="H92">
            <v>7.8862450220622163E-4</v>
          </cell>
          <cell r="I92">
            <v>0.25449601779852066</v>
          </cell>
          <cell r="R92">
            <v>7.8125938745113245E-4</v>
          </cell>
          <cell r="S92">
            <v>7.868001005687322E-5</v>
          </cell>
        </row>
        <row r="93">
          <cell r="H93">
            <v>8.6748695242684388E-4</v>
          </cell>
          <cell r="I93">
            <v>0.23580810041076047</v>
          </cell>
          <cell r="R93">
            <v>8.6066266600095642E-4</v>
          </cell>
          <cell r="S93">
            <v>8.6737636465376747E-5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D13:H15" totalsRowShown="0">
  <tableColumns count="5">
    <tableColumn id="1" xr3:uid="{00000000-0010-0000-0000-000001000000}" name="列1" dataDxfId="3"/>
    <tableColumn id="2" xr3:uid="{00000000-0010-0000-0000-000002000000}" name="单波" dataDxfId="2"/>
    <tableColumn id="3" xr3:uid="{00000000-0010-0000-0000-000003000000}" name="沈涛" dataDxfId="1"/>
    <tableColumn id="4" xr3:uid="{00000000-0010-0000-0000-000004000000}" name="吴有明"/>
    <tableColumn id="5" xr3:uid="{00000000-0010-0000-0000-000005000000}" name="杜任远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4" displayName="表1_4" ref="D13:I15" totalsRowShown="0">
  <tableColumns count="6">
    <tableColumn id="1" xr3:uid="{00000000-0010-0000-0100-000001000000}" name="列1"/>
    <tableColumn id="2" xr3:uid="{00000000-0010-0000-0100-000002000000}" name="列2"/>
    <tableColumn id="3" xr3:uid="{00000000-0010-0000-0100-000003000000}" name="列3"/>
    <tableColumn id="4" xr3:uid="{00000000-0010-0000-0100-000004000000}" name="列4"/>
    <tableColumn id="5" xr3:uid="{00000000-0010-0000-0100-000005000000}" name="列5"/>
    <tableColumn id="6" xr3:uid="{00000000-0010-0000-0100-000006000000}" name="列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45"/>
  <sheetViews>
    <sheetView topLeftCell="A16" zoomScale="60" zoomScaleNormal="60" workbookViewId="0">
      <selection activeCell="E13" sqref="E13"/>
    </sheetView>
  </sheetViews>
  <sheetFormatPr defaultColWidth="9" defaultRowHeight="13.9" x14ac:dyDescent="0.4"/>
  <cols>
    <col min="1" max="2" width="9" style="43"/>
    <col min="3" max="3" width="17.796875" style="43" customWidth="1"/>
    <col min="4" max="11" width="9" style="43"/>
    <col min="12" max="12" width="13.46484375" style="43" customWidth="1"/>
    <col min="13" max="15" width="12.86328125" style="43"/>
    <col min="16" max="16" width="14.1328125" style="43"/>
    <col min="17" max="19" width="9" style="43"/>
    <col min="20" max="20" width="12.33203125" style="43" customWidth="1"/>
    <col min="21" max="21" width="17.6640625" style="43" customWidth="1"/>
    <col min="22" max="25" width="9" style="43"/>
    <col min="26" max="26" width="13.1328125" style="43"/>
    <col min="27" max="27" width="21.19921875" style="43" customWidth="1"/>
    <col min="28" max="28" width="9" style="43"/>
    <col min="29" max="29" width="12.1328125" style="43" customWidth="1"/>
    <col min="30" max="30" width="13.86328125" style="43" customWidth="1"/>
    <col min="31" max="32" width="9" style="43"/>
    <col min="33" max="33" width="15.796875" style="43" customWidth="1"/>
    <col min="34" max="16384" width="9" style="43"/>
  </cols>
  <sheetData>
    <row r="1" spans="1:49" ht="15.3" customHeight="1" x14ac:dyDescent="0.4"/>
    <row r="2" spans="1:49" ht="25.15" x14ac:dyDescent="0.4">
      <c r="A2" s="45"/>
      <c r="B2" s="45"/>
      <c r="C2" s="45"/>
      <c r="D2" s="45"/>
      <c r="E2" s="45"/>
      <c r="F2" s="45"/>
      <c r="G2" s="45"/>
      <c r="H2" s="45"/>
      <c r="I2" s="45"/>
      <c r="J2" s="45"/>
      <c r="K2" s="63" t="s">
        <v>4</v>
      </c>
      <c r="L2" s="18"/>
      <c r="M2" s="18"/>
      <c r="N2" s="18"/>
      <c r="O2" s="18"/>
      <c r="P2" s="18"/>
      <c r="Q2" s="18"/>
      <c r="R2" s="18"/>
      <c r="S2" s="18"/>
      <c r="T2" s="134" t="s">
        <v>5</v>
      </c>
      <c r="U2" s="135"/>
      <c r="W2" s="136"/>
      <c r="X2" s="136"/>
      <c r="Y2" s="65"/>
      <c r="Z2" s="68"/>
      <c r="AA2" s="68"/>
      <c r="AC2" s="137"/>
      <c r="AD2" s="137"/>
      <c r="AF2" s="138"/>
      <c r="AG2" s="139"/>
      <c r="AH2" s="65"/>
      <c r="AI2" s="72"/>
      <c r="AJ2" s="72"/>
      <c r="AK2" s="73"/>
    </row>
    <row r="3" spans="1:49" ht="15.75" x14ac:dyDescent="0.4">
      <c r="A3" s="45"/>
      <c r="B3" s="1"/>
      <c r="C3" s="140" t="s">
        <v>6</v>
      </c>
      <c r="D3" s="140"/>
      <c r="E3" s="140"/>
      <c r="F3" s="140"/>
      <c r="G3" s="140"/>
      <c r="H3" s="140"/>
      <c r="I3" s="140"/>
      <c r="J3" s="140"/>
      <c r="K3" s="19" t="s">
        <v>7</v>
      </c>
      <c r="L3" s="20" t="s">
        <v>8</v>
      </c>
      <c r="M3" s="21" t="s">
        <v>9</v>
      </c>
      <c r="N3" s="22" t="s">
        <v>10</v>
      </c>
      <c r="O3" s="23" t="s">
        <v>11</v>
      </c>
      <c r="P3" s="24" t="s">
        <v>12</v>
      </c>
      <c r="Q3" s="22"/>
      <c r="R3" s="22"/>
      <c r="S3" s="22"/>
      <c r="T3" s="32" t="s">
        <v>3</v>
      </c>
      <c r="U3" s="33" t="s">
        <v>2</v>
      </c>
      <c r="Y3" s="69"/>
      <c r="AA3" s="69"/>
      <c r="AD3" s="69"/>
      <c r="AG3" s="74"/>
    </row>
    <row r="4" spans="1:49" ht="15.4" x14ac:dyDescent="0.4">
      <c r="A4" s="45"/>
      <c r="B4" s="3"/>
      <c r="C4" s="140" t="s">
        <v>13</v>
      </c>
      <c r="D4" s="140"/>
      <c r="E4" s="140"/>
      <c r="F4" s="140"/>
      <c r="G4" s="140"/>
      <c r="H4" s="140"/>
      <c r="I4" s="140"/>
      <c r="J4" s="140"/>
      <c r="K4" s="26">
        <v>0.1</v>
      </c>
      <c r="L4" s="27">
        <f>K4*C$10</f>
        <v>3.5E-4</v>
      </c>
      <c r="M4" s="27">
        <f t="shared" ref="M4:M13" si="0">C$8*(C$12*K4-K4^2)/(1+(C$12-2)*K4)</f>
        <v>16.172477992786121</v>
      </c>
      <c r="N4" s="27">
        <f>LN(1+L4)</f>
        <v>3.4993876428798858E-4</v>
      </c>
      <c r="O4" s="28">
        <f>M4*(1+L4)</f>
        <v>16.178138360083597</v>
      </c>
      <c r="P4" s="28">
        <v>0</v>
      </c>
      <c r="Q4" s="27"/>
      <c r="R4" s="27"/>
      <c r="S4" s="27"/>
      <c r="T4" s="35">
        <v>0</v>
      </c>
      <c r="U4" s="36">
        <v>0</v>
      </c>
      <c r="Y4" s="34"/>
      <c r="Z4" s="34"/>
      <c r="AA4" s="34"/>
      <c r="AC4" s="34"/>
      <c r="AD4" s="34"/>
      <c r="AF4" s="70"/>
      <c r="AG4" s="70"/>
    </row>
    <row r="5" spans="1:49" ht="15.4" x14ac:dyDescent="0.4">
      <c r="A5" s="45"/>
      <c r="B5" s="46"/>
      <c r="C5" s="45"/>
      <c r="D5" s="46"/>
      <c r="E5" s="45"/>
      <c r="F5" s="45"/>
      <c r="G5" s="45"/>
      <c r="H5" s="45"/>
      <c r="I5" s="45"/>
      <c r="J5" s="45"/>
      <c r="K5" s="26">
        <v>0.2</v>
      </c>
      <c r="L5" s="27">
        <f t="shared" ref="L5:L60" si="1">K5*C$10</f>
        <v>6.9999999999999999E-4</v>
      </c>
      <c r="M5" s="27">
        <f t="shared" si="0"/>
        <v>32.184793415140909</v>
      </c>
      <c r="N5" s="27">
        <f t="shared" ref="N5:N36" si="2">LN(1+L5)</f>
        <v>6.9975511427326493E-4</v>
      </c>
      <c r="O5" s="28">
        <f t="shared" ref="O5:O36" si="3">M5*(1+L5)</f>
        <v>32.207322770531505</v>
      </c>
      <c r="P5" s="28">
        <f t="shared" ref="P5:P36" si="4">N5-O5/C$9</f>
        <v>5.6317787014652622E-6</v>
      </c>
      <c r="Q5" s="27" t="s">
        <v>14</v>
      </c>
      <c r="R5" s="27"/>
      <c r="S5" s="27"/>
      <c r="T5" s="35">
        <f t="shared" ref="T5:T36" si="5">1-(O5/(C$9*N5))^0.5</f>
        <v>4.0322363178094678E-3</v>
      </c>
      <c r="U5" s="36">
        <f>P5</f>
        <v>5.6317787014652622E-6</v>
      </c>
      <c r="Y5" s="34"/>
      <c r="Z5" s="34"/>
      <c r="AA5" s="34"/>
      <c r="AC5" s="34"/>
      <c r="AD5" s="34"/>
      <c r="AF5" s="70"/>
      <c r="AG5" s="70"/>
    </row>
    <row r="6" spans="1:49" ht="15.4" x14ac:dyDescent="0.4">
      <c r="A6" s="45"/>
      <c r="B6" s="46"/>
      <c r="C6" s="45"/>
      <c r="D6" s="46"/>
      <c r="E6" s="45"/>
      <c r="F6" s="45"/>
      <c r="G6" s="45"/>
      <c r="H6" s="45"/>
      <c r="I6" s="45"/>
      <c r="J6" s="45"/>
      <c r="K6" s="26">
        <v>0.3</v>
      </c>
      <c r="L6" s="27">
        <f t="shared" si="1"/>
        <v>1.0499999999999999E-3</v>
      </c>
      <c r="M6" s="27">
        <f t="shared" si="0"/>
        <v>47.987678260954688</v>
      </c>
      <c r="N6" s="27">
        <f t="shared" si="2"/>
        <v>1.0494491355713738E-3</v>
      </c>
      <c r="O6" s="28">
        <f t="shared" si="3"/>
        <v>48.038065323128691</v>
      </c>
      <c r="P6" s="28">
        <f t="shared" si="4"/>
        <v>1.4146003607393501E-5</v>
      </c>
      <c r="Q6" s="27"/>
      <c r="R6" s="27"/>
      <c r="S6" s="27"/>
      <c r="T6" s="35">
        <f t="shared" si="5"/>
        <v>6.762594417966783E-3</v>
      </c>
      <c r="U6" s="36">
        <f>P6</f>
        <v>1.4146003607393501E-5</v>
      </c>
      <c r="Y6" s="34"/>
      <c r="Z6" s="34"/>
      <c r="AA6" s="34"/>
      <c r="AC6" s="34"/>
      <c r="AD6" s="34"/>
      <c r="AF6" s="70"/>
      <c r="AG6" s="70"/>
    </row>
    <row r="7" spans="1:49" ht="15.4" x14ac:dyDescent="0.4">
      <c r="A7" s="45"/>
      <c r="B7" s="47" t="s">
        <v>15</v>
      </c>
      <c r="C7" s="5">
        <v>140.6</v>
      </c>
      <c r="D7" s="48"/>
      <c r="E7" s="45"/>
      <c r="F7" s="49"/>
      <c r="G7" s="45"/>
      <c r="H7" s="45"/>
      <c r="I7" s="45"/>
      <c r="J7" s="45"/>
      <c r="K7" s="26">
        <v>0.4</v>
      </c>
      <c r="L7" s="27">
        <f t="shared" si="1"/>
        <v>1.4E-3</v>
      </c>
      <c r="M7" s="27">
        <f t="shared" si="0"/>
        <v>63.509348517573123</v>
      </c>
      <c r="N7" s="27">
        <f t="shared" si="2"/>
        <v>1.3990209137074087E-3</v>
      </c>
      <c r="O7" s="28">
        <f t="shared" si="3"/>
        <v>63.598261605497733</v>
      </c>
      <c r="P7" s="28">
        <f t="shared" si="4"/>
        <v>2.8368723933750589E-5</v>
      </c>
      <c r="Q7" s="27"/>
      <c r="R7" s="27"/>
      <c r="S7" s="27"/>
      <c r="T7" s="35">
        <f t="shared" si="5"/>
        <v>1.019070285887369E-2</v>
      </c>
      <c r="U7" s="36">
        <f>P7</f>
        <v>2.8368723933750589E-5</v>
      </c>
      <c r="Y7" s="34"/>
      <c r="Z7" s="34"/>
      <c r="AA7" s="34"/>
      <c r="AC7" s="34"/>
      <c r="AD7" s="34"/>
      <c r="AF7" s="70"/>
      <c r="AG7" s="70"/>
    </row>
    <row r="8" spans="1:49" ht="15.4" x14ac:dyDescent="0.45">
      <c r="A8" s="45"/>
      <c r="B8" s="50" t="s">
        <v>16</v>
      </c>
      <c r="C8" s="51">
        <f>C7*0.95</f>
        <v>133.57</v>
      </c>
      <c r="D8" s="45"/>
      <c r="E8" s="45"/>
      <c r="F8" s="52"/>
      <c r="G8" s="45"/>
      <c r="H8" s="45"/>
      <c r="I8" s="45"/>
      <c r="J8" s="45"/>
      <c r="K8" s="26">
        <v>0.5</v>
      </c>
      <c r="L8" s="27">
        <f t="shared" si="1"/>
        <v>1.7499999999999998E-3</v>
      </c>
      <c r="M8" s="27">
        <f t="shared" si="0"/>
        <v>78.640982450738903</v>
      </c>
      <c r="N8" s="27">
        <f t="shared" si="2"/>
        <v>1.7484705341168031E-3</v>
      </c>
      <c r="O8" s="28">
        <f t="shared" si="3"/>
        <v>78.778604170027691</v>
      </c>
      <c r="P8" s="28">
        <f t="shared" si="4"/>
        <v>5.0655789073102793E-5</v>
      </c>
      <c r="Q8" s="27"/>
      <c r="R8" s="27"/>
      <c r="S8" s="27"/>
      <c r="T8" s="35">
        <f t="shared" si="5"/>
        <v>1.4592209132849532E-2</v>
      </c>
      <c r="U8" s="36">
        <f t="shared" ref="U8:U39" si="6">P8</f>
        <v>5.0655789073102793E-5</v>
      </c>
      <c r="Y8" s="34"/>
      <c r="Z8" s="34"/>
      <c r="AA8" s="34"/>
      <c r="AC8" s="34"/>
      <c r="AD8" s="34"/>
      <c r="AF8" s="70"/>
      <c r="AG8" s="70"/>
    </row>
    <row r="9" spans="1:49" s="41" customFormat="1" ht="15.4" x14ac:dyDescent="0.45">
      <c r="A9" s="53"/>
      <c r="B9" s="12" t="s">
        <v>17</v>
      </c>
      <c r="C9" s="9">
        <v>46400</v>
      </c>
      <c r="D9" s="53"/>
      <c r="E9" s="53"/>
      <c r="F9" s="53"/>
      <c r="G9" s="53"/>
      <c r="H9" s="53"/>
      <c r="I9" s="53"/>
      <c r="J9" s="53"/>
      <c r="K9" s="29">
        <v>0.6</v>
      </c>
      <c r="L9" s="27">
        <f t="shared" si="1"/>
        <v>2.0999999999999999E-3</v>
      </c>
      <c r="M9" s="27">
        <f t="shared" si="0"/>
        <v>93.209295534881107</v>
      </c>
      <c r="N9" s="27">
        <f t="shared" si="2"/>
        <v>2.0977980821461199E-3</v>
      </c>
      <c r="O9" s="28">
        <f t="shared" si="3"/>
        <v>93.405035055504356</v>
      </c>
      <c r="P9" s="28">
        <f t="shared" si="4"/>
        <v>8.4758533536112308E-5</v>
      </c>
      <c r="Q9" s="37"/>
      <c r="R9" s="37"/>
      <c r="S9" s="37"/>
      <c r="T9" s="35">
        <f t="shared" si="5"/>
        <v>2.0410070945676928E-2</v>
      </c>
      <c r="U9" s="36">
        <f t="shared" si="6"/>
        <v>8.4758533536112308E-5</v>
      </c>
      <c r="Y9" s="34"/>
      <c r="Z9" s="34"/>
      <c r="AA9" s="34"/>
      <c r="AB9" s="43"/>
      <c r="AC9" s="34"/>
      <c r="AD9" s="34"/>
      <c r="AE9" s="43"/>
      <c r="AF9" s="70"/>
      <c r="AG9" s="70"/>
      <c r="AU9" s="43"/>
    </row>
    <row r="10" spans="1:49" s="42" customFormat="1" ht="15.4" x14ac:dyDescent="0.4">
      <c r="A10" s="53"/>
      <c r="B10" s="10" t="s">
        <v>18</v>
      </c>
      <c r="C10" s="11">
        <f>3500*10^-6</f>
        <v>3.4999999999999996E-3</v>
      </c>
      <c r="D10" s="53"/>
      <c r="E10" s="53"/>
      <c r="F10" s="53"/>
      <c r="G10" s="53"/>
      <c r="H10" s="53"/>
      <c r="I10" s="53"/>
      <c r="J10" s="53"/>
      <c r="K10" s="30">
        <v>0.7</v>
      </c>
      <c r="L10" s="27">
        <f t="shared" si="1"/>
        <v>2.4499999999999995E-3</v>
      </c>
      <c r="M10" s="27">
        <f t="shared" si="0"/>
        <v>106.92051050587531</v>
      </c>
      <c r="N10" s="27">
        <f t="shared" si="2"/>
        <v>2.4470036430518471E-3</v>
      </c>
      <c r="O10" s="28">
        <f t="shared" si="3"/>
        <v>107.18246575661472</v>
      </c>
      <c r="P10" s="28">
        <f t="shared" si="4"/>
        <v>1.3703670864204705E-4</v>
      </c>
      <c r="Q10" s="38"/>
      <c r="R10" s="38"/>
      <c r="S10" s="38"/>
      <c r="T10" s="35">
        <f t="shared" si="5"/>
        <v>2.8404323227173678E-2</v>
      </c>
      <c r="U10" s="36">
        <f t="shared" si="6"/>
        <v>1.3703670864204705E-4</v>
      </c>
      <c r="V10" s="41"/>
      <c r="W10" s="41"/>
      <c r="X10" s="41"/>
      <c r="Y10" s="34"/>
      <c r="Z10" s="34"/>
      <c r="AA10" s="34"/>
      <c r="AB10" s="43"/>
      <c r="AC10" s="34"/>
      <c r="AD10" s="34"/>
      <c r="AE10" s="43"/>
      <c r="AF10" s="70"/>
      <c r="AG10" s="70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3"/>
      <c r="AV10" s="41"/>
      <c r="AW10" s="41"/>
    </row>
    <row r="11" spans="1:49" ht="15.4" x14ac:dyDescent="0.4">
      <c r="A11" s="45"/>
      <c r="B11" s="54" t="s">
        <v>19</v>
      </c>
      <c r="C11" s="55">
        <f>C8/C10</f>
        <v>38162.857142857145</v>
      </c>
      <c r="D11" s="56"/>
      <c r="E11" s="45"/>
      <c r="F11" s="45"/>
      <c r="G11" s="45"/>
      <c r="H11" s="45"/>
      <c r="I11" s="45"/>
      <c r="J11" s="45"/>
      <c r="K11" s="26">
        <v>0.8</v>
      </c>
      <c r="L11" s="27">
        <f t="shared" si="1"/>
        <v>2.8E-3</v>
      </c>
      <c r="M11" s="27">
        <f t="shared" si="0"/>
        <v>119.23359042147131</v>
      </c>
      <c r="N11" s="27">
        <f t="shared" si="2"/>
        <v>2.796087302001188E-3</v>
      </c>
      <c r="O11" s="28">
        <f t="shared" si="3"/>
        <v>119.56744447465141</v>
      </c>
      <c r="P11" s="28">
        <f t="shared" si="4"/>
        <v>2.1920272280611438E-4</v>
      </c>
      <c r="Q11" s="27"/>
      <c r="R11" s="27"/>
      <c r="S11" s="27"/>
      <c r="T11" s="35">
        <f t="shared" si="5"/>
        <v>3.9998040107236288E-2</v>
      </c>
      <c r="U11" s="36">
        <f t="shared" si="6"/>
        <v>2.1920272280611438E-4</v>
      </c>
      <c r="Y11" s="34"/>
      <c r="Z11" s="34"/>
      <c r="AA11" s="34"/>
      <c r="AC11" s="34"/>
      <c r="AD11" s="34"/>
      <c r="AF11" s="70"/>
      <c r="AG11" s="70"/>
    </row>
    <row r="12" spans="1:49" ht="15.4" x14ac:dyDescent="0.4">
      <c r="A12" s="45"/>
      <c r="B12" s="13" t="s">
        <v>1</v>
      </c>
      <c r="C12" s="14">
        <f>C9/C11</f>
        <v>1.2158418806618252</v>
      </c>
      <c r="D12" s="45"/>
      <c r="E12" s="45"/>
      <c r="F12" s="45"/>
      <c r="G12" s="45"/>
      <c r="H12" s="45"/>
      <c r="I12" s="45"/>
      <c r="J12" s="45"/>
      <c r="K12" s="26">
        <v>0.9</v>
      </c>
      <c r="L12" s="27">
        <f t="shared" si="1"/>
        <v>3.1499999999999996E-3</v>
      </c>
      <c r="M12" s="27">
        <f t="shared" si="0"/>
        <v>129.03078137085282</v>
      </c>
      <c r="N12" s="27">
        <f t="shared" si="2"/>
        <v>3.1450491440728496E-3</v>
      </c>
      <c r="O12" s="28">
        <f t="shared" si="3"/>
        <v>129.437228332171</v>
      </c>
      <c r="P12" s="28">
        <f t="shared" si="4"/>
        <v>3.5545370587950886E-4</v>
      </c>
      <c r="Q12" s="27"/>
      <c r="R12" s="27"/>
      <c r="S12" s="27"/>
      <c r="T12" s="35">
        <f t="shared" si="5"/>
        <v>5.8203886185530629E-2</v>
      </c>
      <c r="U12" s="36">
        <f t="shared" si="6"/>
        <v>3.5545370587950886E-4</v>
      </c>
      <c r="Z12" s="34"/>
      <c r="AA12" s="34"/>
      <c r="AC12" s="34"/>
      <c r="AD12" s="34"/>
      <c r="AF12" s="70"/>
      <c r="AG12" s="70"/>
    </row>
    <row r="13" spans="1:49" ht="15.4" x14ac:dyDescent="0.4">
      <c r="A13" s="45"/>
      <c r="B13" s="15"/>
      <c r="C13" s="16"/>
      <c r="D13" s="45"/>
      <c r="E13" s="45"/>
      <c r="F13" s="45"/>
      <c r="G13" s="45"/>
      <c r="H13" s="45"/>
      <c r="I13" s="45"/>
      <c r="J13" s="45"/>
      <c r="K13" s="29">
        <v>1</v>
      </c>
      <c r="L13" s="27">
        <f t="shared" si="1"/>
        <v>3.4999999999999996E-3</v>
      </c>
      <c r="M13" s="27">
        <f t="shared" si="0"/>
        <v>133.57</v>
      </c>
      <c r="N13" s="27">
        <f t="shared" si="2"/>
        <v>3.4938892542558382E-3</v>
      </c>
      <c r="O13" s="28">
        <f t="shared" si="3"/>
        <v>134.03749500000001</v>
      </c>
      <c r="P13" s="28">
        <f t="shared" si="4"/>
        <v>6.0515013787652751E-4</v>
      </c>
      <c r="Q13" s="37"/>
      <c r="R13" s="37"/>
      <c r="S13" s="37"/>
      <c r="T13" s="35">
        <f t="shared" si="5"/>
        <v>9.0715907028117604E-2</v>
      </c>
      <c r="U13" s="36">
        <f t="shared" si="6"/>
        <v>6.0515013787652751E-4</v>
      </c>
      <c r="W13" s="66"/>
      <c r="X13" s="66"/>
      <c r="Y13" s="34"/>
      <c r="Z13" s="34"/>
      <c r="AA13" s="34"/>
      <c r="AC13" s="34"/>
      <c r="AD13" s="34"/>
      <c r="AF13" s="70"/>
      <c r="AG13" s="70"/>
    </row>
    <row r="14" spans="1:49" ht="15.4" x14ac:dyDescent="0.4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29">
        <v>1.1000000000000001</v>
      </c>
      <c r="L14" s="27">
        <f t="shared" si="1"/>
        <v>3.8500000000000001E-3</v>
      </c>
      <c r="M14" s="27">
        <f>C$8*K14/(2*(K14-1)^2+K14)</f>
        <v>131.18482142857141</v>
      </c>
      <c r="N14" s="27">
        <f t="shared" si="2"/>
        <v>3.842607717450249E-3</v>
      </c>
      <c r="O14" s="28">
        <f t="shared" si="3"/>
        <v>131.68988299107139</v>
      </c>
      <c r="P14" s="28">
        <f t="shared" si="4"/>
        <v>1.0044636874702623E-3</v>
      </c>
      <c r="Q14" s="37"/>
      <c r="R14" s="37"/>
      <c r="S14" s="37"/>
      <c r="T14" s="35">
        <f t="shared" si="5"/>
        <v>0.14058250499559044</v>
      </c>
      <c r="U14" s="36">
        <f t="shared" si="6"/>
        <v>1.0044636874702623E-3</v>
      </c>
      <c r="W14" s="67"/>
      <c r="X14" s="34"/>
      <c r="Y14" s="34"/>
      <c r="Z14" s="34"/>
      <c r="AA14" s="34"/>
      <c r="AC14" s="34"/>
      <c r="AD14" s="34"/>
      <c r="AF14" s="70"/>
      <c r="AG14" s="70"/>
    </row>
    <row r="15" spans="1:49" ht="15.4" x14ac:dyDescent="0.4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29">
        <v>1.2</v>
      </c>
      <c r="L15" s="27">
        <f t="shared" si="1"/>
        <v>4.1999999999999997E-3</v>
      </c>
      <c r="M15" s="27">
        <f t="shared" ref="M15:M60" si="7">C$8*K15/(2*(K15-1)^2+K15)</f>
        <v>125.22187500000001</v>
      </c>
      <c r="N15" s="27">
        <f t="shared" si="2"/>
        <v>4.1912046184680524E-3</v>
      </c>
      <c r="O15" s="28">
        <f t="shared" si="3"/>
        <v>125.74780687500001</v>
      </c>
      <c r="P15" s="28">
        <f t="shared" si="4"/>
        <v>1.4811225737482248E-3</v>
      </c>
      <c r="Q15" s="37"/>
      <c r="R15" s="37"/>
      <c r="S15" s="37"/>
      <c r="T15" s="35">
        <f t="shared" si="5"/>
        <v>0.19587829019763947</v>
      </c>
      <c r="U15" s="36">
        <f t="shared" si="6"/>
        <v>1.4811225737482248E-3</v>
      </c>
      <c r="W15" s="67"/>
      <c r="X15" s="34"/>
      <c r="Y15" s="34"/>
      <c r="Z15" s="34"/>
      <c r="AA15" s="34"/>
      <c r="AC15" s="34"/>
      <c r="AD15" s="34"/>
      <c r="AF15" s="70"/>
      <c r="AG15" s="70"/>
    </row>
    <row r="16" spans="1:49" ht="18" x14ac:dyDescent="0.45">
      <c r="A16" s="141" t="s">
        <v>20</v>
      </c>
      <c r="B16" s="142"/>
      <c r="C16" s="142"/>
      <c r="D16" s="142"/>
      <c r="E16" s="142"/>
      <c r="F16" s="142"/>
      <c r="G16" s="142"/>
      <c r="H16" s="142"/>
      <c r="I16" s="142"/>
      <c r="J16" s="143"/>
      <c r="K16" s="29">
        <v>1.3</v>
      </c>
      <c r="L16" s="27">
        <f t="shared" si="1"/>
        <v>4.5499999999999994E-3</v>
      </c>
      <c r="M16" s="27">
        <f t="shared" si="7"/>
        <v>117.32499999999999</v>
      </c>
      <c r="N16" s="27">
        <f t="shared" si="2"/>
        <v>4.5396800420318909E-3</v>
      </c>
      <c r="O16" s="28">
        <f t="shared" si="3"/>
        <v>117.85882875</v>
      </c>
      <c r="P16" s="28">
        <f t="shared" si="4"/>
        <v>1.9996190775922358E-3</v>
      </c>
      <c r="Q16" s="37"/>
      <c r="R16" s="37"/>
      <c r="S16" s="37"/>
      <c r="T16" s="35">
        <f t="shared" si="5"/>
        <v>0.25198647968085353</v>
      </c>
      <c r="U16" s="36">
        <f t="shared" si="6"/>
        <v>1.9996190775922358E-3</v>
      </c>
      <c r="Y16" s="34"/>
      <c r="Z16" s="34"/>
      <c r="AA16" s="34"/>
      <c r="AC16" s="34"/>
      <c r="AD16" s="34"/>
      <c r="AF16" s="70"/>
      <c r="AG16" s="70"/>
    </row>
    <row r="17" spans="1:47" ht="15.4" x14ac:dyDescent="0.4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29">
        <v>1.4</v>
      </c>
      <c r="L17" s="27">
        <f t="shared" si="1"/>
        <v>4.899999999999999E-3</v>
      </c>
      <c r="M17" s="27">
        <f t="shared" si="7"/>
        <v>108.71976744186047</v>
      </c>
      <c r="N17" s="27">
        <f t="shared" si="2"/>
        <v>4.8880340727758664E-3</v>
      </c>
      <c r="O17" s="28">
        <f t="shared" si="3"/>
        <v>109.25249430232557</v>
      </c>
      <c r="P17" s="28">
        <f t="shared" si="4"/>
        <v>2.5334544541912637E-3</v>
      </c>
      <c r="Q17" s="37"/>
      <c r="R17" s="37"/>
      <c r="S17" s="37"/>
      <c r="T17" s="35">
        <f t="shared" si="5"/>
        <v>0.30595188677109619</v>
      </c>
      <c r="U17" s="36">
        <f t="shared" si="6"/>
        <v>2.5334544541912637E-3</v>
      </c>
      <c r="Y17" s="34"/>
      <c r="Z17" s="34"/>
      <c r="AA17" s="34"/>
      <c r="AC17" s="34"/>
      <c r="AD17" s="34"/>
      <c r="AF17" s="70"/>
      <c r="AG17" s="70"/>
    </row>
    <row r="18" spans="1:47" ht="15.4" x14ac:dyDescent="0.4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29">
        <v>1.5</v>
      </c>
      <c r="L18" s="27">
        <f t="shared" si="1"/>
        <v>5.2499999999999995E-3</v>
      </c>
      <c r="M18" s="27">
        <f t="shared" si="7"/>
        <v>100.17749999999999</v>
      </c>
      <c r="N18" s="27">
        <f t="shared" si="2"/>
        <v>5.236266795246327E-3</v>
      </c>
      <c r="O18" s="28">
        <f t="shared" si="3"/>
        <v>100.70343187499999</v>
      </c>
      <c r="P18" s="28">
        <f t="shared" si="4"/>
        <v>3.0659342117333962E-3</v>
      </c>
      <c r="Q18" s="39"/>
      <c r="R18" s="37"/>
      <c r="S18" s="37"/>
      <c r="T18" s="35">
        <f t="shared" si="5"/>
        <v>0.35619808805085151</v>
      </c>
      <c r="U18" s="36">
        <f t="shared" si="6"/>
        <v>3.0659342117333962E-3</v>
      </c>
      <c r="Y18" s="34"/>
      <c r="Z18" s="34"/>
      <c r="AA18" s="34"/>
      <c r="AC18" s="34"/>
      <c r="AD18" s="34"/>
      <c r="AF18" s="70"/>
      <c r="AG18" s="70"/>
    </row>
    <row r="19" spans="1:47" ht="15.4" x14ac:dyDescent="0.4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29">
        <v>1.6</v>
      </c>
      <c r="L19" s="27">
        <f t="shared" si="1"/>
        <v>5.5999999999999999E-3</v>
      </c>
      <c r="M19" s="27">
        <f t="shared" si="7"/>
        <v>92.117241379310329</v>
      </c>
      <c r="N19" s="27">
        <f t="shared" si="2"/>
        <v>5.5843782939006634E-3</v>
      </c>
      <c r="O19" s="28">
        <f t="shared" si="3"/>
        <v>92.63309793103447</v>
      </c>
      <c r="P19" s="28">
        <f t="shared" si="4"/>
        <v>3.5879753212490584E-3</v>
      </c>
      <c r="Q19" s="37"/>
      <c r="R19" s="37"/>
      <c r="S19" s="37"/>
      <c r="T19" s="35">
        <f t="shared" si="5"/>
        <v>0.40208879985263379</v>
      </c>
      <c r="U19" s="36">
        <f t="shared" si="6"/>
        <v>3.5879753212490584E-3</v>
      </c>
      <c r="Y19" s="34"/>
      <c r="Z19" s="34"/>
      <c r="AA19" s="34"/>
      <c r="AC19" s="34"/>
      <c r="AD19" s="34"/>
      <c r="AF19" s="70"/>
      <c r="AG19" s="70"/>
    </row>
    <row r="20" spans="1:47" ht="15.4" x14ac:dyDescent="0.4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29">
        <v>1.7</v>
      </c>
      <c r="L20" s="27">
        <f t="shared" si="1"/>
        <v>5.9499999999999996E-3</v>
      </c>
      <c r="M20" s="27">
        <f t="shared" si="7"/>
        <v>84.72723880597016</v>
      </c>
      <c r="N20" s="27">
        <f t="shared" si="2"/>
        <v>5.9323686531080957E-3</v>
      </c>
      <c r="O20" s="28">
        <f t="shared" si="3"/>
        <v>85.231365876865681</v>
      </c>
      <c r="P20" s="28">
        <f t="shared" si="4"/>
        <v>4.0954857678308183E-3</v>
      </c>
      <c r="Q20" s="37"/>
      <c r="R20" s="37"/>
      <c r="S20" s="37"/>
      <c r="T20" s="35">
        <f t="shared" si="5"/>
        <v>0.44354933192065527</v>
      </c>
      <c r="U20" s="36">
        <f t="shared" si="6"/>
        <v>4.0954857678308183E-3</v>
      </c>
      <c r="Y20" s="34"/>
      <c r="Z20" s="34"/>
      <c r="AA20" s="34"/>
      <c r="AC20" s="34"/>
      <c r="AD20" s="34"/>
      <c r="AF20" s="70"/>
      <c r="AG20" s="70"/>
    </row>
    <row r="21" spans="1:47" ht="15.4" x14ac:dyDescent="0.4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29">
        <v>1.8</v>
      </c>
      <c r="L21" s="27">
        <f t="shared" si="1"/>
        <v>6.2999999999999992E-3</v>
      </c>
      <c r="M21" s="27">
        <f t="shared" si="7"/>
        <v>78.060389610389606</v>
      </c>
      <c r="N21" s="27">
        <f t="shared" si="2"/>
        <v>6.2802379571504563E-3</v>
      </c>
      <c r="O21" s="28">
        <f t="shared" si="3"/>
        <v>78.552170064935055</v>
      </c>
      <c r="P21" s="28">
        <f t="shared" si="4"/>
        <v>4.5873032574751315E-3</v>
      </c>
      <c r="Q21" s="37"/>
      <c r="R21" s="37"/>
      <c r="S21" s="37"/>
      <c r="T21" s="35">
        <f t="shared" si="5"/>
        <v>0.48080314432101079</v>
      </c>
      <c r="U21" s="36">
        <f t="shared" si="6"/>
        <v>4.5873032574751315E-3</v>
      </c>
      <c r="Y21" s="34"/>
      <c r="Z21" s="34"/>
      <c r="AA21" s="34"/>
      <c r="AC21" s="34"/>
      <c r="AD21" s="34"/>
      <c r="AF21" s="70"/>
      <c r="AG21" s="70"/>
    </row>
    <row r="22" spans="1:47" ht="15.4" x14ac:dyDescent="0.4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29">
        <v>1.9</v>
      </c>
      <c r="L22" s="27">
        <f t="shared" si="1"/>
        <v>6.6499999999999988E-3</v>
      </c>
      <c r="M22" s="27">
        <f t="shared" si="7"/>
        <v>72.097443181818193</v>
      </c>
      <c r="N22" s="27">
        <f t="shared" si="2"/>
        <v>6.6279862902209894E-3</v>
      </c>
      <c r="O22" s="28">
        <f t="shared" si="3"/>
        <v>72.576891178977291</v>
      </c>
      <c r="P22" s="28">
        <f t="shared" si="4"/>
        <v>5.0638291527430306E-3</v>
      </c>
      <c r="Q22" s="37"/>
      <c r="R22" s="37"/>
      <c r="S22" s="37"/>
      <c r="T22" s="35">
        <f t="shared" si="5"/>
        <v>0.51420908380685315</v>
      </c>
      <c r="U22" s="36">
        <f t="shared" si="6"/>
        <v>5.0638291527430306E-3</v>
      </c>
      <c r="Y22" s="34"/>
      <c r="Z22" s="34"/>
      <c r="AA22" s="34"/>
      <c r="AC22" s="34"/>
      <c r="AD22" s="34"/>
      <c r="AF22" s="70"/>
      <c r="AG22" s="70"/>
    </row>
    <row r="23" spans="1:47" s="44" customFormat="1" ht="15.4" x14ac:dyDescent="0.4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29">
        <v>2</v>
      </c>
      <c r="L23" s="27">
        <f t="shared" si="1"/>
        <v>6.9999999999999993E-3</v>
      </c>
      <c r="M23" s="27">
        <f t="shared" si="7"/>
        <v>66.784999999999997</v>
      </c>
      <c r="N23" s="27">
        <f t="shared" si="2"/>
        <v>6.9756137364251382E-3</v>
      </c>
      <c r="O23" s="28">
        <f t="shared" si="3"/>
        <v>67.252494999999996</v>
      </c>
      <c r="P23" s="28">
        <f t="shared" si="4"/>
        <v>5.5262065165975517E-3</v>
      </c>
      <c r="Q23" s="37"/>
      <c r="R23" s="37"/>
      <c r="S23" s="37"/>
      <c r="T23" s="35">
        <f t="shared" si="5"/>
        <v>0.54416885217264066</v>
      </c>
      <c r="U23" s="36">
        <f t="shared" si="6"/>
        <v>5.5262065165975517E-3</v>
      </c>
      <c r="V23" s="41"/>
      <c r="W23" s="41"/>
      <c r="X23" s="41"/>
      <c r="Y23" s="34"/>
      <c r="Z23" s="34"/>
      <c r="AA23" s="34"/>
      <c r="AB23" s="43"/>
      <c r="AC23" s="34"/>
      <c r="AD23" s="34"/>
      <c r="AE23" s="43"/>
      <c r="AF23" s="70"/>
      <c r="AG23" s="70"/>
      <c r="AH23" s="41"/>
      <c r="AI23" s="41"/>
      <c r="AU23" s="43"/>
    </row>
    <row r="24" spans="1:47" ht="15.4" x14ac:dyDescent="0.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29">
        <v>2.1</v>
      </c>
      <c r="L24" s="27">
        <f t="shared" si="1"/>
        <v>7.3499999999999998E-3</v>
      </c>
      <c r="M24" s="27">
        <f t="shared" si="7"/>
        <v>62.056858407079645</v>
      </c>
      <c r="N24" s="27">
        <f t="shared" si="2"/>
        <v>7.3231203797813216E-3</v>
      </c>
      <c r="O24" s="28">
        <f t="shared" si="3"/>
        <v>62.512976316371677</v>
      </c>
      <c r="P24" s="28">
        <f t="shared" si="4"/>
        <v>5.9758579591698627E-3</v>
      </c>
      <c r="Q24" s="37"/>
      <c r="R24" s="37"/>
      <c r="S24" s="37"/>
      <c r="T24" s="35">
        <f t="shared" si="5"/>
        <v>0.57107830710299212</v>
      </c>
      <c r="U24" s="36">
        <f t="shared" si="6"/>
        <v>5.9758579591698627E-3</v>
      </c>
      <c r="Y24" s="34"/>
      <c r="Z24" s="34"/>
      <c r="AA24" s="34"/>
      <c r="AC24" s="34"/>
      <c r="AD24" s="34"/>
      <c r="AF24" s="70"/>
      <c r="AG24" s="70"/>
    </row>
    <row r="25" spans="1:47" ht="15.4" x14ac:dyDescent="0.4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29">
        <v>2.2000000000000002</v>
      </c>
      <c r="L25" s="27">
        <f t="shared" si="1"/>
        <v>7.7000000000000002E-3</v>
      </c>
      <c r="M25" s="27">
        <f t="shared" si="7"/>
        <v>57.845275590551168</v>
      </c>
      <c r="N25" s="27">
        <f t="shared" si="2"/>
        <v>7.6705063042197402E-3</v>
      </c>
      <c r="O25" s="28">
        <f t="shared" si="3"/>
        <v>58.290684212598414</v>
      </c>
      <c r="P25" s="28">
        <f t="shared" si="4"/>
        <v>6.4142415582585672E-3</v>
      </c>
      <c r="Q25" s="37"/>
      <c r="R25" s="37"/>
      <c r="S25" s="37"/>
      <c r="T25" s="35">
        <f t="shared" si="5"/>
        <v>0.59530431795303773</v>
      </c>
      <c r="U25" s="36">
        <f t="shared" si="6"/>
        <v>6.4142415582585672E-3</v>
      </c>
      <c r="Y25" s="34"/>
      <c r="Z25" s="34"/>
      <c r="AA25" s="34"/>
      <c r="AC25" s="34"/>
      <c r="AD25" s="34"/>
      <c r="AF25" s="70"/>
      <c r="AG25" s="70"/>
    </row>
    <row r="26" spans="1:47" ht="15.4" x14ac:dyDescent="0.4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29">
        <v>2.2999999999999998</v>
      </c>
      <c r="L26" s="27">
        <f t="shared" si="1"/>
        <v>8.0499999999999981E-3</v>
      </c>
      <c r="M26" s="27">
        <f t="shared" si="7"/>
        <v>54.086443661971835</v>
      </c>
      <c r="N26" s="27">
        <f t="shared" si="2"/>
        <v>8.0177715935831548E-3</v>
      </c>
      <c r="O26" s="28">
        <f t="shared" si="3"/>
        <v>54.521839533450702</v>
      </c>
      <c r="P26" s="28">
        <f t="shared" si="4"/>
        <v>6.8427319484656831E-3</v>
      </c>
      <c r="Q26" s="39"/>
      <c r="R26" s="37"/>
      <c r="S26" s="37"/>
      <c r="T26" s="35">
        <f t="shared" si="5"/>
        <v>0.61717576813632535</v>
      </c>
      <c r="U26" s="36">
        <f t="shared" si="6"/>
        <v>6.8427319484656831E-3</v>
      </c>
      <c r="Y26" s="34"/>
      <c r="Z26" s="34"/>
      <c r="AA26" s="34"/>
      <c r="AC26" s="34"/>
      <c r="AD26" s="34"/>
      <c r="AF26" s="70"/>
      <c r="AG26" s="70"/>
    </row>
    <row r="27" spans="1:47" ht="15.4" x14ac:dyDescent="0.4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29">
        <v>2.4</v>
      </c>
      <c r="L27" s="27">
        <f t="shared" si="1"/>
        <v>8.3999999999999995E-3</v>
      </c>
      <c r="M27" s="27">
        <f t="shared" si="7"/>
        <v>50.722784810126583</v>
      </c>
      <c r="N27" s="27">
        <f t="shared" si="2"/>
        <v>8.3649163316276715E-3</v>
      </c>
      <c r="O27" s="28">
        <f t="shared" si="3"/>
        <v>51.148856202531647</v>
      </c>
      <c r="P27" s="28">
        <f t="shared" si="4"/>
        <v>7.2625702927800063E-3</v>
      </c>
      <c r="Q27" s="39"/>
      <c r="R27" s="37"/>
      <c r="S27" s="37"/>
      <c r="T27" s="35">
        <f t="shared" si="5"/>
        <v>0.63698198957580088</v>
      </c>
      <c r="U27" s="36">
        <f t="shared" si="6"/>
        <v>7.2625702927800063E-3</v>
      </c>
      <c r="Y27" s="34"/>
      <c r="Z27" s="34"/>
      <c r="AA27" s="34"/>
      <c r="AC27" s="34"/>
      <c r="AD27" s="34"/>
      <c r="AF27" s="70"/>
      <c r="AG27" s="70"/>
    </row>
    <row r="28" spans="1:47" ht="15.4" x14ac:dyDescent="0.4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29">
        <v>2.5</v>
      </c>
      <c r="L28" s="27">
        <f t="shared" si="1"/>
        <v>8.7499999999999991E-3</v>
      </c>
      <c r="M28" s="27">
        <f t="shared" si="7"/>
        <v>47.703571428571422</v>
      </c>
      <c r="N28" s="27">
        <f t="shared" si="2"/>
        <v>8.7119406020215364E-3</v>
      </c>
      <c r="O28" s="28">
        <f t="shared" si="3"/>
        <v>48.120977678571421</v>
      </c>
      <c r="P28" s="28">
        <f t="shared" si="4"/>
        <v>7.6748505658454282E-3</v>
      </c>
      <c r="Q28" s="39"/>
      <c r="R28" s="37"/>
      <c r="S28" s="37"/>
      <c r="T28" s="35">
        <f t="shared" si="5"/>
        <v>0.65497483039669269</v>
      </c>
      <c r="U28" s="36">
        <f t="shared" si="6"/>
        <v>7.6748505658454282E-3</v>
      </c>
      <c r="Y28" s="34"/>
      <c r="Z28" s="34"/>
      <c r="AA28" s="34"/>
      <c r="AC28" s="34"/>
      <c r="AD28" s="34"/>
      <c r="AF28" s="70"/>
      <c r="AG28" s="70"/>
    </row>
    <row r="29" spans="1:47" ht="15.4" x14ac:dyDescent="0.4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29">
        <v>2.6</v>
      </c>
      <c r="L29" s="27">
        <f t="shared" si="1"/>
        <v>9.0999999999999987E-3</v>
      </c>
      <c r="M29" s="27">
        <f t="shared" si="7"/>
        <v>44.984715025906731</v>
      </c>
      <c r="N29" s="27">
        <f t="shared" si="2"/>
        <v>9.0588444883461464E-3</v>
      </c>
      <c r="O29" s="28">
        <f t="shared" si="3"/>
        <v>45.394075932642487</v>
      </c>
      <c r="P29" s="28">
        <f t="shared" si="4"/>
        <v>8.0805238863495416E-3</v>
      </c>
      <c r="Q29" s="27"/>
      <c r="R29" s="27"/>
      <c r="S29" s="27"/>
      <c r="T29" s="35">
        <f t="shared" si="5"/>
        <v>0.67137227715038539</v>
      </c>
      <c r="U29" s="36">
        <f t="shared" si="6"/>
        <v>8.0805238863495416E-3</v>
      </c>
      <c r="Y29" s="34"/>
      <c r="Z29" s="34"/>
      <c r="AA29" s="34"/>
      <c r="AC29" s="34"/>
      <c r="AD29" s="34"/>
      <c r="AF29" s="70"/>
      <c r="AG29" s="70"/>
    </row>
    <row r="30" spans="1:47" ht="15.4" x14ac:dyDescent="0.4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29">
        <v>2.7</v>
      </c>
      <c r="L30" s="27">
        <f t="shared" si="1"/>
        <v>9.4500000000000001E-3</v>
      </c>
      <c r="M30" s="27">
        <f t="shared" si="7"/>
        <v>42.528183962264151</v>
      </c>
      <c r="N30" s="27">
        <f t="shared" si="2"/>
        <v>9.4056280740957184E-3</v>
      </c>
      <c r="O30" s="28">
        <f t="shared" si="3"/>
        <v>42.930075300707543</v>
      </c>
      <c r="P30" s="28">
        <f t="shared" si="4"/>
        <v>8.4804109339942629E-3</v>
      </c>
      <c r="Q30" s="27"/>
      <c r="R30" s="27"/>
      <c r="S30" s="27"/>
      <c r="T30" s="35">
        <f t="shared" si="5"/>
        <v>0.68636253563090843</v>
      </c>
      <c r="U30" s="36">
        <f t="shared" si="6"/>
        <v>8.4804109339942629E-3</v>
      </c>
      <c r="Y30" s="34"/>
      <c r="Z30" s="34"/>
      <c r="AA30" s="34"/>
      <c r="AC30" s="34"/>
      <c r="AD30" s="34"/>
      <c r="AF30" s="70"/>
      <c r="AG30" s="70"/>
    </row>
    <row r="31" spans="1:47" ht="15.4" x14ac:dyDescent="0.4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29">
        <v>2.8</v>
      </c>
      <c r="L31" s="27">
        <f t="shared" si="1"/>
        <v>9.7999999999999979E-3</v>
      </c>
      <c r="M31" s="27">
        <f t="shared" si="7"/>
        <v>40.301293103448288</v>
      </c>
      <c r="N31" s="27">
        <f t="shared" si="2"/>
        <v>9.7522914426783017E-3</v>
      </c>
      <c r="O31" s="28">
        <f t="shared" si="3"/>
        <v>40.696245775862081</v>
      </c>
      <c r="P31" s="28">
        <f t="shared" si="4"/>
        <v>8.875217180267481E-3</v>
      </c>
      <c r="Q31" s="27"/>
      <c r="R31" s="27"/>
      <c r="S31" s="27"/>
      <c r="T31" s="35">
        <f t="shared" si="5"/>
        <v>0.70010802268582406</v>
      </c>
      <c r="U31" s="36">
        <f t="shared" si="6"/>
        <v>8.875217180267481E-3</v>
      </c>
      <c r="Y31" s="34"/>
      <c r="Z31" s="34"/>
      <c r="AA31" s="34"/>
      <c r="AC31" s="34"/>
      <c r="AD31" s="34"/>
      <c r="AF31" s="70"/>
      <c r="AG31" s="70"/>
    </row>
    <row r="32" spans="1:47" ht="15.4" x14ac:dyDescent="0.4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29">
        <v>2.9</v>
      </c>
      <c r="L32" s="27">
        <f t="shared" si="1"/>
        <v>1.0149999999999999E-2</v>
      </c>
      <c r="M32" s="27">
        <f t="shared" si="7"/>
        <v>38.275988142292491</v>
      </c>
      <c r="N32" s="27">
        <f t="shared" si="2"/>
        <v>1.009883467741457E-2</v>
      </c>
      <c r="O32" s="28">
        <f t="shared" si="3"/>
        <v>38.664489421936764</v>
      </c>
      <c r="P32" s="28">
        <f t="shared" si="4"/>
        <v>9.265548267459036E-3</v>
      </c>
      <c r="Q32" s="27"/>
      <c r="R32" s="27"/>
      <c r="S32" s="27"/>
      <c r="T32" s="35">
        <f t="shared" si="5"/>
        <v>0.71274902056817091</v>
      </c>
      <c r="U32" s="36">
        <f t="shared" si="6"/>
        <v>9.265548267459036E-3</v>
      </c>
      <c r="Y32" s="34"/>
      <c r="Z32" s="34"/>
      <c r="AA32" s="34"/>
      <c r="AC32" s="34"/>
      <c r="AD32" s="34"/>
      <c r="AF32" s="70"/>
      <c r="AG32" s="70"/>
    </row>
    <row r="33" spans="1:33" ht="15.4" x14ac:dyDescent="0.4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29">
        <v>3</v>
      </c>
      <c r="L33" s="27">
        <f t="shared" si="1"/>
        <v>1.0499999999999999E-2</v>
      </c>
      <c r="M33" s="27">
        <f t="shared" si="7"/>
        <v>36.42818181818182</v>
      </c>
      <c r="N33" s="27">
        <f t="shared" si="2"/>
        <v>1.0445257861538604E-2</v>
      </c>
      <c r="O33" s="28">
        <f t="shared" si="3"/>
        <v>36.810677727272726</v>
      </c>
      <c r="P33" s="28">
        <f t="shared" si="4"/>
        <v>9.65192428983014E-3</v>
      </c>
      <c r="Q33" s="27"/>
      <c r="R33" s="27"/>
      <c r="S33" s="27"/>
      <c r="T33" s="35">
        <f t="shared" si="5"/>
        <v>0.72440690411904618</v>
      </c>
      <c r="U33" s="36">
        <f t="shared" si="6"/>
        <v>9.65192428983014E-3</v>
      </c>
      <c r="Y33" s="34"/>
      <c r="Z33" s="34"/>
      <c r="AA33" s="34"/>
      <c r="AC33" s="34"/>
      <c r="AD33" s="34"/>
      <c r="AF33" s="70"/>
      <c r="AG33" s="70"/>
    </row>
    <row r="34" spans="1:33" ht="15.4" x14ac:dyDescent="0.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29">
        <v>3.1</v>
      </c>
      <c r="L34" s="27">
        <f t="shared" si="1"/>
        <v>1.0849999999999999E-2</v>
      </c>
      <c r="M34" s="27">
        <f t="shared" si="7"/>
        <v>34.737164429530203</v>
      </c>
      <c r="N34" s="27">
        <f t="shared" si="2"/>
        <v>1.0791561078198668E-2</v>
      </c>
      <c r="O34" s="28">
        <f t="shared" si="3"/>
        <v>35.114062663590609</v>
      </c>
      <c r="P34" s="28">
        <f t="shared" si="4"/>
        <v>1.003479248631094E-2</v>
      </c>
      <c r="Q34" s="27"/>
      <c r="R34" s="27"/>
      <c r="S34" s="27"/>
      <c r="T34" s="35">
        <f t="shared" si="5"/>
        <v>0.73518693186595585</v>
      </c>
      <c r="U34" s="36">
        <f t="shared" si="6"/>
        <v>1.003479248631094E-2</v>
      </c>
      <c r="Y34" s="34"/>
      <c r="Z34" s="34"/>
      <c r="AA34" s="34"/>
      <c r="AC34" s="34"/>
      <c r="AD34" s="34"/>
      <c r="AF34" s="70"/>
      <c r="AG34" s="70"/>
    </row>
    <row r="35" spans="1:33" ht="15.4" x14ac:dyDescent="0.4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29">
        <v>3.2</v>
      </c>
      <c r="L35" s="27">
        <f t="shared" si="1"/>
        <v>1.12E-2</v>
      </c>
      <c r="M35" s="27">
        <f t="shared" si="7"/>
        <v>33.185093167701858</v>
      </c>
      <c r="N35" s="27">
        <f t="shared" si="2"/>
        <v>1.1137744410456021E-2</v>
      </c>
      <c r="O35" s="28">
        <f t="shared" si="3"/>
        <v>33.556766211180125</v>
      </c>
      <c r="P35" s="28">
        <f t="shared" si="4"/>
        <v>1.0414538242111622E-2</v>
      </c>
      <c r="Q35" s="27"/>
      <c r="R35" s="27"/>
      <c r="S35" s="27"/>
      <c r="T35" s="35">
        <f t="shared" si="5"/>
        <v>0.74518063032499138</v>
      </c>
      <c r="U35" s="36">
        <f t="shared" si="6"/>
        <v>1.0414538242111622E-2</v>
      </c>
      <c r="Y35" s="34"/>
      <c r="Z35" s="34"/>
      <c r="AA35" s="34"/>
      <c r="AC35" s="34"/>
      <c r="AD35" s="34"/>
      <c r="AF35" s="70"/>
      <c r="AG35" s="70"/>
    </row>
    <row r="36" spans="1:33" ht="15.4" x14ac:dyDescent="0.4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29">
        <v>3.3</v>
      </c>
      <c r="L36" s="27">
        <f t="shared" si="1"/>
        <v>1.1549999999999998E-2</v>
      </c>
      <c r="M36" s="27">
        <f t="shared" si="7"/>
        <v>31.756556195965416</v>
      </c>
      <c r="N36" s="27">
        <f t="shared" si="2"/>
        <v>1.1483807941285683E-2</v>
      </c>
      <c r="O36" s="28">
        <f t="shared" si="3"/>
        <v>32.123344420028815</v>
      </c>
      <c r="P36" s="28">
        <f t="shared" si="4"/>
        <v>1.0791494483957477E-2</v>
      </c>
      <c r="Q36" s="27"/>
      <c r="R36" s="27"/>
      <c r="S36" s="27"/>
      <c r="T36" s="35">
        <f t="shared" si="5"/>
        <v>0.75446781621698233</v>
      </c>
      <c r="U36" s="36">
        <f t="shared" si="6"/>
        <v>1.0791494483957477E-2</v>
      </c>
      <c r="Y36" s="34"/>
      <c r="Z36" s="34"/>
      <c r="AA36" s="34"/>
      <c r="AC36" s="34"/>
      <c r="AD36" s="34"/>
      <c r="AF36" s="70"/>
      <c r="AG36" s="70"/>
    </row>
    <row r="37" spans="1:33" ht="15.4" x14ac:dyDescent="0.4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29">
        <v>3.4</v>
      </c>
      <c r="L37" s="27">
        <f t="shared" si="1"/>
        <v>1.1899999999999999E-2</v>
      </c>
      <c r="M37" s="27">
        <f t="shared" si="7"/>
        <v>30.438203753351203</v>
      </c>
      <c r="N37" s="27">
        <f t="shared" ref="N37:N60" si="8">LN(1+L37)</f>
        <v>1.1829751753577221E-2</v>
      </c>
      <c r="O37" s="28">
        <f t="shared" ref="O37:O60" si="9">M37*(1+L37)</f>
        <v>30.800418378016083</v>
      </c>
      <c r="P37" s="28">
        <f t="shared" ref="P37:P60" si="10">N37-O37/C$9</f>
        <v>1.1165949633361358E-2</v>
      </c>
      <c r="Q37" s="27"/>
      <c r="R37" s="27"/>
      <c r="S37" s="27"/>
      <c r="T37" s="35">
        <f t="shared" ref="T37:T60" si="11">1-(O37/(C$9*N37))^0.5</f>
        <v>0.76311830494622046</v>
      </c>
      <c r="U37" s="36">
        <f t="shared" si="6"/>
        <v>1.1165949633361358E-2</v>
      </c>
      <c r="Y37" s="34"/>
      <c r="Z37" s="34"/>
      <c r="AA37" s="34"/>
      <c r="AC37" s="34"/>
      <c r="AD37" s="34"/>
      <c r="AF37" s="70"/>
      <c r="AG37" s="70"/>
    </row>
    <row r="38" spans="1:33" ht="15.4" x14ac:dyDescent="0.4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29">
        <v>3.5</v>
      </c>
      <c r="L38" s="27">
        <f t="shared" si="1"/>
        <v>1.2249999999999999E-2</v>
      </c>
      <c r="M38" s="27">
        <f t="shared" si="7"/>
        <v>29.2184375</v>
      </c>
      <c r="N38" s="27">
        <f t="shared" si="8"/>
        <v>1.2175575930133544E-2</v>
      </c>
      <c r="O38" s="28">
        <f t="shared" si="9"/>
        <v>29.576363359375001</v>
      </c>
      <c r="P38" s="28">
        <f t="shared" si="10"/>
        <v>1.1538154306009083E-2</v>
      </c>
      <c r="Q38" s="27"/>
      <c r="R38" s="27"/>
      <c r="S38" s="27"/>
      <c r="T38" s="35">
        <f t="shared" si="11"/>
        <v>0.77119335157914337</v>
      </c>
      <c r="U38" s="36">
        <f t="shared" si="6"/>
        <v>1.1538154306009083E-2</v>
      </c>
      <c r="Y38" s="34"/>
      <c r="Z38" s="34"/>
      <c r="AA38" s="34"/>
      <c r="AC38" s="34"/>
      <c r="AD38" s="34"/>
      <c r="AF38" s="70"/>
      <c r="AG38" s="70"/>
    </row>
    <row r="39" spans="1:33" ht="15.4" x14ac:dyDescent="0.4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29">
        <v>3.6</v>
      </c>
      <c r="L39" s="27">
        <f t="shared" si="1"/>
        <v>1.2599999999999998E-2</v>
      </c>
      <c r="M39" s="27">
        <f t="shared" si="7"/>
        <v>28.087149532710278</v>
      </c>
      <c r="N39" s="27">
        <f t="shared" si="8"/>
        <v>1.2521280553671691E-2</v>
      </c>
      <c r="O39" s="28">
        <f t="shared" si="9"/>
        <v>28.441047616822427</v>
      </c>
      <c r="P39" s="28">
        <f t="shared" si="10"/>
        <v>1.1908326941240173E-2</v>
      </c>
      <c r="Q39" s="27"/>
      <c r="R39" s="27"/>
      <c r="S39" s="27"/>
      <c r="T39" s="35">
        <f t="shared" si="11"/>
        <v>0.7787468659537653</v>
      </c>
      <c r="U39" s="36">
        <f t="shared" si="6"/>
        <v>1.1908326941240173E-2</v>
      </c>
      <c r="Y39" s="34"/>
      <c r="Z39" s="34"/>
      <c r="AA39" s="34"/>
      <c r="AC39" s="34"/>
      <c r="AD39" s="34"/>
      <c r="AF39" s="70"/>
      <c r="AG39" s="70"/>
    </row>
    <row r="40" spans="1:33" ht="15.4" x14ac:dyDescent="0.4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29">
        <v>3.7</v>
      </c>
      <c r="L40" s="27">
        <f t="shared" si="1"/>
        <v>1.295E-2</v>
      </c>
      <c r="M40" s="27">
        <f t="shared" si="7"/>
        <v>27.035503282275709</v>
      </c>
      <c r="N40" s="27">
        <f t="shared" si="8"/>
        <v>1.2866865706823596E-2</v>
      </c>
      <c r="O40" s="28">
        <f t="shared" si="9"/>
        <v>27.385613049781181</v>
      </c>
      <c r="P40" s="28">
        <f t="shared" si="10"/>
        <v>1.2276658529026587E-2</v>
      </c>
      <c r="Q40" s="27"/>
      <c r="R40" s="27"/>
      <c r="S40" s="27"/>
      <c r="T40" s="35">
        <f t="shared" si="11"/>
        <v>0.7858264381560317</v>
      </c>
      <c r="U40" s="36">
        <f t="shared" ref="U40:U60" si="12">P40</f>
        <v>1.2276658529026587E-2</v>
      </c>
      <c r="Y40" s="34"/>
      <c r="Z40" s="34"/>
      <c r="AA40" s="34"/>
      <c r="AC40" s="34"/>
      <c r="AD40" s="34"/>
      <c r="AF40" s="70"/>
      <c r="AG40" s="70"/>
    </row>
    <row r="41" spans="1:33" ht="15.4" x14ac:dyDescent="0.4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29">
        <v>3.8</v>
      </c>
      <c r="L41" s="27">
        <f t="shared" si="1"/>
        <v>1.3299999999999998E-2</v>
      </c>
      <c r="M41" s="27">
        <f t="shared" si="7"/>
        <v>26.055749486652982</v>
      </c>
      <c r="N41" s="27">
        <f t="shared" si="8"/>
        <v>1.32123314721349E-2</v>
      </c>
      <c r="O41" s="28">
        <f t="shared" si="9"/>
        <v>26.402290954825467</v>
      </c>
      <c r="P41" s="28">
        <f t="shared" si="10"/>
        <v>1.264331658086711E-2</v>
      </c>
      <c r="Q41" s="27"/>
      <c r="R41" s="27"/>
      <c r="S41" s="27"/>
      <c r="T41" s="35">
        <f t="shared" si="11"/>
        <v>0.79247420527135382</v>
      </c>
      <c r="U41" s="36">
        <f t="shared" si="12"/>
        <v>1.264331658086711E-2</v>
      </c>
      <c r="Y41" s="34"/>
      <c r="Z41" s="34"/>
      <c r="AA41" s="34"/>
      <c r="AC41" s="34"/>
      <c r="AD41" s="34"/>
      <c r="AF41" s="70"/>
      <c r="AG41" s="70"/>
    </row>
    <row r="42" spans="1:33" ht="15.4" x14ac:dyDescent="0.4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29">
        <v>3.9</v>
      </c>
      <c r="L42" s="27">
        <f t="shared" si="1"/>
        <v>1.3649999999999999E-2</v>
      </c>
      <c r="M42" s="27">
        <f t="shared" si="7"/>
        <v>25.141071428571429</v>
      </c>
      <c r="N42" s="27">
        <f t="shared" si="8"/>
        <v>1.3557677932065722E-2</v>
      </c>
      <c r="O42" s="28">
        <f t="shared" si="9"/>
        <v>25.484247053571426</v>
      </c>
      <c r="P42" s="28">
        <f t="shared" si="10"/>
        <v>1.3008448469704269E-2</v>
      </c>
      <c r="Q42" s="27"/>
      <c r="R42" s="27"/>
      <c r="S42" s="27"/>
      <c r="T42" s="35">
        <f t="shared" si="11"/>
        <v>0.79872758544882727</v>
      </c>
      <c r="U42" s="36">
        <f t="shared" si="12"/>
        <v>1.3008448469704269E-2</v>
      </c>
      <c r="Y42" s="34"/>
      <c r="Z42" s="34"/>
      <c r="AA42" s="34"/>
      <c r="AC42" s="34"/>
      <c r="AD42" s="34"/>
      <c r="AF42" s="70"/>
      <c r="AG42" s="70"/>
    </row>
    <row r="43" spans="1:33" ht="15.4" x14ac:dyDescent="0.4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29">
        <v>4</v>
      </c>
      <c r="L43" s="27">
        <f t="shared" si="1"/>
        <v>1.3999999999999999E-2</v>
      </c>
      <c r="M43" s="27">
        <f t="shared" si="7"/>
        <v>24.285454545454545</v>
      </c>
      <c r="N43" s="27">
        <f t="shared" si="8"/>
        <v>1.3902905168991434E-2</v>
      </c>
      <c r="O43" s="28">
        <f t="shared" si="9"/>
        <v>24.625450909090908</v>
      </c>
      <c r="P43" s="28">
        <f t="shared" si="10"/>
        <v>1.3372184244226544E-2</v>
      </c>
      <c r="Q43" s="27"/>
      <c r="R43" s="27"/>
      <c r="S43" s="27"/>
      <c r="T43" s="35">
        <f t="shared" si="11"/>
        <v>0.80461990104581871</v>
      </c>
      <c r="U43" s="36">
        <f t="shared" si="12"/>
        <v>1.3372184244226544E-2</v>
      </c>
      <c r="Y43" s="34"/>
      <c r="Z43" s="34"/>
      <c r="AA43" s="34"/>
      <c r="AC43" s="34"/>
      <c r="AD43" s="34"/>
      <c r="AF43" s="70"/>
      <c r="AG43" s="70"/>
    </row>
    <row r="44" spans="1:33" ht="15.4" x14ac:dyDescent="0.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29">
        <v>4.0999999999999996</v>
      </c>
      <c r="L44" s="27">
        <f t="shared" si="1"/>
        <v>1.4349999999999996E-2</v>
      </c>
      <c r="M44" s="27">
        <f t="shared" si="7"/>
        <v>23.483576329331051</v>
      </c>
      <c r="N44" s="27">
        <f t="shared" si="8"/>
        <v>1.4248013265201467E-2</v>
      </c>
      <c r="O44" s="28">
        <f t="shared" si="9"/>
        <v>23.820565649656952</v>
      </c>
      <c r="P44" s="28">
        <f t="shared" si="10"/>
        <v>1.3734639005510585E-2</v>
      </c>
      <c r="Q44" s="27"/>
      <c r="R44" s="27"/>
      <c r="S44" s="27"/>
      <c r="T44" s="35">
        <f t="shared" si="11"/>
        <v>0.81018090896981576</v>
      </c>
      <c r="U44" s="36">
        <f t="shared" si="12"/>
        <v>1.3734639005510585E-2</v>
      </c>
      <c r="Y44" s="34"/>
      <c r="Z44" s="34"/>
      <c r="AA44" s="34"/>
      <c r="AC44" s="34"/>
      <c r="AD44" s="34"/>
      <c r="AF44" s="70"/>
      <c r="AG44" s="70"/>
    </row>
    <row r="45" spans="1:33" ht="15.4" x14ac:dyDescent="0.4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29">
        <v>4.2</v>
      </c>
      <c r="L45" s="27">
        <f t="shared" si="1"/>
        <v>1.47E-2</v>
      </c>
      <c r="M45" s="27">
        <f t="shared" si="7"/>
        <v>22.730713128038897</v>
      </c>
      <c r="N45" s="27">
        <f t="shared" si="8"/>
        <v>1.4593002302900086E-2</v>
      </c>
      <c r="O45" s="28">
        <f t="shared" si="9"/>
        <v>23.064854611021065</v>
      </c>
      <c r="P45" s="28">
        <f t="shared" si="10"/>
        <v>1.4095914919041873E-2</v>
      </c>
      <c r="Q45" s="27"/>
      <c r="R45" s="27"/>
      <c r="S45" s="27"/>
      <c r="T45" s="35">
        <f t="shared" si="11"/>
        <v>0.81543725326065664</v>
      </c>
      <c r="U45" s="36">
        <f t="shared" si="12"/>
        <v>1.4095914919041873E-2</v>
      </c>
      <c r="Y45" s="34"/>
      <c r="Z45" s="34"/>
      <c r="AA45" s="34"/>
      <c r="AC45" s="34"/>
      <c r="AD45" s="34"/>
      <c r="AF45" s="70"/>
      <c r="AG45" s="70"/>
    </row>
    <row r="46" spans="1:33" ht="15.4" x14ac:dyDescent="0.4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29">
        <v>4.3</v>
      </c>
      <c r="L46" s="27">
        <f t="shared" si="1"/>
        <v>1.5049999999999997E-2</v>
      </c>
      <c r="M46" s="27">
        <f t="shared" si="7"/>
        <v>22.022661042944787</v>
      </c>
      <c r="N46" s="27">
        <f t="shared" si="8"/>
        <v>1.4937872364207164E-2</v>
      </c>
      <c r="O46" s="28">
        <f t="shared" si="9"/>
        <v>22.354102091641106</v>
      </c>
      <c r="P46" s="28">
        <f t="shared" si="10"/>
        <v>1.4456102922576968E-2</v>
      </c>
      <c r="Q46" s="27"/>
      <c r="R46" s="27"/>
      <c r="S46" s="27"/>
      <c r="T46" s="35">
        <f t="shared" si="11"/>
        <v>0.82041285239308115</v>
      </c>
      <c r="U46" s="36">
        <f t="shared" si="12"/>
        <v>1.4456102922576968E-2</v>
      </c>
      <c r="Y46" s="34"/>
      <c r="Z46" s="34"/>
      <c r="AA46" s="34"/>
      <c r="AC46" s="34"/>
      <c r="AD46" s="34"/>
      <c r="AF46" s="70"/>
      <c r="AG46" s="70"/>
    </row>
    <row r="47" spans="1:33" ht="15.4" x14ac:dyDescent="0.4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29">
        <v>4.4000000000000004</v>
      </c>
      <c r="L47" s="27">
        <f t="shared" si="1"/>
        <v>1.54E-2</v>
      </c>
      <c r="M47" s="27">
        <f t="shared" si="7"/>
        <v>21.355668604651161</v>
      </c>
      <c r="N47" s="27">
        <f t="shared" si="8"/>
        <v>1.5282623531156982E-2</v>
      </c>
      <c r="O47" s="28">
        <f t="shared" si="9"/>
        <v>21.684545901162789</v>
      </c>
      <c r="P47" s="28">
        <f t="shared" si="10"/>
        <v>1.4815284179838819E-2</v>
      </c>
      <c r="Q47" s="27"/>
      <c r="R47" s="27"/>
      <c r="S47" s="27"/>
      <c r="T47" s="35">
        <f t="shared" si="11"/>
        <v>0.82512923165496033</v>
      </c>
      <c r="U47" s="36">
        <f t="shared" si="12"/>
        <v>1.4815284179838819E-2</v>
      </c>
      <c r="Z47" s="34"/>
      <c r="AA47" s="34"/>
      <c r="AC47" s="34"/>
      <c r="AD47" s="34"/>
      <c r="AF47" s="70"/>
      <c r="AG47" s="70"/>
    </row>
    <row r="48" spans="1:33" ht="15.4" x14ac:dyDescent="0.4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29">
        <v>4.5</v>
      </c>
      <c r="L48" s="27">
        <f t="shared" si="1"/>
        <v>1.575E-2</v>
      </c>
      <c r="M48" s="27">
        <f t="shared" si="7"/>
        <v>20.726379310344825</v>
      </c>
      <c r="N48" s="27">
        <f t="shared" si="8"/>
        <v>1.5627255885699007E-2</v>
      </c>
      <c r="O48" s="28">
        <f t="shared" si="9"/>
        <v>21.052819784482754</v>
      </c>
      <c r="P48" s="28">
        <f t="shared" si="10"/>
        <v>1.5173531321378258E-2</v>
      </c>
      <c r="Q48" s="27"/>
      <c r="R48" s="27"/>
      <c r="S48" s="27"/>
      <c r="T48" s="35">
        <f t="shared" si="11"/>
        <v>0.82960580920160965</v>
      </c>
      <c r="U48" s="36">
        <f t="shared" si="12"/>
        <v>1.5173531321378258E-2</v>
      </c>
      <c r="Z48" s="34"/>
      <c r="AA48" s="34"/>
      <c r="AC48" s="34"/>
      <c r="AD48" s="34"/>
      <c r="AF48" s="70"/>
      <c r="AG48" s="70"/>
    </row>
    <row r="49" spans="1:33" ht="15.4" x14ac:dyDescent="0.4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29">
        <v>4.5999999999999996</v>
      </c>
      <c r="L49" s="27">
        <f t="shared" si="1"/>
        <v>1.6099999999999996E-2</v>
      </c>
      <c r="M49" s="27">
        <f t="shared" si="7"/>
        <v>20.131782437745741</v>
      </c>
      <c r="N49" s="27">
        <f t="shared" si="8"/>
        <v>1.5971769509698665E-2</v>
      </c>
      <c r="O49" s="28">
        <f t="shared" si="9"/>
        <v>20.455904134993446</v>
      </c>
      <c r="P49" s="28">
        <f t="shared" si="10"/>
        <v>1.5530909506789325E-2</v>
      </c>
      <c r="Q49" s="27"/>
      <c r="R49" s="27"/>
      <c r="S49" s="27"/>
      <c r="T49" s="35">
        <f t="shared" si="11"/>
        <v>0.8338601429394199</v>
      </c>
      <c r="U49" s="36">
        <f t="shared" si="12"/>
        <v>1.5530909506789325E-2</v>
      </c>
      <c r="Z49" s="34"/>
      <c r="AA49" s="34"/>
      <c r="AC49" s="34"/>
      <c r="AD49" s="34"/>
      <c r="AF49" s="70"/>
      <c r="AG49" s="70"/>
    </row>
    <row r="50" spans="1:33" ht="15.4" x14ac:dyDescent="0.4">
      <c r="A50" s="142"/>
      <c r="B50" s="142"/>
      <c r="C50" s="142"/>
      <c r="D50" s="142"/>
      <c r="E50" s="142"/>
      <c r="F50" s="45"/>
      <c r="G50" s="45"/>
      <c r="H50" s="45"/>
      <c r="I50" s="45"/>
      <c r="J50" s="45"/>
      <c r="K50" s="29">
        <v>4.7</v>
      </c>
      <c r="L50" s="27">
        <f t="shared" si="1"/>
        <v>1.6449999999999999E-2</v>
      </c>
      <c r="M50" s="27">
        <f t="shared" si="7"/>
        <v>19.569170822942638</v>
      </c>
      <c r="N50" s="27">
        <f t="shared" si="8"/>
        <v>1.6316164484936148E-2</v>
      </c>
      <c r="O50" s="28">
        <f t="shared" si="9"/>
        <v>19.891083682980046</v>
      </c>
      <c r="P50" s="28">
        <f t="shared" si="10"/>
        <v>1.5887477336596061E-2</v>
      </c>
      <c r="Q50" s="27"/>
      <c r="R50" s="27"/>
      <c r="S50" s="27"/>
      <c r="T50" s="35">
        <f t="shared" si="11"/>
        <v>0.83790814419938142</v>
      </c>
      <c r="U50" s="36">
        <f t="shared" si="12"/>
        <v>1.5887477336596061E-2</v>
      </c>
      <c r="Z50" s="34"/>
      <c r="AA50" s="34"/>
      <c r="AC50" s="34"/>
      <c r="AD50" s="34"/>
      <c r="AF50" s="70"/>
      <c r="AG50" s="70"/>
    </row>
    <row r="51" spans="1:33" ht="15.4" x14ac:dyDescent="0.4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29">
        <v>4.8</v>
      </c>
      <c r="L51" s="27">
        <f t="shared" si="1"/>
        <v>1.6799999999999999E-2</v>
      </c>
      <c r="M51" s="27">
        <f t="shared" si="7"/>
        <v>19.036104513064132</v>
      </c>
      <c r="N51" s="27">
        <f t="shared" si="8"/>
        <v>1.666044089310717E-2</v>
      </c>
      <c r="O51" s="28">
        <f t="shared" si="9"/>
        <v>19.355911068883607</v>
      </c>
      <c r="P51" s="28">
        <f t="shared" si="10"/>
        <v>1.6243287637312264E-2</v>
      </c>
      <c r="Q51" s="27"/>
      <c r="R51" s="27"/>
      <c r="S51" s="27"/>
      <c r="T51" s="35">
        <f t="shared" si="11"/>
        <v>0.84176426317783648</v>
      </c>
      <c r="U51" s="36">
        <f t="shared" si="12"/>
        <v>1.6243287637312264E-2</v>
      </c>
      <c r="Z51" s="34"/>
      <c r="AA51" s="34"/>
      <c r="AC51" s="34"/>
      <c r="AD51" s="34"/>
      <c r="AF51" s="70"/>
      <c r="AG51" s="70"/>
    </row>
    <row r="52" spans="1:33" ht="15.4" x14ac:dyDescent="0.4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29">
        <v>4.9000000000000004</v>
      </c>
      <c r="L52" s="27">
        <f t="shared" si="1"/>
        <v>1.7149999999999999E-2</v>
      </c>
      <c r="M52" s="27">
        <f t="shared" si="7"/>
        <v>18.53037938844847</v>
      </c>
      <c r="N52" s="27">
        <f t="shared" si="8"/>
        <v>1.7004598815823765E-2</v>
      </c>
      <c r="O52" s="28">
        <f t="shared" si="9"/>
        <v>18.848175394960361</v>
      </c>
      <c r="P52" s="28">
        <f t="shared" si="10"/>
        <v>1.6598388139208241E-2</v>
      </c>
      <c r="Q52" s="27"/>
      <c r="R52" s="27"/>
      <c r="S52" s="27"/>
      <c r="T52" s="35">
        <f t="shared" si="11"/>
        <v>0.8454416503103207</v>
      </c>
      <c r="U52" s="36">
        <f t="shared" si="12"/>
        <v>1.6598388139208241E-2</v>
      </c>
      <c r="Z52" s="34"/>
      <c r="AA52" s="34"/>
      <c r="AC52" s="34"/>
      <c r="AD52" s="34"/>
      <c r="AF52" s="70"/>
      <c r="AG52" s="70"/>
    </row>
    <row r="53" spans="1:33" ht="15.4" x14ac:dyDescent="0.4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29">
        <v>5</v>
      </c>
      <c r="L53" s="27">
        <f t="shared" si="1"/>
        <v>1.7499999999999998E-2</v>
      </c>
      <c r="M53" s="27">
        <f t="shared" si="7"/>
        <v>18.049999999999997</v>
      </c>
      <c r="N53" s="27">
        <f t="shared" si="8"/>
        <v>1.7348638334613073E-2</v>
      </c>
      <c r="O53" s="28">
        <f t="shared" si="9"/>
        <v>18.365874999999999</v>
      </c>
      <c r="P53" s="28">
        <f t="shared" si="10"/>
        <v>1.6952822063061347E-2</v>
      </c>
      <c r="Q53" s="27"/>
      <c r="R53" s="27"/>
      <c r="S53" s="27"/>
      <c r="T53" s="35">
        <f t="shared" si="11"/>
        <v>0.84895229707374031</v>
      </c>
      <c r="U53" s="36">
        <f t="shared" si="12"/>
        <v>1.6952822063061347E-2</v>
      </c>
      <c r="Z53" s="34"/>
      <c r="AA53" s="34"/>
      <c r="AC53" s="34"/>
      <c r="AD53" s="34"/>
      <c r="AF53" s="70"/>
      <c r="AG53" s="70"/>
    </row>
    <row r="54" spans="1:33" ht="15.4" x14ac:dyDescent="0.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29">
        <v>5.0999999999999996</v>
      </c>
      <c r="L54" s="27">
        <f t="shared" si="1"/>
        <v>1.7849999999999998E-2</v>
      </c>
      <c r="M54" s="27">
        <f t="shared" si="7"/>
        <v>17.593155991735536</v>
      </c>
      <c r="N54" s="27">
        <f t="shared" si="8"/>
        <v>1.7692559530918115E-2</v>
      </c>
      <c r="O54" s="28">
        <f t="shared" si="9"/>
        <v>17.907193826188013</v>
      </c>
      <c r="P54" s="28">
        <f t="shared" si="10"/>
        <v>1.7306628629491651E-2</v>
      </c>
      <c r="Q54" s="27"/>
      <c r="R54" s="27"/>
      <c r="S54" s="27"/>
      <c r="T54" s="35">
        <f t="shared" si="11"/>
        <v>0.85230715915694089</v>
      </c>
      <c r="U54" s="36">
        <f t="shared" si="12"/>
        <v>1.7306628629491651E-2</v>
      </c>
      <c r="Z54" s="34"/>
      <c r="AA54" s="34"/>
      <c r="AC54" s="34"/>
      <c r="AD54" s="34"/>
      <c r="AF54" s="70"/>
      <c r="AG54" s="70"/>
    </row>
    <row r="55" spans="1:33" ht="15.4" x14ac:dyDescent="0.4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29">
        <v>5.2</v>
      </c>
      <c r="L55" s="27">
        <f t="shared" si="1"/>
        <v>1.8199999999999997E-2</v>
      </c>
      <c r="M55" s="27">
        <f t="shared" si="7"/>
        <v>17.158201581027665</v>
      </c>
      <c r="N55" s="27">
        <f t="shared" si="8"/>
        <v>1.8036362486098575E-2</v>
      </c>
      <c r="O55" s="28">
        <f t="shared" si="9"/>
        <v>17.470480849802367</v>
      </c>
      <c r="P55" s="28">
        <f t="shared" si="10"/>
        <v>1.7659843502266626E-2</v>
      </c>
      <c r="Q55" s="27"/>
      <c r="R55" s="27"/>
      <c r="S55" s="27"/>
      <c r="T55" s="35">
        <f t="shared" si="11"/>
        <v>0.85551626447907492</v>
      </c>
      <c r="U55" s="36">
        <f t="shared" si="12"/>
        <v>1.7659843502266626E-2</v>
      </c>
      <c r="Z55" s="34"/>
      <c r="AA55" s="34"/>
      <c r="AC55" s="34"/>
      <c r="AD55" s="34"/>
      <c r="AF55" s="70"/>
      <c r="AG55" s="70"/>
    </row>
    <row r="56" spans="1:33" ht="15.4" x14ac:dyDescent="0.4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29">
        <v>5.3</v>
      </c>
      <c r="L56" s="27">
        <f t="shared" si="1"/>
        <v>1.8549999999999997E-2</v>
      </c>
      <c r="M56" s="27">
        <f t="shared" si="7"/>
        <v>16.743637653736993</v>
      </c>
      <c r="N56" s="27">
        <f t="shared" si="8"/>
        <v>1.8380047281429585E-2</v>
      </c>
      <c r="O56" s="28">
        <f t="shared" si="9"/>
        <v>17.054232132213816</v>
      </c>
      <c r="P56" s="28">
        <f t="shared" si="10"/>
        <v>1.8012499175131872E-2</v>
      </c>
      <c r="Q56" s="27"/>
      <c r="R56" s="27"/>
      <c r="S56" s="27"/>
      <c r="T56" s="35">
        <f t="shared" si="11"/>
        <v>0.85858880815219218</v>
      </c>
      <c r="U56" s="36">
        <f t="shared" si="12"/>
        <v>1.8012499175131872E-2</v>
      </c>
      <c r="Z56" s="34"/>
      <c r="AA56" s="34"/>
      <c r="AC56" s="34"/>
      <c r="AD56" s="34"/>
      <c r="AF56" s="70"/>
      <c r="AG56" s="70"/>
    </row>
    <row r="57" spans="1:33" ht="15.4" x14ac:dyDescent="0.4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29">
        <v>5.4</v>
      </c>
      <c r="L57" s="27">
        <f t="shared" si="1"/>
        <v>1.89E-2</v>
      </c>
      <c r="M57" s="27">
        <f t="shared" si="7"/>
        <v>16.348096101541248</v>
      </c>
      <c r="N57" s="27">
        <f t="shared" si="8"/>
        <v>1.872361399810251E-2</v>
      </c>
      <c r="O57" s="28">
        <f t="shared" si="9"/>
        <v>16.657075117860376</v>
      </c>
      <c r="P57" s="28">
        <f t="shared" si="10"/>
        <v>1.836462531021759E-2</v>
      </c>
      <c r="Q57" s="27"/>
      <c r="R57" s="27"/>
      <c r="S57" s="27"/>
      <c r="T57" s="35">
        <f t="shared" si="11"/>
        <v>0.86153323616532185</v>
      </c>
      <c r="U57" s="36">
        <f t="shared" si="12"/>
        <v>1.836462531021759E-2</v>
      </c>
      <c r="Z57" s="34"/>
      <c r="AA57" s="34"/>
      <c r="AC57" s="34"/>
      <c r="AD57" s="34"/>
      <c r="AF57" s="70"/>
      <c r="AG57" s="70"/>
    </row>
    <row r="58" spans="1:33" ht="15.4" x14ac:dyDescent="0.4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29">
        <v>5.5</v>
      </c>
      <c r="L58" s="27">
        <f t="shared" si="1"/>
        <v>1.9249999999999996E-2</v>
      </c>
      <c r="M58" s="27">
        <f t="shared" si="7"/>
        <v>15.970326086956522</v>
      </c>
      <c r="N58" s="27">
        <f t="shared" si="8"/>
        <v>1.9067062717225722E-2</v>
      </c>
      <c r="O58" s="28">
        <f t="shared" si="9"/>
        <v>16.277754864130436</v>
      </c>
      <c r="P58" s="28">
        <f t="shared" si="10"/>
        <v>1.8716249034809118E-2</v>
      </c>
      <c r="Q58" s="27"/>
      <c r="R58" s="27"/>
      <c r="S58" s="27"/>
      <c r="T58" s="35">
        <f t="shared" si="11"/>
        <v>0.86435731930063264</v>
      </c>
      <c r="U58" s="36">
        <f t="shared" si="12"/>
        <v>1.8716249034809118E-2</v>
      </c>
      <c r="Z58" s="34"/>
      <c r="AA58" s="34"/>
      <c r="AC58" s="34"/>
      <c r="AD58" s="34"/>
      <c r="AF58" s="70"/>
      <c r="AG58" s="70"/>
    </row>
    <row r="59" spans="1:33" ht="15.4" x14ac:dyDescent="0.4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29">
        <v>5.6</v>
      </c>
      <c r="L59" s="27">
        <f t="shared" si="1"/>
        <v>1.9599999999999996E-2</v>
      </c>
      <c r="M59" s="27">
        <f t="shared" si="7"/>
        <v>15.609181969949917</v>
      </c>
      <c r="N59" s="27">
        <f t="shared" si="8"/>
        <v>1.9410393519823387E-2</v>
      </c>
      <c r="O59" s="28">
        <f t="shared" si="9"/>
        <v>15.915121936560936</v>
      </c>
      <c r="P59" s="28">
        <f t="shared" si="10"/>
        <v>1.9067395202225092E-2</v>
      </c>
      <c r="Q59" s="27"/>
      <c r="R59" s="27"/>
      <c r="S59" s="27"/>
      <c r="T59" s="35">
        <f t="shared" si="11"/>
        <v>0.86706821856894212</v>
      </c>
      <c r="U59" s="36">
        <f t="shared" si="12"/>
        <v>1.9067395202225092E-2</v>
      </c>
      <c r="Z59" s="34"/>
      <c r="AA59" s="34"/>
      <c r="AC59" s="34"/>
      <c r="AD59" s="34"/>
      <c r="AF59" s="70"/>
      <c r="AG59" s="70"/>
    </row>
    <row r="60" spans="1:33" ht="15.4" x14ac:dyDescent="0.4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29">
        <v>5.7</v>
      </c>
      <c r="L60" s="27">
        <f t="shared" si="1"/>
        <v>1.9949999999999999E-2</v>
      </c>
      <c r="M60" s="27">
        <f t="shared" si="7"/>
        <v>15.263612670408977</v>
      </c>
      <c r="N60" s="27">
        <f t="shared" si="8"/>
        <v>1.9753606486836248E-2</v>
      </c>
      <c r="O60" s="28">
        <f t="shared" si="9"/>
        <v>15.568121743183633</v>
      </c>
      <c r="P60" s="28">
        <f t="shared" si="10"/>
        <v>1.941808662168143E-2</v>
      </c>
      <c r="Q60" s="40"/>
      <c r="R60" s="40"/>
      <c r="S60" s="40"/>
      <c r="T60" s="35">
        <f t="shared" si="11"/>
        <v>0.86967254326436427</v>
      </c>
      <c r="U60" s="36">
        <f t="shared" si="12"/>
        <v>1.941808662168143E-2</v>
      </c>
      <c r="Z60" s="34"/>
      <c r="AA60" s="34"/>
      <c r="AC60" s="34"/>
      <c r="AD60" s="34"/>
      <c r="AF60" s="70"/>
      <c r="AG60" s="70"/>
    </row>
    <row r="61" spans="1:33" ht="15.4" x14ac:dyDescent="0.4"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Z61" s="34"/>
      <c r="AA61" s="34"/>
      <c r="AF61" s="71"/>
      <c r="AG61" s="71"/>
    </row>
    <row r="62" spans="1:33" ht="15.4" x14ac:dyDescent="0.4"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Z62" s="34"/>
      <c r="AA62" s="34"/>
      <c r="AF62" s="71"/>
      <c r="AG62" s="71"/>
    </row>
    <row r="63" spans="1:33" ht="15.4" x14ac:dyDescent="0.4"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Z63" s="34"/>
      <c r="AA63" s="34"/>
      <c r="AF63" s="71"/>
      <c r="AG63" s="71"/>
    </row>
    <row r="64" spans="1:33" ht="15.4" x14ac:dyDescent="0.4"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Z64" s="34"/>
      <c r="AA64" s="34"/>
      <c r="AF64" s="71"/>
      <c r="AG64" s="71"/>
    </row>
    <row r="65" spans="2:34" ht="15.4" x14ac:dyDescent="0.4"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7"/>
      <c r="W65" s="77"/>
      <c r="X65" s="77"/>
      <c r="Y65" s="77"/>
      <c r="Z65" s="83"/>
      <c r="AA65" s="83"/>
      <c r="AB65" s="77"/>
      <c r="AC65" s="77"/>
      <c r="AD65" s="77"/>
      <c r="AE65" s="77"/>
      <c r="AF65" s="85"/>
      <c r="AG65" s="85"/>
    </row>
    <row r="66" spans="2:34" ht="25.15" x14ac:dyDescent="0.4">
      <c r="K66" s="77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77"/>
      <c r="W66" s="77"/>
      <c r="X66" s="77"/>
      <c r="Y66" s="77"/>
      <c r="Z66" s="83"/>
      <c r="AA66" s="83"/>
      <c r="AB66" s="77"/>
      <c r="AC66" s="77"/>
      <c r="AD66" s="77"/>
      <c r="AE66" s="77"/>
      <c r="AF66" s="85"/>
      <c r="AG66" s="85"/>
    </row>
    <row r="67" spans="2:34" ht="15.75" x14ac:dyDescent="0.4">
      <c r="K67" s="77"/>
      <c r="L67" s="76"/>
      <c r="M67" s="76"/>
      <c r="N67" s="78"/>
      <c r="O67" s="79"/>
      <c r="P67" s="76"/>
      <c r="Q67" s="82"/>
      <c r="R67" s="79"/>
      <c r="S67" s="82"/>
      <c r="T67" s="79"/>
      <c r="U67" s="82"/>
      <c r="V67" s="77"/>
      <c r="W67" s="77"/>
      <c r="X67" s="77"/>
      <c r="Y67" s="77"/>
      <c r="Z67" s="77"/>
      <c r="AA67" s="82"/>
      <c r="AB67" s="77"/>
      <c r="AC67" s="77"/>
      <c r="AD67" s="82"/>
      <c r="AE67" s="77"/>
      <c r="AF67" s="85"/>
      <c r="AG67" s="87"/>
      <c r="AH67" s="41"/>
    </row>
    <row r="68" spans="2:34" ht="15.4" x14ac:dyDescent="0.4">
      <c r="B68" s="43">
        <v>40</v>
      </c>
      <c r="C68" s="43">
        <v>0.1</v>
      </c>
      <c r="D68" s="43">
        <v>1.1599999999999999</v>
      </c>
      <c r="E68" s="43">
        <v>0.66669999999999996</v>
      </c>
      <c r="F68" s="43">
        <v>0</v>
      </c>
      <c r="K68" s="77"/>
      <c r="L68" s="76"/>
      <c r="M68" s="76"/>
      <c r="N68" s="76"/>
      <c r="O68" s="76"/>
      <c r="P68" s="76"/>
      <c r="Q68" s="76"/>
      <c r="R68" s="76"/>
      <c r="S68" s="76"/>
      <c r="T68" s="83"/>
      <c r="U68" s="83"/>
      <c r="V68" s="77"/>
      <c r="W68" s="77"/>
      <c r="X68" s="77"/>
      <c r="Y68" s="77"/>
      <c r="Z68" s="77"/>
      <c r="AA68" s="83"/>
      <c r="AB68" s="77"/>
      <c r="AC68" s="83"/>
      <c r="AD68" s="83"/>
      <c r="AE68" s="77"/>
      <c r="AF68" s="86"/>
      <c r="AG68" s="86"/>
      <c r="AH68" s="41"/>
    </row>
    <row r="69" spans="2:34" ht="15.4" x14ac:dyDescent="0.4">
      <c r="K69" s="77"/>
      <c r="L69" s="76"/>
      <c r="M69" s="76"/>
      <c r="N69" s="76"/>
      <c r="O69" s="76"/>
      <c r="P69" s="76"/>
      <c r="Q69" s="76"/>
      <c r="R69" s="76"/>
      <c r="S69" s="76"/>
      <c r="T69" s="83"/>
      <c r="U69" s="83"/>
      <c r="V69" s="77"/>
      <c r="W69" s="77"/>
      <c r="X69" s="77"/>
      <c r="Y69" s="77"/>
      <c r="Z69" s="83"/>
      <c r="AA69" s="83"/>
      <c r="AB69" s="77"/>
      <c r="AC69" s="83"/>
      <c r="AD69" s="83"/>
      <c r="AE69" s="77"/>
      <c r="AF69" s="86"/>
      <c r="AG69" s="86"/>
      <c r="AH69" s="41"/>
    </row>
    <row r="70" spans="2:34" ht="15.4" x14ac:dyDescent="0.4">
      <c r="K70" s="77"/>
      <c r="L70" s="76"/>
      <c r="M70" s="76"/>
      <c r="N70" s="76"/>
      <c r="O70" s="76"/>
      <c r="P70" s="76"/>
      <c r="Q70" s="76"/>
      <c r="R70" s="76"/>
      <c r="S70" s="76"/>
      <c r="T70" s="83"/>
      <c r="U70" s="83"/>
      <c r="V70" s="77"/>
      <c r="W70" s="77"/>
      <c r="X70" s="77"/>
      <c r="Y70" s="77"/>
      <c r="Z70" s="83"/>
      <c r="AA70" s="77"/>
      <c r="AB70" s="77"/>
      <c r="AC70" s="83"/>
      <c r="AD70" s="83"/>
      <c r="AE70" s="77"/>
      <c r="AF70" s="86"/>
      <c r="AG70" s="86"/>
      <c r="AH70" s="41"/>
    </row>
    <row r="71" spans="2:34" ht="15.4" x14ac:dyDescent="0.4">
      <c r="K71" s="77"/>
      <c r="L71" s="76"/>
      <c r="M71" s="76"/>
      <c r="N71" s="76"/>
      <c r="O71" s="76"/>
      <c r="P71" s="76"/>
      <c r="Q71" s="76"/>
      <c r="R71" s="76"/>
      <c r="S71" s="76"/>
      <c r="T71" s="83"/>
      <c r="U71" s="83"/>
      <c r="V71" s="77"/>
      <c r="W71" s="77"/>
      <c r="X71" s="77"/>
      <c r="Y71" s="83"/>
      <c r="Z71" s="83"/>
      <c r="AA71" s="83"/>
      <c r="AB71" s="77"/>
      <c r="AC71" s="83"/>
      <c r="AD71" s="83"/>
      <c r="AE71" s="77"/>
      <c r="AF71" s="86"/>
      <c r="AG71" s="86"/>
      <c r="AH71" s="41"/>
    </row>
    <row r="72" spans="2:34" ht="15.4" x14ac:dyDescent="0.4">
      <c r="K72" s="77"/>
      <c r="L72" s="76"/>
      <c r="M72" s="76"/>
      <c r="N72" s="76"/>
      <c r="O72" s="76"/>
      <c r="P72" s="76"/>
      <c r="Q72" s="76"/>
      <c r="R72" s="76"/>
      <c r="S72" s="76"/>
      <c r="T72" s="83"/>
      <c r="U72" s="83"/>
      <c r="V72" s="77"/>
      <c r="W72" s="77"/>
      <c r="X72" s="77"/>
      <c r="Y72" s="83"/>
      <c r="Z72" s="83"/>
      <c r="AA72" s="83"/>
      <c r="AB72" s="77"/>
      <c r="AC72" s="83"/>
      <c r="AD72" s="83"/>
      <c r="AE72" s="77"/>
      <c r="AF72" s="86"/>
      <c r="AG72" s="86"/>
      <c r="AH72" s="41"/>
    </row>
    <row r="73" spans="2:34" ht="15.4" x14ac:dyDescent="0.4">
      <c r="K73" s="77"/>
      <c r="L73" s="76"/>
      <c r="M73" s="76"/>
      <c r="N73" s="76"/>
      <c r="O73" s="76"/>
      <c r="P73" s="76"/>
      <c r="Q73" s="76"/>
      <c r="R73" s="76"/>
      <c r="S73" s="76"/>
      <c r="T73" s="83"/>
      <c r="U73" s="83"/>
      <c r="V73" s="77"/>
      <c r="W73" s="77"/>
      <c r="X73" s="77"/>
      <c r="Y73" s="83"/>
      <c r="Z73" s="83"/>
      <c r="AA73" s="83"/>
      <c r="AB73" s="77"/>
      <c r="AC73" s="83"/>
      <c r="AD73" s="83"/>
      <c r="AE73" s="77"/>
      <c r="AF73" s="86"/>
      <c r="AG73" s="86"/>
      <c r="AH73" s="41"/>
    </row>
    <row r="74" spans="2:34" ht="15.4" x14ac:dyDescent="0.4">
      <c r="K74" s="77"/>
      <c r="L74" s="76"/>
      <c r="M74" s="76"/>
      <c r="N74" s="76"/>
      <c r="O74" s="76"/>
      <c r="P74" s="76"/>
      <c r="Q74" s="76"/>
      <c r="R74" s="76"/>
      <c r="S74" s="76"/>
      <c r="T74" s="83"/>
      <c r="U74" s="83"/>
      <c r="V74" s="77"/>
      <c r="W74" s="77"/>
      <c r="X74" s="77"/>
      <c r="Y74" s="83"/>
      <c r="Z74" s="83"/>
      <c r="AA74" s="83"/>
      <c r="AB74" s="77"/>
      <c r="AC74" s="83"/>
      <c r="AD74" s="83"/>
      <c r="AE74" s="77"/>
      <c r="AF74" s="86"/>
      <c r="AG74" s="86"/>
      <c r="AH74" s="41"/>
    </row>
    <row r="75" spans="2:34" s="41" customFormat="1" ht="15.4" x14ac:dyDescent="0.4">
      <c r="K75" s="77"/>
      <c r="L75" s="76"/>
      <c r="M75" s="76"/>
      <c r="N75" s="76"/>
      <c r="O75" s="76"/>
      <c r="P75" s="76"/>
      <c r="Q75" s="76"/>
      <c r="R75" s="76"/>
      <c r="S75" s="76"/>
      <c r="T75" s="83"/>
      <c r="U75" s="83"/>
      <c r="V75" s="77"/>
      <c r="W75" s="77"/>
      <c r="X75" s="77"/>
      <c r="Y75" s="83"/>
      <c r="Z75" s="83"/>
      <c r="AA75" s="83"/>
      <c r="AB75" s="77"/>
      <c r="AC75" s="83"/>
      <c r="AD75" s="83"/>
      <c r="AE75" s="77"/>
      <c r="AF75" s="86"/>
      <c r="AG75" s="86"/>
    </row>
    <row r="76" spans="2:34" ht="15.4" x14ac:dyDescent="0.4">
      <c r="K76" s="77"/>
      <c r="L76" s="76"/>
      <c r="M76" s="76"/>
      <c r="N76" s="76"/>
      <c r="O76" s="76"/>
      <c r="P76" s="76"/>
      <c r="Q76" s="76"/>
      <c r="R76" s="76"/>
      <c r="S76" s="76"/>
      <c r="T76" s="83"/>
      <c r="U76" s="83"/>
      <c r="V76" s="77"/>
      <c r="W76" s="77"/>
      <c r="X76" s="77"/>
      <c r="Y76" s="83"/>
      <c r="Z76" s="83"/>
      <c r="AA76" s="83"/>
      <c r="AB76" s="77"/>
      <c r="AC76" s="83"/>
      <c r="AD76" s="83"/>
      <c r="AE76" s="77"/>
      <c r="AF76" s="86"/>
      <c r="AG76" s="86"/>
      <c r="AH76" s="41"/>
    </row>
    <row r="77" spans="2:34" ht="15.4" x14ac:dyDescent="0.4">
      <c r="K77" s="77"/>
      <c r="L77" s="76"/>
      <c r="M77" s="76"/>
      <c r="N77" s="76"/>
      <c r="O77" s="76"/>
      <c r="P77" s="76"/>
      <c r="Q77" s="76"/>
      <c r="R77" s="76"/>
      <c r="S77" s="76"/>
      <c r="T77" s="83"/>
      <c r="U77" s="83"/>
      <c r="V77" s="77"/>
      <c r="W77" s="77"/>
      <c r="X77" s="77"/>
      <c r="Y77" s="83"/>
      <c r="Z77" s="83"/>
      <c r="AA77" s="83"/>
      <c r="AB77" s="77"/>
      <c r="AC77" s="83"/>
      <c r="AD77" s="83"/>
      <c r="AE77" s="77"/>
      <c r="AF77" s="86"/>
      <c r="AG77" s="86"/>
      <c r="AH77" s="41"/>
    </row>
    <row r="78" spans="2:34" ht="15.4" x14ac:dyDescent="0.4">
      <c r="K78" s="77"/>
      <c r="L78" s="76"/>
      <c r="M78" s="76"/>
      <c r="N78" s="76"/>
      <c r="O78" s="76"/>
      <c r="P78" s="76"/>
      <c r="Q78" s="76"/>
      <c r="R78" s="76"/>
      <c r="S78" s="76"/>
      <c r="T78" s="83"/>
      <c r="U78" s="83"/>
      <c r="V78" s="77"/>
      <c r="W78" s="77"/>
      <c r="X78" s="77"/>
      <c r="Y78" s="83"/>
      <c r="Z78" s="83"/>
      <c r="AA78" s="83"/>
      <c r="AB78" s="77"/>
      <c r="AC78" s="83"/>
      <c r="AD78" s="83"/>
      <c r="AE78" s="77"/>
      <c r="AF78" s="86"/>
      <c r="AG78" s="86"/>
      <c r="AH78" s="41"/>
    </row>
    <row r="79" spans="2:34" ht="15.4" x14ac:dyDescent="0.4">
      <c r="K79" s="77"/>
      <c r="L79" s="76"/>
      <c r="M79" s="76"/>
      <c r="N79" s="76"/>
      <c r="O79" s="76"/>
      <c r="P79" s="76"/>
      <c r="Q79" s="76"/>
      <c r="R79" s="76"/>
      <c r="S79" s="76"/>
      <c r="T79" s="83"/>
      <c r="U79" s="83"/>
      <c r="V79" s="77"/>
      <c r="W79" s="77"/>
      <c r="X79" s="77"/>
      <c r="Y79" s="83"/>
      <c r="Z79" s="83"/>
      <c r="AA79" s="83"/>
      <c r="AB79" s="77"/>
      <c r="AC79" s="83"/>
      <c r="AD79" s="83"/>
      <c r="AE79" s="77"/>
      <c r="AF79" s="86"/>
      <c r="AG79" s="86"/>
      <c r="AH79" s="41"/>
    </row>
    <row r="80" spans="2:34" ht="15.4" x14ac:dyDescent="0.4">
      <c r="K80" s="77"/>
      <c r="L80" s="76"/>
      <c r="M80" s="76"/>
      <c r="N80" s="76"/>
      <c r="O80" s="76"/>
      <c r="P80" s="76"/>
      <c r="Q80" s="76"/>
      <c r="R80" s="76"/>
      <c r="S80" s="76"/>
      <c r="T80" s="83"/>
      <c r="U80" s="83"/>
      <c r="V80" s="77"/>
      <c r="W80" s="77"/>
      <c r="X80" s="77"/>
      <c r="Y80" s="83"/>
      <c r="Z80" s="83"/>
      <c r="AA80" s="83"/>
      <c r="AB80" s="77"/>
      <c r="AC80" s="83"/>
      <c r="AD80" s="83"/>
      <c r="AE80" s="77"/>
      <c r="AF80" s="86"/>
      <c r="AG80" s="86"/>
      <c r="AH80" s="41"/>
    </row>
    <row r="81" spans="11:34" ht="15.4" x14ac:dyDescent="0.4">
      <c r="K81" s="77"/>
      <c r="L81" s="76"/>
      <c r="M81" s="76"/>
      <c r="N81" s="76"/>
      <c r="O81" s="76"/>
      <c r="P81" s="76"/>
      <c r="Q81" s="76"/>
      <c r="R81" s="76"/>
      <c r="S81" s="76"/>
      <c r="T81" s="83"/>
      <c r="U81" s="83"/>
      <c r="V81" s="77"/>
      <c r="W81" s="77"/>
      <c r="X81" s="77"/>
      <c r="Y81" s="83"/>
      <c r="Z81" s="83"/>
      <c r="AA81" s="83"/>
      <c r="AB81" s="77"/>
      <c r="AC81" s="83"/>
      <c r="AD81" s="83"/>
      <c r="AE81" s="77"/>
      <c r="AF81" s="86"/>
      <c r="AG81" s="86"/>
      <c r="AH81" s="41"/>
    </row>
    <row r="82" spans="11:34" ht="15.4" x14ac:dyDescent="0.4">
      <c r="K82" s="77"/>
      <c r="L82" s="76"/>
      <c r="M82" s="76"/>
      <c r="N82" s="76"/>
      <c r="O82" s="76"/>
      <c r="P82" s="76"/>
      <c r="Q82" s="84"/>
      <c r="R82" s="76"/>
      <c r="S82" s="76"/>
      <c r="T82" s="83"/>
      <c r="U82" s="83"/>
      <c r="V82" s="77"/>
      <c r="W82" s="77"/>
      <c r="X82" s="77"/>
      <c r="Y82" s="83"/>
      <c r="Z82" s="83"/>
      <c r="AA82" s="83"/>
      <c r="AB82" s="77"/>
      <c r="AC82" s="83"/>
      <c r="AD82" s="83"/>
      <c r="AE82" s="77"/>
      <c r="AF82" s="86"/>
      <c r="AG82" s="86"/>
      <c r="AH82" s="41"/>
    </row>
    <row r="83" spans="11:34" ht="15.4" x14ac:dyDescent="0.4">
      <c r="K83" s="77"/>
      <c r="L83" s="76"/>
      <c r="M83" s="76"/>
      <c r="N83" s="76"/>
      <c r="O83" s="76"/>
      <c r="P83" s="76"/>
      <c r="Q83" s="76"/>
      <c r="R83" s="76"/>
      <c r="S83" s="76"/>
      <c r="T83" s="83"/>
      <c r="U83" s="83"/>
      <c r="V83" s="77"/>
      <c r="W83" s="77"/>
      <c r="X83" s="77"/>
      <c r="Y83" s="83"/>
      <c r="Z83" s="83"/>
      <c r="AA83" s="83"/>
      <c r="AB83" s="77"/>
      <c r="AC83" s="83"/>
      <c r="AD83" s="83"/>
      <c r="AE83" s="77"/>
      <c r="AF83" s="86"/>
      <c r="AG83" s="86"/>
      <c r="AH83" s="41"/>
    </row>
    <row r="84" spans="11:34" ht="15.4" x14ac:dyDescent="0.4">
      <c r="K84" s="77"/>
      <c r="L84" s="76"/>
      <c r="M84" s="76"/>
      <c r="N84" s="76"/>
      <c r="O84" s="76"/>
      <c r="P84" s="76"/>
      <c r="Q84" s="76"/>
      <c r="R84" s="76"/>
      <c r="S84" s="76"/>
      <c r="T84" s="83"/>
      <c r="U84" s="83"/>
      <c r="V84" s="77"/>
      <c r="W84" s="77"/>
      <c r="X84" s="77"/>
      <c r="Y84" s="83"/>
      <c r="Z84" s="83"/>
      <c r="AA84" s="83"/>
      <c r="AB84" s="77"/>
      <c r="AC84" s="83"/>
      <c r="AD84" s="83"/>
      <c r="AE84" s="77"/>
      <c r="AF84" s="86"/>
      <c r="AG84" s="86"/>
      <c r="AH84" s="41"/>
    </row>
    <row r="85" spans="11:34" ht="15.4" x14ac:dyDescent="0.4">
      <c r="K85" s="77"/>
      <c r="L85" s="76"/>
      <c r="M85" s="76"/>
      <c r="N85" s="76"/>
      <c r="O85" s="76"/>
      <c r="P85" s="76"/>
      <c r="Q85" s="76"/>
      <c r="R85" s="76"/>
      <c r="S85" s="76"/>
      <c r="T85" s="83"/>
      <c r="U85" s="83"/>
      <c r="V85" s="77"/>
      <c r="W85" s="77"/>
      <c r="X85" s="77"/>
      <c r="Y85" s="83"/>
      <c r="Z85" s="83"/>
      <c r="AA85" s="83"/>
      <c r="AB85" s="77"/>
      <c r="AC85" s="83"/>
      <c r="AD85" s="83"/>
      <c r="AE85" s="77"/>
      <c r="AF85" s="86"/>
      <c r="AG85" s="86"/>
      <c r="AH85" s="41"/>
    </row>
    <row r="86" spans="11:34" ht="15.4" x14ac:dyDescent="0.4">
      <c r="K86" s="77"/>
      <c r="L86" s="76"/>
      <c r="M86" s="76"/>
      <c r="N86" s="76"/>
      <c r="O86" s="76"/>
      <c r="P86" s="76"/>
      <c r="Q86" s="76"/>
      <c r="R86" s="76"/>
      <c r="S86" s="76"/>
      <c r="T86" s="83"/>
      <c r="U86" s="83"/>
      <c r="V86" s="77"/>
      <c r="W86" s="77"/>
      <c r="X86" s="77"/>
      <c r="Y86" s="83"/>
      <c r="Z86" s="83"/>
      <c r="AA86" s="83"/>
      <c r="AB86" s="77"/>
      <c r="AC86" s="83"/>
      <c r="AD86" s="83"/>
      <c r="AE86" s="77"/>
      <c r="AF86" s="86"/>
      <c r="AG86" s="86"/>
      <c r="AH86" s="41"/>
    </row>
    <row r="87" spans="11:34" s="41" customFormat="1" ht="15.4" x14ac:dyDescent="0.4">
      <c r="K87" s="77"/>
      <c r="L87" s="76"/>
      <c r="M87" s="76"/>
      <c r="N87" s="76"/>
      <c r="O87" s="76"/>
      <c r="P87" s="76"/>
      <c r="Q87" s="76"/>
      <c r="R87" s="76"/>
      <c r="S87" s="76"/>
      <c r="T87" s="83"/>
      <c r="U87" s="83"/>
      <c r="V87" s="77"/>
      <c r="W87" s="77"/>
      <c r="X87" s="77"/>
      <c r="Y87" s="83"/>
      <c r="Z87" s="83"/>
      <c r="AA87" s="83"/>
      <c r="AB87" s="77"/>
      <c r="AC87" s="83"/>
      <c r="AD87" s="83"/>
      <c r="AE87" s="77"/>
      <c r="AF87" s="86"/>
      <c r="AG87" s="86"/>
    </row>
    <row r="88" spans="11:34" ht="15.4" x14ac:dyDescent="0.4">
      <c r="K88" s="77"/>
      <c r="L88" s="76"/>
      <c r="M88" s="76"/>
      <c r="N88" s="76"/>
      <c r="O88" s="76"/>
      <c r="P88" s="76"/>
      <c r="Q88" s="76"/>
      <c r="R88" s="76"/>
      <c r="S88" s="76"/>
      <c r="T88" s="83"/>
      <c r="U88" s="83"/>
      <c r="V88" s="77"/>
      <c r="W88" s="77"/>
      <c r="X88" s="77"/>
      <c r="Y88" s="83"/>
      <c r="Z88" s="83"/>
      <c r="AA88" s="83"/>
      <c r="AB88" s="77"/>
      <c r="AC88" s="83"/>
      <c r="AD88" s="83"/>
      <c r="AE88" s="77"/>
      <c r="AF88" s="86"/>
      <c r="AG88" s="86"/>
      <c r="AH88" s="41"/>
    </row>
    <row r="89" spans="11:34" ht="15.4" x14ac:dyDescent="0.4">
      <c r="K89" s="77"/>
      <c r="L89" s="76"/>
      <c r="M89" s="76"/>
      <c r="N89" s="76"/>
      <c r="O89" s="76"/>
      <c r="P89" s="76"/>
      <c r="Q89" s="76"/>
      <c r="R89" s="76"/>
      <c r="S89" s="76"/>
      <c r="T89" s="83"/>
      <c r="U89" s="83"/>
      <c r="V89" s="77"/>
      <c r="W89" s="77"/>
      <c r="X89" s="77"/>
      <c r="Y89" s="83"/>
      <c r="Z89" s="83"/>
      <c r="AA89" s="83"/>
      <c r="AB89" s="77"/>
      <c r="AC89" s="83"/>
      <c r="AD89" s="83"/>
      <c r="AE89" s="77"/>
      <c r="AF89" s="86"/>
      <c r="AG89" s="86"/>
      <c r="AH89" s="41"/>
    </row>
    <row r="90" spans="11:34" ht="15.4" x14ac:dyDescent="0.4">
      <c r="K90" s="77"/>
      <c r="L90" s="76"/>
      <c r="M90" s="76"/>
      <c r="N90" s="76"/>
      <c r="O90" s="76"/>
      <c r="P90" s="76"/>
      <c r="Q90" s="84"/>
      <c r="R90" s="76"/>
      <c r="S90" s="76"/>
      <c r="T90" s="83"/>
      <c r="U90" s="83"/>
      <c r="V90" s="77"/>
      <c r="W90" s="77"/>
      <c r="X90" s="77"/>
      <c r="Y90" s="83"/>
      <c r="Z90" s="83"/>
      <c r="AA90" s="83"/>
      <c r="AB90" s="77"/>
      <c r="AC90" s="83"/>
      <c r="AD90" s="83"/>
      <c r="AE90" s="77"/>
      <c r="AF90" s="86"/>
      <c r="AG90" s="86"/>
      <c r="AH90" s="41"/>
    </row>
    <row r="91" spans="11:34" ht="15.4" x14ac:dyDescent="0.4">
      <c r="K91" s="77"/>
      <c r="L91" s="76"/>
      <c r="M91" s="76"/>
      <c r="N91" s="76"/>
      <c r="O91" s="76"/>
      <c r="P91" s="76"/>
      <c r="Q91" s="84"/>
      <c r="R91" s="76"/>
      <c r="S91" s="76"/>
      <c r="T91" s="83"/>
      <c r="U91" s="83"/>
      <c r="V91" s="77"/>
      <c r="W91" s="77"/>
      <c r="X91" s="77"/>
      <c r="Y91" s="83"/>
      <c r="Z91" s="83"/>
      <c r="AA91" s="83"/>
      <c r="AB91" s="77"/>
      <c r="AC91" s="83"/>
      <c r="AD91" s="83"/>
      <c r="AE91" s="77"/>
      <c r="AF91" s="86"/>
      <c r="AG91" s="86"/>
      <c r="AH91" s="41"/>
    </row>
    <row r="92" spans="11:34" ht="15.4" x14ac:dyDescent="0.4">
      <c r="K92" s="77"/>
      <c r="L92" s="76"/>
      <c r="M92" s="76"/>
      <c r="N92" s="76"/>
      <c r="O92" s="76"/>
      <c r="P92" s="76"/>
      <c r="Q92" s="84"/>
      <c r="R92" s="76"/>
      <c r="S92" s="76"/>
      <c r="T92" s="83"/>
      <c r="U92" s="83"/>
      <c r="V92" s="77"/>
      <c r="W92" s="77"/>
      <c r="X92" s="77"/>
      <c r="Y92" s="83"/>
      <c r="Z92" s="83"/>
      <c r="AA92" s="83"/>
      <c r="AB92" s="77"/>
      <c r="AC92" s="83"/>
      <c r="AD92" s="83"/>
      <c r="AE92" s="77"/>
      <c r="AF92" s="86"/>
      <c r="AG92" s="86"/>
      <c r="AH92" s="41"/>
    </row>
    <row r="93" spans="11:34" ht="15.4" x14ac:dyDescent="0.4">
      <c r="K93" s="77"/>
      <c r="L93" s="76"/>
      <c r="M93" s="76"/>
      <c r="N93" s="76"/>
      <c r="O93" s="76"/>
      <c r="P93" s="76"/>
      <c r="Q93" s="76"/>
      <c r="R93" s="76"/>
      <c r="S93" s="76"/>
      <c r="T93" s="83"/>
      <c r="U93" s="83"/>
      <c r="V93" s="77"/>
      <c r="W93" s="77"/>
      <c r="X93" s="77"/>
      <c r="Y93" s="83"/>
      <c r="Z93" s="83"/>
      <c r="AA93" s="83"/>
      <c r="AB93" s="77"/>
      <c r="AC93" s="83"/>
      <c r="AD93" s="83"/>
      <c r="AE93" s="77"/>
      <c r="AF93" s="86"/>
      <c r="AG93" s="86"/>
      <c r="AH93" s="41"/>
    </row>
    <row r="94" spans="11:34" ht="15.4" x14ac:dyDescent="0.4">
      <c r="K94" s="77"/>
      <c r="L94" s="76"/>
      <c r="M94" s="76"/>
      <c r="N94" s="76"/>
      <c r="O94" s="76"/>
      <c r="P94" s="76"/>
      <c r="Q94" s="76"/>
      <c r="R94" s="76"/>
      <c r="S94" s="76"/>
      <c r="T94" s="83"/>
      <c r="U94" s="83"/>
      <c r="V94" s="77"/>
      <c r="W94" s="77"/>
      <c r="X94" s="77"/>
      <c r="Y94" s="83"/>
      <c r="Z94" s="83"/>
      <c r="AA94" s="83"/>
      <c r="AB94" s="77"/>
      <c r="AC94" s="83"/>
      <c r="AD94" s="83"/>
      <c r="AE94" s="77"/>
      <c r="AF94" s="86"/>
      <c r="AG94" s="86"/>
      <c r="AH94" s="41"/>
    </row>
    <row r="95" spans="11:34" ht="15.4" x14ac:dyDescent="0.4">
      <c r="K95" s="77"/>
      <c r="L95" s="76"/>
      <c r="M95" s="76"/>
      <c r="N95" s="76"/>
      <c r="O95" s="76"/>
      <c r="P95" s="76"/>
      <c r="Q95" s="76"/>
      <c r="R95" s="76"/>
      <c r="S95" s="76"/>
      <c r="T95" s="83"/>
      <c r="U95" s="83"/>
      <c r="V95" s="77"/>
      <c r="W95" s="77"/>
      <c r="X95" s="77"/>
      <c r="Y95" s="83"/>
      <c r="Z95" s="83"/>
      <c r="AA95" s="83"/>
      <c r="AB95" s="77"/>
      <c r="AC95" s="83"/>
      <c r="AD95" s="83"/>
      <c r="AE95" s="77"/>
      <c r="AF95" s="86"/>
      <c r="AG95" s="86"/>
      <c r="AH95" s="41"/>
    </row>
    <row r="96" spans="11:34" ht="15.4" x14ac:dyDescent="0.4">
      <c r="K96" s="77"/>
      <c r="L96" s="76"/>
      <c r="M96" s="76"/>
      <c r="N96" s="76"/>
      <c r="O96" s="76"/>
      <c r="P96" s="76"/>
      <c r="Q96" s="76"/>
      <c r="R96" s="76"/>
      <c r="S96" s="76"/>
      <c r="T96" s="83"/>
      <c r="U96" s="83"/>
      <c r="V96" s="77"/>
      <c r="W96" s="77"/>
      <c r="X96" s="77"/>
      <c r="Y96" s="83"/>
      <c r="Z96" s="83"/>
      <c r="AA96" s="83"/>
      <c r="AB96" s="77"/>
      <c r="AC96" s="83"/>
      <c r="AD96" s="83"/>
      <c r="AE96" s="77"/>
      <c r="AF96" s="86"/>
      <c r="AG96" s="86"/>
      <c r="AH96" s="41"/>
    </row>
    <row r="97" spans="11:34" ht="15.4" x14ac:dyDescent="0.4">
      <c r="K97" s="77"/>
      <c r="L97" s="76"/>
      <c r="M97" s="76"/>
      <c r="N97" s="76"/>
      <c r="O97" s="76"/>
      <c r="P97" s="76"/>
      <c r="Q97" s="76"/>
      <c r="R97" s="76"/>
      <c r="S97" s="76"/>
      <c r="T97" s="83"/>
      <c r="U97" s="83"/>
      <c r="V97" s="77"/>
      <c r="W97" s="77"/>
      <c r="X97" s="77"/>
      <c r="Y97" s="83"/>
      <c r="Z97" s="83"/>
      <c r="AA97" s="83"/>
      <c r="AB97" s="77"/>
      <c r="AC97" s="83"/>
      <c r="AD97" s="83"/>
      <c r="AE97" s="77"/>
      <c r="AF97" s="86"/>
      <c r="AG97" s="86"/>
      <c r="AH97" s="41"/>
    </row>
    <row r="98" spans="11:34" ht="15.4" x14ac:dyDescent="0.4">
      <c r="K98" s="77"/>
      <c r="L98" s="76"/>
      <c r="M98" s="76"/>
      <c r="N98" s="76"/>
      <c r="O98" s="76"/>
      <c r="P98" s="76"/>
      <c r="Q98" s="76"/>
      <c r="R98" s="76"/>
      <c r="S98" s="76"/>
      <c r="T98" s="83"/>
      <c r="U98" s="83"/>
      <c r="V98" s="77"/>
      <c r="W98" s="77"/>
      <c r="X98" s="77"/>
      <c r="Y98" s="83"/>
      <c r="Z98" s="83"/>
      <c r="AA98" s="83"/>
      <c r="AB98" s="77"/>
      <c r="AC98" s="83"/>
      <c r="AD98" s="83"/>
      <c r="AE98" s="77"/>
      <c r="AF98" s="86"/>
      <c r="AG98" s="86"/>
      <c r="AH98" s="41"/>
    </row>
    <row r="99" spans="11:34" ht="15.4" x14ac:dyDescent="0.4">
      <c r="K99" s="77"/>
      <c r="L99" s="76"/>
      <c r="M99" s="76"/>
      <c r="N99" s="76"/>
      <c r="O99" s="76"/>
      <c r="P99" s="76"/>
      <c r="Q99" s="76"/>
      <c r="R99" s="76"/>
      <c r="S99" s="76"/>
      <c r="T99" s="83"/>
      <c r="U99" s="83"/>
      <c r="V99" s="77"/>
      <c r="W99" s="77"/>
      <c r="X99" s="77"/>
      <c r="Y99" s="83"/>
      <c r="Z99" s="83"/>
      <c r="AA99" s="83"/>
      <c r="AB99" s="77"/>
      <c r="AC99" s="83"/>
      <c r="AD99" s="83"/>
      <c r="AE99" s="77"/>
      <c r="AF99" s="86"/>
      <c r="AG99" s="86"/>
      <c r="AH99" s="41"/>
    </row>
    <row r="100" spans="11:34" ht="15.4" x14ac:dyDescent="0.4">
      <c r="K100" s="77"/>
      <c r="L100" s="76"/>
      <c r="M100" s="76"/>
      <c r="N100" s="76"/>
      <c r="O100" s="76"/>
      <c r="P100" s="76"/>
      <c r="Q100" s="76"/>
      <c r="R100" s="76"/>
      <c r="S100" s="76"/>
      <c r="T100" s="83"/>
      <c r="U100" s="83"/>
      <c r="V100" s="77"/>
      <c r="W100" s="77"/>
      <c r="X100" s="77"/>
      <c r="Y100" s="83"/>
      <c r="Z100" s="83"/>
      <c r="AA100" s="83"/>
      <c r="AB100" s="77"/>
      <c r="AC100" s="83"/>
      <c r="AD100" s="83"/>
      <c r="AE100" s="77"/>
      <c r="AF100" s="86"/>
      <c r="AG100" s="86"/>
      <c r="AH100" s="41"/>
    </row>
    <row r="101" spans="11:34" ht="15.4" x14ac:dyDescent="0.4">
      <c r="K101" s="77"/>
      <c r="L101" s="76"/>
      <c r="M101" s="76"/>
      <c r="N101" s="76"/>
      <c r="O101" s="76"/>
      <c r="P101" s="76"/>
      <c r="Q101" s="76"/>
      <c r="R101" s="76"/>
      <c r="S101" s="76"/>
      <c r="T101" s="83"/>
      <c r="U101" s="83"/>
      <c r="V101" s="77"/>
      <c r="W101" s="77"/>
      <c r="X101" s="77"/>
      <c r="Y101" s="83"/>
      <c r="Z101" s="83"/>
      <c r="AA101" s="83"/>
      <c r="AB101" s="77"/>
      <c r="AC101" s="83"/>
      <c r="AD101" s="83"/>
      <c r="AE101" s="77"/>
      <c r="AF101" s="86"/>
      <c r="AG101" s="86"/>
      <c r="AH101" s="41"/>
    </row>
    <row r="102" spans="11:34" ht="15.4" x14ac:dyDescent="0.4">
      <c r="K102" s="77"/>
      <c r="L102" s="76"/>
      <c r="M102" s="76"/>
      <c r="N102" s="76"/>
      <c r="O102" s="76"/>
      <c r="P102" s="76"/>
      <c r="Q102" s="76"/>
      <c r="R102" s="76"/>
      <c r="S102" s="76"/>
      <c r="T102" s="83"/>
      <c r="U102" s="83"/>
      <c r="V102" s="77"/>
      <c r="W102" s="77"/>
      <c r="X102" s="77"/>
      <c r="Y102" s="83"/>
      <c r="Z102" s="83"/>
      <c r="AA102" s="83"/>
      <c r="AB102" s="77"/>
      <c r="AC102" s="83"/>
      <c r="AD102" s="83"/>
      <c r="AE102" s="77"/>
      <c r="AF102" s="86"/>
      <c r="AG102" s="86"/>
      <c r="AH102" s="41"/>
    </row>
    <row r="103" spans="11:34" ht="15.4" x14ac:dyDescent="0.4">
      <c r="K103" s="77"/>
      <c r="L103" s="76"/>
      <c r="M103" s="76"/>
      <c r="N103" s="76"/>
      <c r="O103" s="76"/>
      <c r="P103" s="76"/>
      <c r="Q103" s="76"/>
      <c r="R103" s="76"/>
      <c r="S103" s="76"/>
      <c r="T103" s="83"/>
      <c r="U103" s="83"/>
      <c r="V103" s="77"/>
      <c r="W103" s="77"/>
      <c r="X103" s="77"/>
      <c r="Y103" s="83"/>
      <c r="Z103" s="83"/>
      <c r="AA103" s="83"/>
      <c r="AB103" s="77"/>
      <c r="AC103" s="83"/>
      <c r="AD103" s="83"/>
      <c r="AE103" s="77"/>
      <c r="AF103" s="86"/>
      <c r="AG103" s="86"/>
      <c r="AH103" s="41"/>
    </row>
    <row r="104" spans="11:34" ht="15.4" x14ac:dyDescent="0.4">
      <c r="K104" s="77"/>
      <c r="L104" s="76"/>
      <c r="M104" s="76"/>
      <c r="N104" s="76"/>
      <c r="O104" s="76"/>
      <c r="P104" s="76"/>
      <c r="Q104" s="76"/>
      <c r="R104" s="76"/>
      <c r="S104" s="76"/>
      <c r="T104" s="83"/>
      <c r="U104" s="83"/>
      <c r="V104" s="77"/>
      <c r="W104" s="77"/>
      <c r="X104" s="77"/>
      <c r="Y104" s="83"/>
      <c r="Z104" s="83"/>
      <c r="AA104" s="83"/>
      <c r="AB104" s="77"/>
      <c r="AC104" s="83"/>
      <c r="AD104" s="83"/>
      <c r="AE104" s="77"/>
      <c r="AF104" s="86"/>
      <c r="AG104" s="86"/>
      <c r="AH104" s="41"/>
    </row>
    <row r="105" spans="11:34" ht="15.4" x14ac:dyDescent="0.4">
      <c r="K105" s="77"/>
      <c r="L105" s="76"/>
      <c r="M105" s="76"/>
      <c r="N105" s="76"/>
      <c r="O105" s="76"/>
      <c r="P105" s="76"/>
      <c r="Q105" s="76"/>
      <c r="R105" s="76"/>
      <c r="S105" s="76"/>
      <c r="T105" s="83"/>
      <c r="U105" s="83"/>
      <c r="V105" s="77"/>
      <c r="W105" s="77"/>
      <c r="X105" s="77"/>
      <c r="Y105" s="83"/>
      <c r="Z105" s="83"/>
      <c r="AA105" s="83"/>
      <c r="AB105" s="77"/>
      <c r="AC105" s="83"/>
      <c r="AD105" s="83"/>
      <c r="AE105" s="77"/>
      <c r="AF105" s="86"/>
      <c r="AG105" s="86"/>
      <c r="AH105" s="41"/>
    </row>
    <row r="106" spans="11:34" ht="15.4" x14ac:dyDescent="0.4">
      <c r="K106" s="77"/>
      <c r="L106" s="76"/>
      <c r="M106" s="76"/>
      <c r="N106" s="76"/>
      <c r="O106" s="76"/>
      <c r="P106" s="76"/>
      <c r="Q106" s="76"/>
      <c r="R106" s="76"/>
      <c r="S106" s="76"/>
      <c r="T106" s="83"/>
      <c r="U106" s="83"/>
      <c r="V106" s="77"/>
      <c r="W106" s="77"/>
      <c r="X106" s="77"/>
      <c r="Y106" s="83"/>
      <c r="Z106" s="83"/>
      <c r="AA106" s="83"/>
      <c r="AB106" s="77"/>
      <c r="AC106" s="83"/>
      <c r="AD106" s="83"/>
      <c r="AE106" s="77"/>
      <c r="AF106" s="86"/>
      <c r="AG106" s="86"/>
      <c r="AH106" s="41"/>
    </row>
    <row r="107" spans="11:34" ht="15.4" x14ac:dyDescent="0.4">
      <c r="K107" s="77"/>
      <c r="L107" s="76"/>
      <c r="M107" s="76"/>
      <c r="N107" s="76"/>
      <c r="O107" s="76"/>
      <c r="P107" s="76"/>
      <c r="Q107" s="76"/>
      <c r="R107" s="76"/>
      <c r="S107" s="76"/>
      <c r="T107" s="83"/>
      <c r="U107" s="83"/>
      <c r="V107" s="77"/>
      <c r="W107" s="77"/>
      <c r="X107" s="77"/>
      <c r="Y107" s="83"/>
      <c r="Z107" s="83"/>
      <c r="AA107" s="83"/>
      <c r="AB107" s="77"/>
      <c r="AC107" s="83"/>
      <c r="AD107" s="83"/>
      <c r="AE107" s="77"/>
      <c r="AF107" s="86"/>
      <c r="AG107" s="86"/>
      <c r="AH107" s="41"/>
    </row>
    <row r="108" spans="11:34" ht="15.4" x14ac:dyDescent="0.4">
      <c r="K108" s="77"/>
      <c r="L108" s="76"/>
      <c r="M108" s="76"/>
      <c r="N108" s="76"/>
      <c r="O108" s="76"/>
      <c r="P108" s="76"/>
      <c r="Q108" s="76"/>
      <c r="R108" s="76"/>
      <c r="S108" s="76"/>
      <c r="T108" s="83"/>
      <c r="U108" s="83"/>
      <c r="V108" s="77"/>
      <c r="W108" s="77"/>
      <c r="X108" s="77"/>
      <c r="Y108" s="83"/>
      <c r="Z108" s="83"/>
      <c r="AA108" s="83"/>
      <c r="AB108" s="77"/>
      <c r="AC108" s="83"/>
      <c r="AD108" s="83"/>
      <c r="AE108" s="77"/>
      <c r="AF108" s="86"/>
      <c r="AG108" s="86"/>
      <c r="AH108" s="41"/>
    </row>
    <row r="109" spans="11:34" ht="15.4" x14ac:dyDescent="0.4">
      <c r="K109" s="77"/>
      <c r="L109" s="76"/>
      <c r="M109" s="76"/>
      <c r="N109" s="76"/>
      <c r="O109" s="76"/>
      <c r="P109" s="76"/>
      <c r="Q109" s="76"/>
      <c r="R109" s="76"/>
      <c r="S109" s="76"/>
      <c r="T109" s="83"/>
      <c r="U109" s="83"/>
      <c r="V109" s="77"/>
      <c r="W109" s="77"/>
      <c r="X109" s="77"/>
      <c r="Y109" s="83"/>
      <c r="Z109" s="83"/>
      <c r="AA109" s="83"/>
      <c r="AB109" s="77"/>
      <c r="AC109" s="83"/>
      <c r="AD109" s="83"/>
      <c r="AE109" s="77"/>
      <c r="AF109" s="86"/>
      <c r="AG109" s="86"/>
      <c r="AH109" s="41"/>
    </row>
    <row r="110" spans="11:34" ht="15.4" x14ac:dyDescent="0.4">
      <c r="K110" s="77"/>
      <c r="L110" s="76"/>
      <c r="M110" s="76"/>
      <c r="N110" s="76"/>
      <c r="O110" s="76"/>
      <c r="P110" s="76"/>
      <c r="Q110" s="76"/>
      <c r="R110" s="76"/>
      <c r="S110" s="76"/>
      <c r="T110" s="83"/>
      <c r="U110" s="83"/>
      <c r="V110" s="77"/>
      <c r="W110" s="77"/>
      <c r="X110" s="77"/>
      <c r="Y110" s="83"/>
      <c r="Z110" s="83"/>
      <c r="AA110" s="83"/>
      <c r="AB110" s="77"/>
      <c r="AC110" s="83"/>
      <c r="AD110" s="83"/>
      <c r="AE110" s="77"/>
      <c r="AF110" s="86"/>
      <c r="AG110" s="86"/>
      <c r="AH110" s="41"/>
    </row>
    <row r="111" spans="11:34" ht="15.4" x14ac:dyDescent="0.4">
      <c r="K111" s="77"/>
      <c r="L111" s="76"/>
      <c r="M111" s="76"/>
      <c r="N111" s="76"/>
      <c r="O111" s="76"/>
      <c r="P111" s="76"/>
      <c r="Q111" s="76"/>
      <c r="R111" s="76"/>
      <c r="S111" s="76"/>
      <c r="T111" s="83"/>
      <c r="U111" s="83"/>
      <c r="V111" s="77"/>
      <c r="W111" s="77"/>
      <c r="X111" s="77"/>
      <c r="Y111" s="83"/>
      <c r="Z111" s="83"/>
      <c r="AA111" s="83"/>
      <c r="AB111" s="77"/>
      <c r="AC111" s="83"/>
      <c r="AD111" s="83"/>
      <c r="AE111" s="77"/>
      <c r="AF111" s="86"/>
      <c r="AG111" s="86"/>
      <c r="AH111" s="41"/>
    </row>
    <row r="112" spans="11:34" ht="15.4" x14ac:dyDescent="0.4">
      <c r="K112" s="77"/>
      <c r="L112" s="76"/>
      <c r="M112" s="76"/>
      <c r="N112" s="76"/>
      <c r="O112" s="76"/>
      <c r="P112" s="76"/>
      <c r="Q112" s="76"/>
      <c r="R112" s="76"/>
      <c r="S112" s="76"/>
      <c r="T112" s="83"/>
      <c r="U112" s="83"/>
      <c r="V112" s="77"/>
      <c r="W112" s="77"/>
      <c r="X112" s="77"/>
      <c r="Y112" s="83"/>
      <c r="Z112" s="83"/>
      <c r="AA112" s="83"/>
      <c r="AB112" s="77"/>
      <c r="AC112" s="83"/>
      <c r="AD112" s="83"/>
      <c r="AE112" s="77"/>
      <c r="AF112" s="86"/>
      <c r="AG112" s="86"/>
      <c r="AH112" s="41"/>
    </row>
    <row r="113" spans="11:34" ht="15.4" x14ac:dyDescent="0.4">
      <c r="K113" s="77"/>
      <c r="L113" s="76"/>
      <c r="M113" s="76"/>
      <c r="N113" s="76"/>
      <c r="O113" s="76"/>
      <c r="P113" s="76"/>
      <c r="Q113" s="76"/>
      <c r="R113" s="76"/>
      <c r="S113" s="76"/>
      <c r="T113" s="83"/>
      <c r="U113" s="83"/>
      <c r="V113" s="77"/>
      <c r="W113" s="77"/>
      <c r="X113" s="77"/>
      <c r="Y113" s="83"/>
      <c r="Z113" s="83"/>
      <c r="AA113" s="83"/>
      <c r="AB113" s="77"/>
      <c r="AC113" s="83"/>
      <c r="AD113" s="83"/>
      <c r="AE113" s="77"/>
      <c r="AF113" s="86"/>
      <c r="AG113" s="86"/>
      <c r="AH113" s="41"/>
    </row>
    <row r="114" spans="11:34" ht="15.4" x14ac:dyDescent="0.4">
      <c r="K114" s="77"/>
      <c r="L114" s="76"/>
      <c r="M114" s="76"/>
      <c r="N114" s="76"/>
      <c r="O114" s="76"/>
      <c r="P114" s="76"/>
      <c r="Q114" s="76"/>
      <c r="R114" s="76"/>
      <c r="S114" s="76"/>
      <c r="T114" s="83"/>
      <c r="U114" s="83"/>
      <c r="V114" s="77"/>
      <c r="W114" s="77"/>
      <c r="X114" s="77"/>
      <c r="Y114" s="83"/>
      <c r="Z114" s="83"/>
      <c r="AA114" s="83"/>
      <c r="AB114" s="77"/>
      <c r="AC114" s="83"/>
      <c r="AD114" s="83"/>
      <c r="AE114" s="77"/>
      <c r="AF114" s="86"/>
      <c r="AG114" s="86"/>
      <c r="AH114" s="41"/>
    </row>
    <row r="115" spans="11:34" ht="15.4" x14ac:dyDescent="0.4">
      <c r="K115" s="77"/>
      <c r="L115" s="76"/>
      <c r="M115" s="76"/>
      <c r="N115" s="76"/>
      <c r="O115" s="76"/>
      <c r="P115" s="76"/>
      <c r="Q115" s="76"/>
      <c r="R115" s="76"/>
      <c r="S115" s="76"/>
      <c r="T115" s="83"/>
      <c r="U115" s="83"/>
      <c r="V115" s="77"/>
      <c r="W115" s="77"/>
      <c r="X115" s="77"/>
      <c r="Y115" s="83"/>
      <c r="Z115" s="83"/>
      <c r="AA115" s="83"/>
      <c r="AB115" s="77"/>
      <c r="AC115" s="83"/>
      <c r="AD115" s="83"/>
      <c r="AE115" s="77"/>
      <c r="AF115" s="86"/>
      <c r="AG115" s="86"/>
      <c r="AH115" s="41"/>
    </row>
    <row r="116" spans="11:34" ht="15.4" x14ac:dyDescent="0.4">
      <c r="K116" s="77"/>
      <c r="L116" s="76"/>
      <c r="M116" s="76"/>
      <c r="N116" s="76"/>
      <c r="O116" s="76"/>
      <c r="P116" s="76"/>
      <c r="Q116" s="76"/>
      <c r="R116" s="76"/>
      <c r="S116" s="76"/>
      <c r="T116" s="83"/>
      <c r="U116" s="83"/>
      <c r="V116" s="77"/>
      <c r="W116" s="77"/>
      <c r="X116" s="77"/>
      <c r="Y116" s="83"/>
      <c r="Z116" s="83"/>
      <c r="AA116" s="83"/>
      <c r="AB116" s="77"/>
      <c r="AC116" s="83"/>
      <c r="AD116" s="83"/>
      <c r="AE116" s="77"/>
      <c r="AF116" s="86"/>
      <c r="AG116" s="86"/>
      <c r="AH116" s="41"/>
    </row>
    <row r="117" spans="11:34" ht="15.4" x14ac:dyDescent="0.4">
      <c r="K117" s="77"/>
      <c r="L117" s="76"/>
      <c r="M117" s="76"/>
      <c r="N117" s="76"/>
      <c r="O117" s="76"/>
      <c r="P117" s="76"/>
      <c r="Q117" s="76"/>
      <c r="R117" s="76"/>
      <c r="S117" s="76"/>
      <c r="T117" s="83"/>
      <c r="U117" s="83"/>
      <c r="V117" s="77"/>
      <c r="W117" s="77"/>
      <c r="X117" s="77"/>
      <c r="Y117" s="83"/>
      <c r="Z117" s="83"/>
      <c r="AA117" s="83"/>
      <c r="AB117" s="77"/>
      <c r="AC117" s="83"/>
      <c r="AD117" s="83"/>
      <c r="AE117" s="77"/>
      <c r="AF117" s="86"/>
      <c r="AG117" s="86"/>
      <c r="AH117" s="41"/>
    </row>
    <row r="118" spans="11:34" ht="15.4" x14ac:dyDescent="0.4">
      <c r="K118" s="77"/>
      <c r="L118" s="76"/>
      <c r="M118" s="76"/>
      <c r="N118" s="76"/>
      <c r="O118" s="76"/>
      <c r="P118" s="76"/>
      <c r="Q118" s="76"/>
      <c r="R118" s="76"/>
      <c r="S118" s="76"/>
      <c r="T118" s="83"/>
      <c r="U118" s="83"/>
      <c r="V118" s="77"/>
      <c r="W118" s="77"/>
      <c r="X118" s="77"/>
      <c r="Y118" s="83"/>
      <c r="Z118" s="83"/>
      <c r="AA118" s="83"/>
      <c r="AB118" s="77"/>
      <c r="AC118" s="83"/>
      <c r="AD118" s="83"/>
      <c r="AE118" s="77"/>
      <c r="AF118" s="86"/>
      <c r="AG118" s="86"/>
      <c r="AH118" s="41"/>
    </row>
    <row r="119" spans="11:34" ht="15.4" x14ac:dyDescent="0.4">
      <c r="K119" s="77"/>
      <c r="L119" s="76"/>
      <c r="M119" s="76"/>
      <c r="N119" s="76"/>
      <c r="O119" s="76"/>
      <c r="P119" s="76"/>
      <c r="Q119" s="76"/>
      <c r="R119" s="76"/>
      <c r="S119" s="76"/>
      <c r="T119" s="83"/>
      <c r="U119" s="83"/>
      <c r="V119" s="77"/>
      <c r="W119" s="77"/>
      <c r="X119" s="77"/>
      <c r="Y119" s="77"/>
      <c r="Z119" s="83"/>
      <c r="AA119" s="83"/>
      <c r="AB119" s="77"/>
      <c r="AC119" s="83"/>
      <c r="AD119" s="83"/>
      <c r="AE119" s="77"/>
      <c r="AF119" s="86"/>
      <c r="AG119" s="86"/>
      <c r="AH119" s="41"/>
    </row>
    <row r="120" spans="11:34" ht="15.4" x14ac:dyDescent="0.4">
      <c r="K120" s="77"/>
      <c r="L120" s="76"/>
      <c r="M120" s="76"/>
      <c r="N120" s="76"/>
      <c r="O120" s="76"/>
      <c r="P120" s="76"/>
      <c r="Q120" s="76"/>
      <c r="R120" s="76"/>
      <c r="S120" s="76"/>
      <c r="T120" s="83"/>
      <c r="U120" s="83"/>
      <c r="V120" s="77"/>
      <c r="W120" s="77"/>
      <c r="X120" s="77"/>
      <c r="Y120" s="77"/>
      <c r="Z120" s="83"/>
      <c r="AA120" s="83"/>
      <c r="AB120" s="77"/>
      <c r="AC120" s="83"/>
      <c r="AD120" s="83"/>
      <c r="AE120" s="77"/>
      <c r="AF120" s="86"/>
      <c r="AG120" s="86"/>
      <c r="AH120" s="41"/>
    </row>
    <row r="121" spans="11:34" ht="15.4" x14ac:dyDescent="0.4">
      <c r="K121" s="77"/>
      <c r="L121" s="76"/>
      <c r="M121" s="76"/>
      <c r="N121" s="76"/>
      <c r="O121" s="76"/>
      <c r="P121" s="76"/>
      <c r="Q121" s="76"/>
      <c r="R121" s="76"/>
      <c r="S121" s="76"/>
      <c r="T121" s="83"/>
      <c r="U121" s="83"/>
      <c r="V121" s="77"/>
      <c r="W121" s="77"/>
      <c r="X121" s="77"/>
      <c r="Y121" s="77"/>
      <c r="Z121" s="83"/>
      <c r="AA121" s="83"/>
      <c r="AB121" s="77"/>
      <c r="AC121" s="83"/>
      <c r="AD121" s="83"/>
      <c r="AE121" s="77"/>
      <c r="AF121" s="86"/>
      <c r="AG121" s="86"/>
      <c r="AH121" s="41"/>
    </row>
    <row r="122" spans="11:34" ht="15.4" x14ac:dyDescent="0.4">
      <c r="K122" s="77"/>
      <c r="L122" s="76"/>
      <c r="M122" s="76"/>
      <c r="N122" s="76"/>
      <c r="O122" s="76"/>
      <c r="P122" s="76"/>
      <c r="Q122" s="76"/>
      <c r="R122" s="76"/>
      <c r="S122" s="76"/>
      <c r="T122" s="83"/>
      <c r="U122" s="83"/>
      <c r="V122" s="77"/>
      <c r="W122" s="77"/>
      <c r="X122" s="77"/>
      <c r="Y122" s="77"/>
      <c r="Z122" s="83"/>
      <c r="AA122" s="83"/>
      <c r="AB122" s="77"/>
      <c r="AC122" s="83"/>
      <c r="AD122" s="83"/>
      <c r="AE122" s="77"/>
      <c r="AF122" s="86"/>
      <c r="AG122" s="86"/>
      <c r="AH122" s="41"/>
    </row>
    <row r="123" spans="11:34" ht="15.4" x14ac:dyDescent="0.4">
      <c r="K123" s="77"/>
      <c r="L123" s="76"/>
      <c r="M123" s="76"/>
      <c r="N123" s="76"/>
      <c r="O123" s="76"/>
      <c r="P123" s="76"/>
      <c r="Q123" s="76"/>
      <c r="R123" s="76"/>
      <c r="S123" s="76"/>
      <c r="T123" s="83"/>
      <c r="U123" s="83"/>
      <c r="V123" s="77"/>
      <c r="W123" s="77"/>
      <c r="X123" s="77"/>
      <c r="Y123" s="77"/>
      <c r="Z123" s="83"/>
      <c r="AA123" s="83"/>
      <c r="AB123" s="77"/>
      <c r="AC123" s="83"/>
      <c r="AD123" s="83"/>
      <c r="AE123" s="77"/>
      <c r="AF123" s="86"/>
      <c r="AG123" s="86"/>
      <c r="AH123" s="41"/>
    </row>
    <row r="124" spans="11:34" ht="15.4" x14ac:dyDescent="0.4">
      <c r="K124" s="77"/>
      <c r="L124" s="76"/>
      <c r="M124" s="76"/>
      <c r="N124" s="76"/>
      <c r="O124" s="76"/>
      <c r="P124" s="76"/>
      <c r="Q124" s="76"/>
      <c r="R124" s="76"/>
      <c r="S124" s="76"/>
      <c r="T124" s="83"/>
      <c r="U124" s="83"/>
      <c r="V124" s="77"/>
      <c r="W124" s="77"/>
      <c r="X124" s="77"/>
      <c r="Y124" s="77"/>
      <c r="Z124" s="83"/>
      <c r="AA124" s="83"/>
      <c r="AB124" s="77"/>
      <c r="AC124" s="83"/>
      <c r="AD124" s="83"/>
      <c r="AE124" s="77"/>
      <c r="AF124" s="86"/>
      <c r="AG124" s="86"/>
      <c r="AH124" s="41"/>
    </row>
    <row r="125" spans="11:34" ht="15.4" x14ac:dyDescent="0.4">
      <c r="K125" s="77"/>
      <c r="L125" s="76"/>
      <c r="M125" s="76"/>
      <c r="N125" s="76"/>
      <c r="O125" s="76"/>
      <c r="P125" s="76"/>
      <c r="Q125" s="76"/>
      <c r="R125" s="76"/>
      <c r="S125" s="76"/>
      <c r="T125" s="83"/>
      <c r="U125" s="83"/>
      <c r="V125" s="77"/>
      <c r="W125" s="77"/>
      <c r="X125" s="77"/>
      <c r="Y125" s="77"/>
      <c r="Z125" s="83"/>
      <c r="AA125" s="83"/>
      <c r="AB125" s="77"/>
      <c r="AC125" s="83"/>
      <c r="AD125" s="83"/>
      <c r="AE125" s="77"/>
      <c r="AF125" s="86"/>
      <c r="AG125" s="86"/>
      <c r="AH125" s="41"/>
    </row>
    <row r="126" spans="11:34" ht="15.4" x14ac:dyDescent="0.4">
      <c r="K126" s="77"/>
      <c r="L126" s="76"/>
      <c r="M126" s="76"/>
      <c r="N126" s="76"/>
      <c r="O126" s="76"/>
      <c r="P126" s="76"/>
      <c r="Q126" s="76"/>
      <c r="R126" s="76"/>
      <c r="S126" s="76"/>
      <c r="T126" s="83"/>
      <c r="U126" s="83"/>
      <c r="V126" s="77"/>
      <c r="W126" s="77"/>
      <c r="X126" s="77"/>
      <c r="Y126" s="77"/>
      <c r="Z126" s="83"/>
      <c r="AA126" s="83"/>
      <c r="AB126" s="77"/>
      <c r="AC126" s="83"/>
      <c r="AD126" s="83"/>
      <c r="AE126" s="77"/>
      <c r="AF126" s="86"/>
      <c r="AG126" s="86"/>
      <c r="AH126" s="41"/>
    </row>
    <row r="127" spans="11:34" ht="15.4" x14ac:dyDescent="0.4">
      <c r="K127" s="77"/>
      <c r="L127" s="76"/>
      <c r="M127" s="76"/>
      <c r="N127" s="76"/>
      <c r="O127" s="76"/>
      <c r="P127" s="76"/>
      <c r="Q127" s="76"/>
      <c r="R127" s="76"/>
      <c r="S127" s="76"/>
      <c r="T127" s="83"/>
      <c r="U127" s="83"/>
      <c r="V127" s="77"/>
      <c r="W127" s="77"/>
      <c r="X127" s="77"/>
      <c r="Y127" s="77"/>
      <c r="Z127" s="83"/>
      <c r="AA127" s="83"/>
      <c r="AB127" s="77"/>
      <c r="AC127" s="83"/>
      <c r="AD127" s="83"/>
      <c r="AE127" s="77"/>
      <c r="AF127" s="86"/>
      <c r="AG127" s="86"/>
      <c r="AH127" s="41"/>
    </row>
    <row r="128" spans="11:34" ht="15.4" x14ac:dyDescent="0.4">
      <c r="K128" s="77"/>
      <c r="L128" s="76"/>
      <c r="M128" s="76"/>
      <c r="N128" s="76"/>
      <c r="O128" s="76"/>
      <c r="P128" s="76"/>
      <c r="Q128" s="76"/>
      <c r="R128" s="76"/>
      <c r="S128" s="76"/>
      <c r="T128" s="83"/>
      <c r="U128" s="83"/>
      <c r="V128" s="77"/>
      <c r="W128" s="77"/>
      <c r="X128" s="77"/>
      <c r="Y128" s="77"/>
      <c r="Z128" s="83"/>
      <c r="AA128" s="83"/>
      <c r="AB128" s="77"/>
      <c r="AC128" s="83"/>
      <c r="AD128" s="83"/>
      <c r="AE128" s="77"/>
      <c r="AF128" s="86"/>
      <c r="AG128" s="86"/>
      <c r="AH128" s="41"/>
    </row>
    <row r="129" spans="11:34" ht="15.4" x14ac:dyDescent="0.4">
      <c r="K129" s="77"/>
      <c r="L129" s="76"/>
      <c r="M129" s="76"/>
      <c r="N129" s="76"/>
      <c r="O129" s="76"/>
      <c r="P129" s="76"/>
      <c r="Q129" s="76"/>
      <c r="R129" s="76"/>
      <c r="S129" s="76"/>
      <c r="T129" s="83"/>
      <c r="U129" s="83"/>
      <c r="V129" s="77"/>
      <c r="W129" s="77"/>
      <c r="X129" s="77"/>
      <c r="Y129" s="77"/>
      <c r="Z129" s="83"/>
      <c r="AA129" s="83"/>
      <c r="AB129" s="77"/>
      <c r="AC129" s="83"/>
      <c r="AD129" s="83"/>
      <c r="AE129" s="77"/>
      <c r="AF129" s="86"/>
      <c r="AG129" s="86"/>
      <c r="AH129" s="41"/>
    </row>
    <row r="130" spans="11:34" ht="15.4" x14ac:dyDescent="0.4">
      <c r="K130" s="77"/>
      <c r="L130" s="76"/>
      <c r="M130" s="76"/>
      <c r="N130" s="76"/>
      <c r="O130" s="76"/>
      <c r="P130" s="76"/>
      <c r="Q130" s="76"/>
      <c r="R130" s="76"/>
      <c r="S130" s="76"/>
      <c r="T130" s="83"/>
      <c r="U130" s="83"/>
      <c r="V130" s="77"/>
      <c r="W130" s="77"/>
      <c r="X130" s="77"/>
      <c r="Y130" s="77"/>
      <c r="Z130" s="83"/>
      <c r="AA130" s="83"/>
      <c r="AB130" s="77"/>
      <c r="AC130" s="83"/>
      <c r="AD130" s="83"/>
      <c r="AE130" s="77"/>
      <c r="AF130" s="86"/>
      <c r="AG130" s="86"/>
      <c r="AH130" s="41"/>
    </row>
    <row r="131" spans="11:34" ht="15.4" x14ac:dyDescent="0.4">
      <c r="K131" s="77"/>
      <c r="L131" s="76"/>
      <c r="M131" s="76"/>
      <c r="N131" s="76"/>
      <c r="O131" s="76"/>
      <c r="P131" s="76"/>
      <c r="Q131" s="76"/>
      <c r="R131" s="76"/>
      <c r="S131" s="76"/>
      <c r="T131" s="83"/>
      <c r="U131" s="83"/>
      <c r="V131" s="77"/>
      <c r="W131" s="77"/>
      <c r="X131" s="77"/>
      <c r="Y131" s="77"/>
      <c r="Z131" s="83"/>
      <c r="AA131" s="83"/>
      <c r="AB131" s="77"/>
      <c r="AC131" s="83"/>
      <c r="AD131" s="83"/>
      <c r="AE131" s="77"/>
      <c r="AF131" s="86"/>
      <c r="AG131" s="86"/>
      <c r="AH131" s="41"/>
    </row>
    <row r="132" spans="11:34" ht="15.4" x14ac:dyDescent="0.4">
      <c r="K132" s="77"/>
      <c r="L132" s="76"/>
      <c r="M132" s="76"/>
      <c r="N132" s="76"/>
      <c r="O132" s="76"/>
      <c r="P132" s="76"/>
      <c r="Q132" s="76"/>
      <c r="R132" s="76"/>
      <c r="S132" s="76"/>
      <c r="T132" s="83"/>
      <c r="U132" s="83"/>
      <c r="V132" s="77"/>
      <c r="W132" s="77"/>
      <c r="X132" s="77"/>
      <c r="Y132" s="77"/>
      <c r="Z132" s="83"/>
      <c r="AA132" s="83"/>
      <c r="AB132" s="77"/>
      <c r="AC132" s="83"/>
      <c r="AD132" s="83"/>
      <c r="AE132" s="77"/>
      <c r="AF132" s="86"/>
      <c r="AG132" s="86"/>
      <c r="AH132" s="41"/>
    </row>
    <row r="133" spans="11:34" ht="15.4" x14ac:dyDescent="0.4">
      <c r="K133" s="77"/>
      <c r="L133" s="76"/>
      <c r="M133" s="76"/>
      <c r="N133" s="76"/>
      <c r="O133" s="76"/>
      <c r="P133" s="76"/>
      <c r="Q133" s="76"/>
      <c r="R133" s="76"/>
      <c r="S133" s="76"/>
      <c r="T133" s="83"/>
      <c r="U133" s="83"/>
      <c r="V133" s="77"/>
      <c r="W133" s="77"/>
      <c r="X133" s="77"/>
      <c r="Y133" s="77"/>
      <c r="Z133" s="83"/>
      <c r="AA133" s="83"/>
      <c r="AB133" s="77"/>
      <c r="AC133" s="83"/>
      <c r="AD133" s="83"/>
      <c r="AE133" s="77"/>
      <c r="AF133" s="86"/>
      <c r="AG133" s="86"/>
      <c r="AH133" s="41"/>
    </row>
    <row r="134" spans="11:34" ht="15.4" x14ac:dyDescent="0.4">
      <c r="K134" s="77"/>
      <c r="L134" s="76"/>
      <c r="M134" s="76"/>
      <c r="N134" s="76"/>
      <c r="O134" s="76"/>
      <c r="P134" s="76"/>
      <c r="Q134" s="76"/>
      <c r="R134" s="76"/>
      <c r="S134" s="76"/>
      <c r="T134" s="83"/>
      <c r="U134" s="83"/>
      <c r="V134" s="77"/>
      <c r="W134" s="77"/>
      <c r="X134" s="77"/>
      <c r="Y134" s="77"/>
      <c r="Z134" s="83"/>
      <c r="AA134" s="83"/>
      <c r="AB134" s="77"/>
      <c r="AC134" s="83"/>
      <c r="AD134" s="83"/>
      <c r="AE134" s="77"/>
      <c r="AF134" s="86"/>
      <c r="AG134" s="86"/>
      <c r="AH134" s="41"/>
    </row>
    <row r="135" spans="11:34" ht="15.4" x14ac:dyDescent="0.4">
      <c r="K135" s="77"/>
      <c r="L135" s="76"/>
      <c r="M135" s="76"/>
      <c r="N135" s="76"/>
      <c r="O135" s="76"/>
      <c r="P135" s="76"/>
      <c r="Q135" s="76"/>
      <c r="R135" s="76"/>
      <c r="S135" s="76"/>
      <c r="T135" s="83"/>
      <c r="U135" s="83"/>
      <c r="V135" s="77"/>
      <c r="W135" s="77"/>
      <c r="X135" s="77"/>
      <c r="Y135" s="77"/>
      <c r="Z135" s="83"/>
      <c r="AA135" s="83"/>
      <c r="AB135" s="77"/>
      <c r="AC135" s="83"/>
      <c r="AD135" s="83"/>
      <c r="AE135" s="77"/>
      <c r="AF135" s="86"/>
      <c r="AG135" s="86"/>
      <c r="AH135" s="41"/>
    </row>
    <row r="136" spans="11:34" ht="15.4" x14ac:dyDescent="0.4">
      <c r="K136" s="77"/>
      <c r="L136" s="76"/>
      <c r="M136" s="76"/>
      <c r="N136" s="76"/>
      <c r="O136" s="76"/>
      <c r="P136" s="76"/>
      <c r="Q136" s="76"/>
      <c r="R136" s="76"/>
      <c r="S136" s="76"/>
      <c r="T136" s="83"/>
      <c r="U136" s="83"/>
      <c r="V136" s="77"/>
      <c r="W136" s="77"/>
      <c r="X136" s="77"/>
      <c r="Y136" s="77"/>
      <c r="Z136" s="83"/>
      <c r="AA136" s="83"/>
      <c r="AB136" s="77"/>
      <c r="AC136" s="83"/>
      <c r="AD136" s="83"/>
      <c r="AE136" s="77"/>
      <c r="AF136" s="86"/>
      <c r="AG136" s="86"/>
      <c r="AH136" s="41"/>
    </row>
    <row r="137" spans="11:34" ht="15.4" x14ac:dyDescent="0.4">
      <c r="K137" s="77"/>
      <c r="L137" s="76"/>
      <c r="M137" s="76"/>
      <c r="N137" s="76"/>
      <c r="O137" s="76"/>
      <c r="P137" s="76"/>
      <c r="Q137" s="76"/>
      <c r="R137" s="76"/>
      <c r="S137" s="76"/>
      <c r="T137" s="83"/>
      <c r="U137" s="83"/>
      <c r="V137" s="77"/>
      <c r="W137" s="77"/>
      <c r="X137" s="77"/>
      <c r="Y137" s="77"/>
      <c r="Z137" s="83"/>
      <c r="AA137" s="83"/>
      <c r="AB137" s="77"/>
      <c r="AC137" s="83"/>
      <c r="AD137" s="83"/>
      <c r="AE137" s="77"/>
      <c r="AF137" s="86"/>
      <c r="AG137" s="86"/>
      <c r="AH137" s="41"/>
    </row>
    <row r="138" spans="11:34" ht="15.4" x14ac:dyDescent="0.4">
      <c r="K138" s="77"/>
      <c r="L138" s="76"/>
      <c r="M138" s="76"/>
      <c r="N138" s="76"/>
      <c r="O138" s="76"/>
      <c r="P138" s="76"/>
      <c r="Q138" s="76"/>
      <c r="R138" s="76"/>
      <c r="S138" s="76"/>
      <c r="T138" s="83"/>
      <c r="U138" s="83"/>
      <c r="V138" s="77"/>
      <c r="W138" s="77"/>
      <c r="X138" s="77"/>
      <c r="Y138" s="77"/>
      <c r="Z138" s="83"/>
      <c r="AA138" s="83"/>
      <c r="AB138" s="77"/>
      <c r="AC138" s="83"/>
      <c r="AD138" s="83"/>
      <c r="AE138" s="77"/>
      <c r="AF138" s="86"/>
      <c r="AG138" s="86"/>
      <c r="AH138" s="41"/>
    </row>
    <row r="139" spans="11:34" ht="15.4" x14ac:dyDescent="0.4">
      <c r="K139" s="77"/>
      <c r="L139" s="76"/>
      <c r="M139" s="76"/>
      <c r="N139" s="76"/>
      <c r="O139" s="76"/>
      <c r="P139" s="76"/>
      <c r="Q139" s="76"/>
      <c r="R139" s="76"/>
      <c r="S139" s="76"/>
      <c r="T139" s="83"/>
      <c r="U139" s="83"/>
      <c r="V139" s="77"/>
      <c r="W139" s="77"/>
      <c r="X139" s="77"/>
      <c r="Y139" s="77"/>
      <c r="Z139" s="83"/>
      <c r="AA139" s="83"/>
      <c r="AB139" s="77"/>
      <c r="AC139" s="83"/>
      <c r="AD139" s="83"/>
      <c r="AE139" s="77"/>
      <c r="AF139" s="86"/>
      <c r="AG139" s="86"/>
      <c r="AH139" s="41"/>
    </row>
    <row r="140" spans="11:34" ht="15.4" x14ac:dyDescent="0.4">
      <c r="K140" s="77"/>
      <c r="L140" s="76"/>
      <c r="M140" s="76"/>
      <c r="N140" s="76"/>
      <c r="O140" s="76"/>
      <c r="P140" s="76"/>
      <c r="Q140" s="76"/>
      <c r="R140" s="76"/>
      <c r="S140" s="76"/>
      <c r="T140" s="83"/>
      <c r="U140" s="83"/>
      <c r="V140" s="77"/>
      <c r="W140" s="77"/>
      <c r="X140" s="77"/>
      <c r="Y140" s="77"/>
      <c r="Z140" s="83"/>
      <c r="AA140" s="83"/>
      <c r="AB140" s="77"/>
      <c r="AC140" s="83"/>
      <c r="AD140" s="83"/>
      <c r="AE140" s="77"/>
      <c r="AF140" s="86"/>
      <c r="AG140" s="86"/>
      <c r="AH140" s="41"/>
    </row>
    <row r="141" spans="11:34" ht="15.4" x14ac:dyDescent="0.4">
      <c r="K141" s="77"/>
      <c r="L141" s="76"/>
      <c r="M141" s="76"/>
      <c r="N141" s="76"/>
      <c r="O141" s="76"/>
      <c r="P141" s="76"/>
      <c r="Q141" s="76"/>
      <c r="R141" s="76"/>
      <c r="S141" s="76"/>
      <c r="T141" s="83"/>
      <c r="U141" s="83"/>
      <c r="V141" s="77"/>
      <c r="W141" s="77"/>
      <c r="X141" s="77"/>
      <c r="Y141" s="77"/>
      <c r="Z141" s="83"/>
      <c r="AA141" s="83"/>
      <c r="AB141" s="77"/>
      <c r="AC141" s="83"/>
      <c r="AD141" s="83"/>
      <c r="AE141" s="77"/>
      <c r="AF141" s="86"/>
      <c r="AG141" s="86"/>
      <c r="AH141" s="41"/>
    </row>
    <row r="142" spans="11:34" ht="15.4" x14ac:dyDescent="0.4">
      <c r="K142" s="77"/>
      <c r="L142" s="76"/>
      <c r="M142" s="76"/>
      <c r="N142" s="76"/>
      <c r="O142" s="76"/>
      <c r="P142" s="76"/>
      <c r="Q142" s="76"/>
      <c r="R142" s="76"/>
      <c r="S142" s="76"/>
      <c r="T142" s="83"/>
      <c r="U142" s="83"/>
      <c r="V142" s="77"/>
      <c r="W142" s="77"/>
      <c r="X142" s="77"/>
      <c r="Y142" s="77"/>
      <c r="Z142" s="83"/>
      <c r="AA142" s="83"/>
      <c r="AB142" s="77"/>
      <c r="AC142" s="83"/>
      <c r="AD142" s="83"/>
      <c r="AE142" s="77"/>
      <c r="AF142" s="86"/>
      <c r="AG142" s="86"/>
      <c r="AH142" s="41"/>
    </row>
    <row r="143" spans="11:34" ht="15.4" x14ac:dyDescent="0.4">
      <c r="K143" s="77"/>
      <c r="L143" s="76"/>
      <c r="M143" s="76"/>
      <c r="N143" s="76"/>
      <c r="O143" s="76"/>
      <c r="P143" s="76"/>
      <c r="Q143" s="76"/>
      <c r="R143" s="76"/>
      <c r="S143" s="76"/>
      <c r="T143" s="83"/>
      <c r="U143" s="83"/>
      <c r="V143" s="77"/>
      <c r="W143" s="77"/>
      <c r="X143" s="77"/>
      <c r="Y143" s="77"/>
      <c r="Z143" s="83"/>
      <c r="AA143" s="83"/>
      <c r="AB143" s="77"/>
      <c r="AC143" s="83"/>
      <c r="AD143" s="83"/>
      <c r="AE143" s="77"/>
      <c r="AF143" s="86"/>
      <c r="AG143" s="86"/>
      <c r="AH143" s="41"/>
    </row>
    <row r="144" spans="11:34" ht="15.4" x14ac:dyDescent="0.4">
      <c r="K144" s="77"/>
      <c r="L144" s="76"/>
      <c r="M144" s="76"/>
      <c r="N144" s="76"/>
      <c r="O144" s="76"/>
      <c r="P144" s="76"/>
      <c r="Q144" s="76"/>
      <c r="R144" s="76"/>
      <c r="S144" s="76"/>
      <c r="T144" s="83"/>
      <c r="U144" s="83"/>
      <c r="V144" s="77"/>
      <c r="W144" s="77"/>
      <c r="X144" s="77"/>
      <c r="Y144" s="77"/>
      <c r="Z144" s="83"/>
      <c r="AA144" s="83"/>
      <c r="AB144" s="77"/>
      <c r="AC144" s="83"/>
      <c r="AD144" s="83"/>
      <c r="AE144" s="77"/>
      <c r="AF144" s="86"/>
      <c r="AG144" s="86"/>
      <c r="AH144" s="41"/>
    </row>
    <row r="145" spans="11:34" x14ac:dyDescent="0.4"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85"/>
      <c r="AG145" s="85"/>
      <c r="AH145" s="41"/>
    </row>
  </sheetData>
  <mergeCells count="9">
    <mergeCell ref="C4:J4"/>
    <mergeCell ref="A16:J16"/>
    <mergeCell ref="A50:E50"/>
    <mergeCell ref="L66:U66"/>
    <mergeCell ref="T2:U2"/>
    <mergeCell ref="W2:X2"/>
    <mergeCell ref="AC2:AD2"/>
    <mergeCell ref="AF2:AG2"/>
    <mergeCell ref="C3:J3"/>
  </mergeCells>
  <phoneticPr fontId="3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45"/>
  <sheetViews>
    <sheetView zoomScale="70" zoomScaleNormal="70" workbookViewId="0">
      <selection activeCell="G7" sqref="G7"/>
    </sheetView>
  </sheetViews>
  <sheetFormatPr defaultColWidth="9" defaultRowHeight="13.9" x14ac:dyDescent="0.4"/>
  <cols>
    <col min="1" max="2" width="9" style="43"/>
    <col min="3" max="3" width="17.796875" style="43" customWidth="1"/>
    <col min="4" max="11" width="9" style="43"/>
    <col min="12" max="12" width="13.46484375" style="43" customWidth="1"/>
    <col min="13" max="15" width="12.86328125" style="43"/>
    <col min="16" max="17" width="14.1328125" style="43"/>
    <col min="18" max="19" width="9" style="43"/>
    <col min="20" max="20" width="12.33203125" style="43" customWidth="1"/>
    <col min="21" max="21" width="17.6640625" style="43" customWidth="1"/>
    <col min="22" max="25" width="9" style="43"/>
    <col min="26" max="26" width="13.1328125" style="43"/>
    <col min="27" max="27" width="21.19921875" style="43" customWidth="1"/>
    <col min="28" max="28" width="9" style="43"/>
    <col min="29" max="29" width="12.1328125" style="43" customWidth="1"/>
    <col min="30" max="30" width="13.86328125" style="43" customWidth="1"/>
    <col min="31" max="32" width="9" style="43"/>
    <col min="33" max="33" width="15.796875" style="43" customWidth="1"/>
    <col min="34" max="16384" width="9" style="43"/>
  </cols>
  <sheetData>
    <row r="1" spans="1:49" ht="15.3" customHeight="1" x14ac:dyDescent="0.4"/>
    <row r="2" spans="1:49" ht="25.15" x14ac:dyDescent="0.4">
      <c r="A2" s="45"/>
      <c r="B2" s="45"/>
      <c r="C2" s="45"/>
      <c r="D2" s="45"/>
      <c r="E2" s="45"/>
      <c r="F2" s="45"/>
      <c r="G2" s="45"/>
      <c r="H2" s="45"/>
      <c r="I2" s="45"/>
      <c r="J2" s="45"/>
      <c r="K2" s="63" t="s">
        <v>4</v>
      </c>
      <c r="L2" s="18"/>
      <c r="M2" s="18"/>
      <c r="N2" s="18"/>
      <c r="O2" s="18"/>
      <c r="P2" s="18"/>
      <c r="Q2" s="18"/>
      <c r="R2" s="18"/>
      <c r="S2" s="18"/>
      <c r="T2" s="134" t="s">
        <v>5</v>
      </c>
      <c r="U2" s="135"/>
      <c r="W2" s="136"/>
      <c r="X2" s="136"/>
      <c r="Y2" s="65"/>
      <c r="Z2" s="68"/>
      <c r="AA2" s="68"/>
      <c r="AC2" s="137"/>
      <c r="AD2" s="137"/>
      <c r="AF2" s="138"/>
      <c r="AG2" s="139"/>
      <c r="AH2" s="65"/>
      <c r="AI2" s="72"/>
      <c r="AJ2" s="72"/>
      <c r="AK2" s="73"/>
    </row>
    <row r="3" spans="1:49" ht="15.75" x14ac:dyDescent="0.4">
      <c r="A3" s="45"/>
      <c r="B3" s="1"/>
      <c r="C3" s="140" t="s">
        <v>6</v>
      </c>
      <c r="D3" s="140"/>
      <c r="E3" s="140"/>
      <c r="F3" s="140"/>
      <c r="G3" s="140"/>
      <c r="H3" s="140"/>
      <c r="I3" s="140"/>
      <c r="J3" s="140"/>
      <c r="K3" s="19" t="s">
        <v>0</v>
      </c>
      <c r="L3" s="20" t="s">
        <v>8</v>
      </c>
      <c r="M3" s="21" t="s">
        <v>9</v>
      </c>
      <c r="N3" s="22" t="s">
        <v>10</v>
      </c>
      <c r="O3" s="23" t="s">
        <v>11</v>
      </c>
      <c r="P3" s="24" t="s">
        <v>12</v>
      </c>
      <c r="Q3" s="22" t="s">
        <v>21</v>
      </c>
      <c r="R3" s="22"/>
      <c r="S3" s="22"/>
      <c r="T3" s="32" t="s">
        <v>3</v>
      </c>
      <c r="U3" s="33" t="s">
        <v>2</v>
      </c>
      <c r="Y3" s="69"/>
      <c r="AA3" s="69"/>
      <c r="AD3" s="69"/>
      <c r="AG3" s="74"/>
    </row>
    <row r="4" spans="1:49" ht="15.4" x14ac:dyDescent="0.4">
      <c r="A4" s="45"/>
      <c r="B4" s="3"/>
      <c r="C4" s="140" t="s">
        <v>13</v>
      </c>
      <c r="D4" s="140"/>
      <c r="E4" s="140"/>
      <c r="F4" s="140"/>
      <c r="G4" s="140"/>
      <c r="H4" s="140"/>
      <c r="I4" s="140"/>
      <c r="J4" s="140"/>
      <c r="K4" s="26">
        <v>0.1</v>
      </c>
      <c r="L4" s="27">
        <f t="shared" ref="L4:L60" si="0">K4*C$10</f>
        <v>3.5E-4</v>
      </c>
      <c r="M4" s="27">
        <f>Q4*C$8</f>
        <v>16.028373285999997</v>
      </c>
      <c r="N4" s="27">
        <f t="shared" ref="N4:N60" si="1">LN(1+L4)</f>
        <v>3.4993876428798858E-4</v>
      </c>
      <c r="O4" s="28">
        <f t="shared" ref="O4:O60" si="2">M4*(1+L4)</f>
        <v>16.0339832166501</v>
      </c>
      <c r="P4" s="28">
        <f t="shared" ref="P4:P60" si="3">N4-O4/C$9</f>
        <v>4.3787811705295527E-6</v>
      </c>
      <c r="Q4" s="27">
        <f>C$13*K4+(6-5*C$13)*K4^5+(4*C$13-5)*K4^6</f>
        <v>0.11999979999999999</v>
      </c>
      <c r="R4" s="27"/>
      <c r="S4" s="27"/>
      <c r="T4" s="35">
        <f t="shared" ref="T4:T60" si="4">1-(O4/(C$9*N4))^0.5</f>
        <v>6.2761915940932056E-3</v>
      </c>
      <c r="U4" s="36">
        <f t="shared" ref="U4:U60" si="5">P4</f>
        <v>4.3787811705295527E-6</v>
      </c>
      <c r="Y4" s="34"/>
      <c r="Z4" s="34"/>
      <c r="AA4" s="34"/>
      <c r="AC4" s="34"/>
      <c r="AD4" s="34"/>
      <c r="AF4" s="70"/>
      <c r="AG4" s="70"/>
    </row>
    <row r="5" spans="1:49" ht="15.4" x14ac:dyDescent="0.4">
      <c r="A5" s="45"/>
      <c r="B5" s="46"/>
      <c r="C5" s="45"/>
      <c r="D5" s="46"/>
      <c r="E5" s="45"/>
      <c r="F5" s="45"/>
      <c r="G5" s="45"/>
      <c r="H5" s="45"/>
      <c r="I5" s="45"/>
      <c r="J5" s="45"/>
      <c r="K5" s="26">
        <v>0.2</v>
      </c>
      <c r="L5" s="27">
        <f t="shared" si="0"/>
        <v>6.9999999999999999E-4</v>
      </c>
      <c r="M5" s="27">
        <f t="shared" ref="M5:M36" si="6">Q5*C$8</f>
        <v>32.055090303999997</v>
      </c>
      <c r="N5" s="27">
        <f t="shared" si="1"/>
        <v>6.9975511427326493E-4</v>
      </c>
      <c r="O5" s="28">
        <f t="shared" si="2"/>
        <v>32.077528867212791</v>
      </c>
      <c r="P5" s="28">
        <f t="shared" si="3"/>
        <v>8.4290611005754558E-6</v>
      </c>
      <c r="Q5" s="27">
        <f t="shared" ref="Q5:Q13" si="7">C$13*K5+(6-5*C$13)*K5^5+(4*C$13-5)*K5^6</f>
        <v>0.23998719999999998</v>
      </c>
      <c r="R5" s="27"/>
      <c r="S5" s="27"/>
      <c r="T5" s="35">
        <f t="shared" si="4"/>
        <v>6.0411124684247586E-3</v>
      </c>
      <c r="U5" s="36">
        <f t="shared" si="5"/>
        <v>8.4290611005754558E-6</v>
      </c>
      <c r="Y5" s="34"/>
      <c r="Z5" s="34"/>
      <c r="AA5" s="34"/>
      <c r="AC5" s="34"/>
      <c r="AD5" s="34"/>
      <c r="AF5" s="70"/>
      <c r="AG5" s="70"/>
    </row>
    <row r="6" spans="1:49" ht="15.4" x14ac:dyDescent="0.4">
      <c r="A6" s="45"/>
      <c r="B6" s="46"/>
      <c r="C6" s="45"/>
      <c r="D6" s="46"/>
      <c r="E6" s="45"/>
      <c r="F6" s="45"/>
      <c r="G6" s="45"/>
      <c r="H6" s="45"/>
      <c r="I6" s="45"/>
      <c r="J6" s="45"/>
      <c r="K6" s="26">
        <v>0.3</v>
      </c>
      <c r="L6" s="27">
        <f t="shared" si="0"/>
        <v>1.0499999999999999E-3</v>
      </c>
      <c r="M6" s="27">
        <f t="shared" si="6"/>
        <v>48.065725493999999</v>
      </c>
      <c r="N6" s="27">
        <f t="shared" si="1"/>
        <v>1.0494491355713738E-3</v>
      </c>
      <c r="O6" s="28">
        <f t="shared" si="2"/>
        <v>48.116194505768696</v>
      </c>
      <c r="P6" s="28">
        <f t="shared" si="3"/>
        <v>1.2462185016013988E-5</v>
      </c>
      <c r="Q6" s="27">
        <f t="shared" si="7"/>
        <v>0.35985420000000001</v>
      </c>
      <c r="R6" s="27"/>
      <c r="S6" s="27"/>
      <c r="T6" s="35">
        <f t="shared" si="4"/>
        <v>5.955221147929346E-3</v>
      </c>
      <c r="U6" s="36">
        <f t="shared" si="5"/>
        <v>1.2462185016013988E-5</v>
      </c>
      <c r="Y6" s="34"/>
      <c r="Z6" s="34"/>
      <c r="AA6" s="34"/>
      <c r="AC6" s="34"/>
      <c r="AD6" s="34"/>
      <c r="AF6" s="70"/>
      <c r="AG6" s="70"/>
    </row>
    <row r="7" spans="1:49" ht="15.4" x14ac:dyDescent="0.4">
      <c r="A7" s="45"/>
      <c r="B7" s="47" t="s">
        <v>15</v>
      </c>
      <c r="C7" s="5">
        <v>140.6</v>
      </c>
      <c r="D7" s="48"/>
      <c r="E7" s="45"/>
      <c r="F7" s="49"/>
      <c r="G7" s="45"/>
      <c r="H7" s="45"/>
      <c r="I7" s="45"/>
      <c r="J7" s="45"/>
      <c r="K7" s="26">
        <v>0.4</v>
      </c>
      <c r="L7" s="27">
        <f t="shared" si="0"/>
        <v>1.4E-3</v>
      </c>
      <c r="M7" s="27">
        <f t="shared" si="6"/>
        <v>64.004179455999989</v>
      </c>
      <c r="N7" s="27">
        <f t="shared" si="1"/>
        <v>1.3990209137074087E-3</v>
      </c>
      <c r="O7" s="28">
        <f t="shared" si="2"/>
        <v>64.093785307238392</v>
      </c>
      <c r="P7" s="28">
        <f t="shared" si="3"/>
        <v>1.7689333810029517E-5</v>
      </c>
      <c r="Q7" s="27">
        <f t="shared" si="7"/>
        <v>0.47918079999999996</v>
      </c>
      <c r="R7" s="27"/>
      <c r="S7" s="27"/>
      <c r="T7" s="35">
        <f t="shared" si="4"/>
        <v>6.3421519659433434E-3</v>
      </c>
      <c r="U7" s="36">
        <f t="shared" si="5"/>
        <v>1.7689333810029517E-5</v>
      </c>
      <c r="Y7" s="34"/>
      <c r="Z7" s="34"/>
      <c r="AA7" s="34"/>
      <c r="AC7" s="34"/>
      <c r="AD7" s="34"/>
      <c r="AF7" s="70"/>
      <c r="AG7" s="70"/>
    </row>
    <row r="8" spans="1:49" ht="15.4" x14ac:dyDescent="0.45">
      <c r="A8" s="45"/>
      <c r="B8" s="50" t="s">
        <v>16</v>
      </c>
      <c r="C8" s="51">
        <f>C7*0.95</f>
        <v>133.57</v>
      </c>
      <c r="D8" s="45"/>
      <c r="E8" s="45"/>
      <c r="F8" s="52"/>
      <c r="G8" s="45"/>
      <c r="H8" s="45"/>
      <c r="I8" s="45"/>
      <c r="J8" s="45"/>
      <c r="K8" s="26">
        <v>0.5</v>
      </c>
      <c r="L8" s="27">
        <f t="shared" si="0"/>
        <v>1.7499999999999998E-3</v>
      </c>
      <c r="M8" s="27">
        <f t="shared" si="6"/>
        <v>79.724593749999983</v>
      </c>
      <c r="N8" s="27">
        <f t="shared" si="1"/>
        <v>1.7484705341168031E-3</v>
      </c>
      <c r="O8" s="28">
        <f t="shared" si="2"/>
        <v>79.864111789062477</v>
      </c>
      <c r="P8" s="28">
        <f t="shared" si="3"/>
        <v>2.7261228318042853E-5</v>
      </c>
      <c r="Q8" s="27">
        <f t="shared" si="7"/>
        <v>0.59687499999999993</v>
      </c>
      <c r="R8" s="27"/>
      <c r="S8" s="27"/>
      <c r="T8" s="35">
        <f t="shared" si="4"/>
        <v>7.8263616660670943E-3</v>
      </c>
      <c r="U8" s="36">
        <f t="shared" si="5"/>
        <v>2.7261228318042853E-5</v>
      </c>
      <c r="Y8" s="34"/>
      <c r="Z8" s="34"/>
      <c r="AA8" s="34"/>
      <c r="AC8" s="34"/>
      <c r="AD8" s="34"/>
      <c r="AF8" s="70"/>
      <c r="AG8" s="70"/>
    </row>
    <row r="9" spans="1:49" s="41" customFormat="1" ht="15.4" x14ac:dyDescent="0.45">
      <c r="A9" s="53"/>
      <c r="B9" s="12" t="s">
        <v>17</v>
      </c>
      <c r="C9" s="9">
        <v>46400</v>
      </c>
      <c r="D9" s="53"/>
      <c r="E9" s="53"/>
      <c r="F9" s="53"/>
      <c r="G9" s="53"/>
      <c r="H9" s="53"/>
      <c r="I9" s="53"/>
      <c r="J9" s="53"/>
      <c r="K9" s="29">
        <v>0.6</v>
      </c>
      <c r="L9" s="27">
        <f t="shared" si="0"/>
        <v>2.0999999999999999E-3</v>
      </c>
      <c r="M9" s="27">
        <f t="shared" si="6"/>
        <v>94.924031615999994</v>
      </c>
      <c r="N9" s="27">
        <f t="shared" si="1"/>
        <v>2.0977980821461199E-3</v>
      </c>
      <c r="O9" s="28">
        <f t="shared" si="2"/>
        <v>95.123372082393587</v>
      </c>
      <c r="P9" s="28">
        <f t="shared" si="3"/>
        <v>4.7725407956602725E-5</v>
      </c>
      <c r="Q9" s="27">
        <f t="shared" si="7"/>
        <v>0.71066879999999999</v>
      </c>
      <c r="R9" s="37"/>
      <c r="S9" s="37"/>
      <c r="T9" s="35">
        <f t="shared" si="4"/>
        <v>1.1440562789484798E-2</v>
      </c>
      <c r="U9" s="36">
        <f t="shared" si="5"/>
        <v>4.7725407956602725E-5</v>
      </c>
      <c r="Y9" s="34"/>
      <c r="Z9" s="34"/>
      <c r="AA9" s="34"/>
      <c r="AB9" s="43"/>
      <c r="AC9" s="34"/>
      <c r="AD9" s="34"/>
      <c r="AE9" s="43"/>
      <c r="AF9" s="70"/>
      <c r="AG9" s="70"/>
      <c r="AU9" s="43"/>
    </row>
    <row r="10" spans="1:49" s="42" customFormat="1" ht="15.4" x14ac:dyDescent="0.4">
      <c r="A10" s="53"/>
      <c r="B10" s="10" t="s">
        <v>18</v>
      </c>
      <c r="C10" s="11">
        <f>3500*10^-6</f>
        <v>3.4999999999999996E-3</v>
      </c>
      <c r="D10" s="53"/>
      <c r="E10" s="53"/>
      <c r="F10" s="53"/>
      <c r="G10" s="53"/>
      <c r="H10" s="53"/>
      <c r="I10" s="53"/>
      <c r="J10" s="53"/>
      <c r="K10" s="30">
        <v>0.7</v>
      </c>
      <c r="L10" s="27">
        <f t="shared" si="0"/>
        <v>2.4499999999999995E-3</v>
      </c>
      <c r="M10" s="27">
        <f t="shared" si="6"/>
        <v>109.05592461399998</v>
      </c>
      <c r="N10" s="27">
        <f t="shared" si="1"/>
        <v>2.4470036430518471E-3</v>
      </c>
      <c r="O10" s="28">
        <f t="shared" si="2"/>
        <v>109.32311162930428</v>
      </c>
      <c r="P10" s="28">
        <f t="shared" si="3"/>
        <v>9.0902099316841119E-5</v>
      </c>
      <c r="Q10" s="27">
        <f t="shared" si="7"/>
        <v>0.81647019999999992</v>
      </c>
      <c r="R10" s="38"/>
      <c r="S10" s="38"/>
      <c r="T10" s="35">
        <f t="shared" si="4"/>
        <v>1.8749945321541395E-2</v>
      </c>
      <c r="U10" s="36">
        <f t="shared" si="5"/>
        <v>9.0902099316841119E-5</v>
      </c>
      <c r="V10" s="41"/>
      <c r="W10" s="41"/>
      <c r="X10" s="41"/>
      <c r="Y10" s="34"/>
      <c r="Z10" s="34"/>
      <c r="AA10" s="34"/>
      <c r="AB10" s="43"/>
      <c r="AC10" s="34"/>
      <c r="AD10" s="34"/>
      <c r="AE10" s="43"/>
      <c r="AF10" s="70"/>
      <c r="AG10" s="70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3"/>
      <c r="AV10" s="41"/>
      <c r="AW10" s="41"/>
    </row>
    <row r="11" spans="1:49" ht="15.4" x14ac:dyDescent="0.4">
      <c r="A11" s="45"/>
      <c r="B11" s="54" t="s">
        <v>19</v>
      </c>
      <c r="C11" s="55">
        <f>C8/C10</f>
        <v>38162.857142857145</v>
      </c>
      <c r="D11" s="56"/>
      <c r="E11" s="45"/>
      <c r="F11" s="45"/>
      <c r="G11" s="45"/>
      <c r="H11" s="45"/>
      <c r="I11" s="45"/>
      <c r="J11" s="45"/>
      <c r="K11" s="26">
        <v>0.8</v>
      </c>
      <c r="L11" s="27">
        <f t="shared" si="0"/>
        <v>2.8E-3</v>
      </c>
      <c r="M11" s="27">
        <f t="shared" si="6"/>
        <v>121.22428518399998</v>
      </c>
      <c r="N11" s="27">
        <f t="shared" si="1"/>
        <v>2.796087302001188E-3</v>
      </c>
      <c r="O11" s="28">
        <f t="shared" si="2"/>
        <v>121.56371318251517</v>
      </c>
      <c r="P11" s="28">
        <f t="shared" si="3"/>
        <v>1.7617969030905064E-4</v>
      </c>
      <c r="Q11" s="27">
        <f t="shared" si="7"/>
        <v>0.90757119999999991</v>
      </c>
      <c r="R11" s="27"/>
      <c r="S11" s="27"/>
      <c r="T11" s="35">
        <f t="shared" si="4"/>
        <v>3.2017235050918025E-2</v>
      </c>
      <c r="U11" s="36">
        <f t="shared" si="5"/>
        <v>1.7617969030905064E-4</v>
      </c>
      <c r="Y11" s="34"/>
      <c r="Z11" s="34"/>
      <c r="AA11" s="34"/>
      <c r="AC11" s="34"/>
      <c r="AD11" s="34"/>
      <c r="AF11" s="70"/>
      <c r="AG11" s="70"/>
    </row>
    <row r="12" spans="1:49" ht="15.4" x14ac:dyDescent="0.4">
      <c r="A12" s="45"/>
      <c r="B12" s="13" t="s">
        <v>1</v>
      </c>
      <c r="C12" s="14">
        <f>C9/C11</f>
        <v>1.2158418806618252</v>
      </c>
      <c r="D12" s="45"/>
      <c r="E12" s="45"/>
      <c r="F12" s="45"/>
      <c r="G12" s="45"/>
      <c r="H12" s="45"/>
      <c r="I12" s="45"/>
      <c r="J12" s="45"/>
      <c r="K12" s="26">
        <v>0.9</v>
      </c>
      <c r="L12" s="27">
        <f t="shared" si="0"/>
        <v>3.1499999999999996E-3</v>
      </c>
      <c r="M12" s="27">
        <f t="shared" si="6"/>
        <v>130.05868512599997</v>
      </c>
      <c r="N12" s="27">
        <f t="shared" si="1"/>
        <v>3.1450491440728496E-3</v>
      </c>
      <c r="O12" s="28">
        <f t="shared" si="2"/>
        <v>130.46836998414688</v>
      </c>
      <c r="P12" s="28">
        <f t="shared" si="3"/>
        <v>3.3323082544899464E-4</v>
      </c>
      <c r="Q12" s="27">
        <f t="shared" si="7"/>
        <v>0.97371179999999991</v>
      </c>
      <c r="R12" s="27"/>
      <c r="S12" s="27"/>
      <c r="T12" s="35">
        <f t="shared" si="4"/>
        <v>5.4459991175270561E-2</v>
      </c>
      <c r="U12" s="36">
        <f t="shared" si="5"/>
        <v>3.3323082544899464E-4</v>
      </c>
      <c r="Z12" s="34"/>
      <c r="AA12" s="34"/>
      <c r="AC12" s="34"/>
      <c r="AD12" s="34"/>
      <c r="AF12" s="70"/>
      <c r="AG12" s="70"/>
    </row>
    <row r="13" spans="1:49" ht="15.4" x14ac:dyDescent="0.45">
      <c r="A13" s="45"/>
      <c r="B13" s="50" t="s">
        <v>22</v>
      </c>
      <c r="C13" s="14">
        <v>1.2</v>
      </c>
      <c r="D13" s="57" t="s">
        <v>23</v>
      </c>
      <c r="E13" s="57" t="s">
        <v>24</v>
      </c>
      <c r="F13" s="57" t="s">
        <v>25</v>
      </c>
      <c r="G13" s="57" t="s">
        <v>26</v>
      </c>
      <c r="H13" s="57" t="s">
        <v>27</v>
      </c>
      <c r="I13" s="45"/>
      <c r="J13" s="45"/>
      <c r="K13" s="29">
        <v>1</v>
      </c>
      <c r="L13" s="27">
        <f t="shared" si="0"/>
        <v>3.4999999999999996E-3</v>
      </c>
      <c r="M13" s="27">
        <f t="shared" si="6"/>
        <v>133.56999999999996</v>
      </c>
      <c r="N13" s="27">
        <f t="shared" si="1"/>
        <v>3.4938892542558382E-3</v>
      </c>
      <c r="O13" s="28">
        <f t="shared" si="2"/>
        <v>134.03749499999998</v>
      </c>
      <c r="P13" s="28">
        <f t="shared" si="3"/>
        <v>6.0515013787652838E-4</v>
      </c>
      <c r="Q13" s="27">
        <f t="shared" si="7"/>
        <v>0.99999999999999978</v>
      </c>
      <c r="R13" s="37"/>
      <c r="S13" s="37"/>
      <c r="T13" s="35">
        <f t="shared" si="4"/>
        <v>9.0715907028117715E-2</v>
      </c>
      <c r="U13" s="36">
        <f t="shared" si="5"/>
        <v>6.0515013787652838E-4</v>
      </c>
      <c r="W13" s="66"/>
      <c r="X13" s="66"/>
      <c r="Y13" s="34"/>
      <c r="Z13" s="34"/>
      <c r="AA13" s="34"/>
      <c r="AC13" s="34"/>
      <c r="AD13" s="34"/>
      <c r="AF13" s="70"/>
      <c r="AG13" s="70"/>
    </row>
    <row r="14" spans="1:49" ht="15.4" x14ac:dyDescent="0.45">
      <c r="A14" s="45"/>
      <c r="B14" s="58" t="s">
        <v>28</v>
      </c>
      <c r="C14" s="59">
        <v>10</v>
      </c>
      <c r="D14" s="60" t="s">
        <v>22</v>
      </c>
      <c r="E14" s="45">
        <v>1.117</v>
      </c>
      <c r="F14" s="62">
        <v>1</v>
      </c>
      <c r="G14" s="45">
        <v>1.1000000000000001</v>
      </c>
      <c r="H14" s="45">
        <v>1.2</v>
      </c>
      <c r="I14" s="45"/>
      <c r="J14" s="45"/>
      <c r="K14" s="29">
        <v>1.1000000000000001</v>
      </c>
      <c r="L14" s="27">
        <f t="shared" si="0"/>
        <v>3.8500000000000001E-3</v>
      </c>
      <c r="M14" s="27">
        <f t="shared" si="6"/>
        <v>122.43916666666665</v>
      </c>
      <c r="N14" s="27">
        <f t="shared" si="1"/>
        <v>3.842607717450249E-3</v>
      </c>
      <c r="O14" s="28">
        <f t="shared" si="2"/>
        <v>122.9105574583333</v>
      </c>
      <c r="P14" s="28">
        <f t="shared" si="3"/>
        <v>1.1936732894689277E-3</v>
      </c>
      <c r="Q14" s="37">
        <f>K14/(C$14*(K14-1)^2+K14)</f>
        <v>0.91666666666666663</v>
      </c>
      <c r="R14" s="37"/>
      <c r="S14" s="37"/>
      <c r="T14" s="35">
        <f t="shared" si="4"/>
        <v>0.16972381984164808</v>
      </c>
      <c r="U14" s="36">
        <f t="shared" si="5"/>
        <v>1.1936732894689277E-3</v>
      </c>
      <c r="W14" s="67"/>
      <c r="X14" s="34"/>
      <c r="Y14" s="34"/>
      <c r="Z14" s="34"/>
      <c r="AA14" s="34"/>
      <c r="AC14" s="34"/>
      <c r="AD14" s="34"/>
      <c r="AF14" s="70"/>
      <c r="AG14" s="70"/>
    </row>
    <row r="15" spans="1:49" ht="15.4" x14ac:dyDescent="0.45">
      <c r="A15" s="45"/>
      <c r="B15" s="45"/>
      <c r="C15" s="45"/>
      <c r="D15" s="60" t="s">
        <v>28</v>
      </c>
      <c r="E15" s="45">
        <v>2.41</v>
      </c>
      <c r="F15" s="62">
        <v>4</v>
      </c>
      <c r="G15" s="62">
        <v>3</v>
      </c>
      <c r="H15" s="45">
        <v>10</v>
      </c>
      <c r="I15" s="45"/>
      <c r="J15" s="45"/>
      <c r="K15" s="29">
        <v>1.2</v>
      </c>
      <c r="L15" s="27">
        <f t="shared" si="0"/>
        <v>4.1999999999999997E-3</v>
      </c>
      <c r="M15" s="27">
        <f t="shared" si="6"/>
        <v>100.17750000000001</v>
      </c>
      <c r="N15" s="27">
        <f t="shared" si="1"/>
        <v>4.1912046184680524E-3</v>
      </c>
      <c r="O15" s="28">
        <f t="shared" si="2"/>
        <v>100.5982455</v>
      </c>
      <c r="P15" s="28">
        <f t="shared" si="3"/>
        <v>2.0231389826921901E-3</v>
      </c>
      <c r="Q15" s="37">
        <f t="shared" ref="Q15:Q60" si="8">K15/(C$14*(K15-1)^2+K15)</f>
        <v>0.75000000000000011</v>
      </c>
      <c r="R15" s="37"/>
      <c r="S15" s="37"/>
      <c r="T15" s="35">
        <f t="shared" si="4"/>
        <v>0.28077167787942514</v>
      </c>
      <c r="U15" s="36">
        <f t="shared" si="5"/>
        <v>2.0231389826921901E-3</v>
      </c>
      <c r="W15" s="67"/>
      <c r="X15" s="34"/>
      <c r="Y15" s="34"/>
      <c r="Z15" s="34"/>
      <c r="AA15" s="34"/>
      <c r="AC15" s="34"/>
      <c r="AD15" s="34"/>
      <c r="AF15" s="70"/>
      <c r="AG15" s="70"/>
    </row>
    <row r="16" spans="1:49" ht="18" x14ac:dyDescent="0.45">
      <c r="A16" s="145" t="s">
        <v>29</v>
      </c>
      <c r="B16" s="142"/>
      <c r="C16" s="142"/>
      <c r="D16" s="142"/>
      <c r="E16" s="142"/>
      <c r="F16" s="142"/>
      <c r="G16" s="142"/>
      <c r="H16" s="142"/>
      <c r="I16" s="142"/>
      <c r="J16" s="143"/>
      <c r="K16" s="29">
        <v>1.3</v>
      </c>
      <c r="L16" s="27">
        <f t="shared" si="0"/>
        <v>4.5499999999999994E-3</v>
      </c>
      <c r="M16" s="27">
        <f t="shared" si="6"/>
        <v>78.927727272727253</v>
      </c>
      <c r="N16" s="27">
        <f t="shared" si="1"/>
        <v>4.5396800420318909E-3</v>
      </c>
      <c r="O16" s="28">
        <f t="shared" si="2"/>
        <v>79.286848431818171</v>
      </c>
      <c r="P16" s="28">
        <f t="shared" si="3"/>
        <v>2.8309117568633959E-3</v>
      </c>
      <c r="Q16" s="37">
        <f t="shared" si="8"/>
        <v>0.59090909090909083</v>
      </c>
      <c r="R16" s="37"/>
      <c r="S16" s="37"/>
      <c r="T16" s="35">
        <f t="shared" si="4"/>
        <v>0.38647966050654614</v>
      </c>
      <c r="U16" s="36">
        <f t="shared" si="5"/>
        <v>2.8309117568633959E-3</v>
      </c>
      <c r="Y16" s="34"/>
      <c r="Z16" s="34"/>
      <c r="AA16" s="34"/>
      <c r="AC16" s="34"/>
      <c r="AD16" s="34"/>
      <c r="AF16" s="70"/>
      <c r="AG16" s="70"/>
    </row>
    <row r="17" spans="1:47" ht="15.4" x14ac:dyDescent="0.4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29">
        <v>1.4</v>
      </c>
      <c r="L17" s="27">
        <f t="shared" si="0"/>
        <v>4.899999999999999E-3</v>
      </c>
      <c r="M17" s="27">
        <f t="shared" si="6"/>
        <v>62.332666666666682</v>
      </c>
      <c r="N17" s="27">
        <f t="shared" si="1"/>
        <v>4.8880340727758664E-3</v>
      </c>
      <c r="O17" s="28">
        <f t="shared" si="2"/>
        <v>62.638096733333342</v>
      </c>
      <c r="P17" s="28">
        <f t="shared" si="3"/>
        <v>3.5380750914540274E-3</v>
      </c>
      <c r="Q17" s="37">
        <f t="shared" si="8"/>
        <v>0.46666666666666679</v>
      </c>
      <c r="R17" s="37"/>
      <c r="S17" s="37"/>
      <c r="T17" s="35">
        <f t="shared" si="4"/>
        <v>0.4744752503196592</v>
      </c>
      <c r="U17" s="36">
        <f t="shared" si="5"/>
        <v>3.5380750914540274E-3</v>
      </c>
      <c r="Y17" s="34"/>
      <c r="Z17" s="34"/>
      <c r="AA17" s="34"/>
      <c r="AC17" s="34"/>
      <c r="AD17" s="34"/>
      <c r="AF17" s="70"/>
      <c r="AG17" s="70"/>
    </row>
    <row r="18" spans="1:47" ht="15.4" x14ac:dyDescent="0.4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29">
        <v>1.5</v>
      </c>
      <c r="L18" s="27">
        <f t="shared" si="0"/>
        <v>5.2499999999999995E-3</v>
      </c>
      <c r="M18" s="27">
        <f t="shared" si="6"/>
        <v>50.088749999999997</v>
      </c>
      <c r="N18" s="27">
        <f t="shared" si="1"/>
        <v>5.236266795246327E-3</v>
      </c>
      <c r="O18" s="28">
        <f t="shared" si="2"/>
        <v>50.351715937499996</v>
      </c>
      <c r="P18" s="28">
        <f t="shared" si="3"/>
        <v>4.1511005034898614E-3</v>
      </c>
      <c r="Q18" s="37">
        <f t="shared" si="8"/>
        <v>0.375</v>
      </c>
      <c r="R18" s="37"/>
      <c r="S18" s="37"/>
      <c r="T18" s="35">
        <f t="shared" si="4"/>
        <v>0.54476330231989256</v>
      </c>
      <c r="U18" s="36">
        <f t="shared" si="5"/>
        <v>4.1511005034898614E-3</v>
      </c>
      <c r="Y18" s="34"/>
      <c r="Z18" s="34"/>
      <c r="AA18" s="34"/>
      <c r="AC18" s="34"/>
      <c r="AD18" s="34"/>
      <c r="AF18" s="70"/>
      <c r="AG18" s="70"/>
    </row>
    <row r="19" spans="1:47" ht="15.4" x14ac:dyDescent="0.4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29">
        <v>1.6</v>
      </c>
      <c r="L19" s="27">
        <f t="shared" si="0"/>
        <v>5.5999999999999999E-3</v>
      </c>
      <c r="M19" s="27">
        <f t="shared" si="6"/>
        <v>41.098461538461528</v>
      </c>
      <c r="N19" s="27">
        <f t="shared" si="1"/>
        <v>5.5843782939006634E-3</v>
      </c>
      <c r="O19" s="28">
        <f t="shared" si="2"/>
        <v>41.328612923076918</v>
      </c>
      <c r="P19" s="28">
        <f t="shared" si="3"/>
        <v>4.6936754291791779E-3</v>
      </c>
      <c r="Q19" s="37">
        <f t="shared" si="8"/>
        <v>0.30769230769230765</v>
      </c>
      <c r="R19" s="37"/>
      <c r="S19" s="37"/>
      <c r="T19" s="35">
        <f t="shared" si="4"/>
        <v>0.60062671607036311</v>
      </c>
      <c r="U19" s="36">
        <f t="shared" si="5"/>
        <v>4.6936754291791779E-3</v>
      </c>
      <c r="Y19" s="34"/>
      <c r="Z19" s="34"/>
      <c r="AA19" s="34"/>
      <c r="AC19" s="34"/>
      <c r="AD19" s="34"/>
      <c r="AF19" s="70"/>
      <c r="AG19" s="70"/>
    </row>
    <row r="20" spans="1:47" ht="15.4" x14ac:dyDescent="0.4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29">
        <v>1.7</v>
      </c>
      <c r="L20" s="27">
        <f t="shared" si="0"/>
        <v>5.9499999999999996E-3</v>
      </c>
      <c r="M20" s="27">
        <f t="shared" si="6"/>
        <v>34.404393939393934</v>
      </c>
      <c r="N20" s="27">
        <f t="shared" si="1"/>
        <v>5.9323686531080957E-3</v>
      </c>
      <c r="O20" s="28">
        <f t="shared" si="2"/>
        <v>34.609100083333324</v>
      </c>
      <c r="P20" s="28">
        <f t="shared" si="3"/>
        <v>5.1864828754500502E-3</v>
      </c>
      <c r="Q20" s="37">
        <f t="shared" si="8"/>
        <v>0.25757575757575757</v>
      </c>
      <c r="R20" s="37"/>
      <c r="S20" s="37"/>
      <c r="T20" s="35">
        <f t="shared" si="4"/>
        <v>0.64541358122712422</v>
      </c>
      <c r="U20" s="36">
        <f t="shared" si="5"/>
        <v>5.1864828754500502E-3</v>
      </c>
      <c r="Y20" s="34"/>
      <c r="Z20" s="34"/>
      <c r="AA20" s="34"/>
      <c r="AC20" s="34"/>
      <c r="AD20" s="34"/>
      <c r="AF20" s="70"/>
      <c r="AG20" s="70"/>
    </row>
    <row r="21" spans="1:47" ht="15.4" x14ac:dyDescent="0.4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29">
        <v>1.8</v>
      </c>
      <c r="L21" s="27">
        <f t="shared" si="0"/>
        <v>6.2999999999999992E-3</v>
      </c>
      <c r="M21" s="27">
        <f t="shared" si="6"/>
        <v>29.320243902439021</v>
      </c>
      <c r="N21" s="27">
        <f t="shared" si="1"/>
        <v>6.2802379571504563E-3</v>
      </c>
      <c r="O21" s="28">
        <f t="shared" si="2"/>
        <v>29.504961439024385</v>
      </c>
      <c r="P21" s="28">
        <f t="shared" si="3"/>
        <v>5.6443551675163101E-3</v>
      </c>
      <c r="Q21" s="37">
        <f t="shared" si="8"/>
        <v>0.21951219512195119</v>
      </c>
      <c r="R21" s="37"/>
      <c r="S21" s="37"/>
      <c r="T21" s="35">
        <f t="shared" si="4"/>
        <v>0.68179977257052271</v>
      </c>
      <c r="U21" s="36">
        <f t="shared" si="5"/>
        <v>5.6443551675163101E-3</v>
      </c>
      <c r="Y21" s="34"/>
      <c r="Z21" s="34"/>
      <c r="AA21" s="34"/>
      <c r="AC21" s="34"/>
      <c r="AD21" s="34"/>
      <c r="AF21" s="70"/>
      <c r="AG21" s="70"/>
    </row>
    <row r="22" spans="1:47" ht="15.4" x14ac:dyDescent="0.4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29">
        <v>1.9</v>
      </c>
      <c r="L22" s="27">
        <f t="shared" si="0"/>
        <v>6.6499999999999988E-3</v>
      </c>
      <c r="M22" s="27">
        <f t="shared" si="6"/>
        <v>25.378300000000003</v>
      </c>
      <c r="N22" s="27">
        <f t="shared" si="1"/>
        <v>6.6279862902209894E-3</v>
      </c>
      <c r="O22" s="28">
        <f t="shared" si="2"/>
        <v>25.547065695000004</v>
      </c>
      <c r="P22" s="28">
        <f t="shared" si="3"/>
        <v>6.0774029778287476E-3</v>
      </c>
      <c r="Q22" s="37">
        <f t="shared" si="8"/>
        <v>0.19000000000000003</v>
      </c>
      <c r="R22" s="37"/>
      <c r="S22" s="37"/>
      <c r="T22" s="35">
        <f t="shared" si="4"/>
        <v>0.71178225138268547</v>
      </c>
      <c r="U22" s="36">
        <f t="shared" si="5"/>
        <v>6.0774029778287476E-3</v>
      </c>
      <c r="Y22" s="34"/>
      <c r="Z22" s="34"/>
      <c r="AA22" s="34"/>
      <c r="AC22" s="34"/>
      <c r="AD22" s="34"/>
      <c r="AF22" s="70"/>
      <c r="AG22" s="70"/>
    </row>
    <row r="23" spans="1:47" s="44" customFormat="1" ht="15.4" x14ac:dyDescent="0.4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29">
        <v>2</v>
      </c>
      <c r="L23" s="27">
        <f t="shared" si="0"/>
        <v>6.9999999999999993E-3</v>
      </c>
      <c r="M23" s="27">
        <f t="shared" si="6"/>
        <v>22.261666666666663</v>
      </c>
      <c r="N23" s="27">
        <f t="shared" si="1"/>
        <v>6.9756137364251382E-3</v>
      </c>
      <c r="O23" s="28">
        <f t="shared" si="2"/>
        <v>22.417498333333327</v>
      </c>
      <c r="P23" s="28">
        <f t="shared" si="3"/>
        <v>6.4924779964826099E-3</v>
      </c>
      <c r="Q23" s="37">
        <f t="shared" si="8"/>
        <v>0.16666666666666666</v>
      </c>
      <c r="R23" s="37"/>
      <c r="S23" s="37"/>
      <c r="T23" s="35">
        <f t="shared" si="4"/>
        <v>0.73682576409685807</v>
      </c>
      <c r="U23" s="36">
        <f t="shared" si="5"/>
        <v>6.4924779964826099E-3</v>
      </c>
      <c r="V23" s="41"/>
      <c r="W23" s="41"/>
      <c r="X23" s="41"/>
      <c r="Y23" s="34"/>
      <c r="Z23" s="34"/>
      <c r="AA23" s="34"/>
      <c r="AB23" s="43"/>
      <c r="AC23" s="34"/>
      <c r="AD23" s="34"/>
      <c r="AE23" s="43"/>
      <c r="AF23" s="70"/>
      <c r="AG23" s="70"/>
      <c r="AH23" s="41"/>
      <c r="AI23" s="41"/>
      <c r="AU23" s="43"/>
    </row>
    <row r="24" spans="1:47" ht="15.4" x14ac:dyDescent="0.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29">
        <v>2.1</v>
      </c>
      <c r="L24" s="27">
        <f t="shared" si="0"/>
        <v>7.3499999999999998E-3</v>
      </c>
      <c r="M24" s="27">
        <f t="shared" si="6"/>
        <v>19.753309859154928</v>
      </c>
      <c r="N24" s="27">
        <f t="shared" si="1"/>
        <v>7.3231203797813216E-3</v>
      </c>
      <c r="O24" s="28">
        <f t="shared" si="2"/>
        <v>19.898496686619715</v>
      </c>
      <c r="P24" s="28">
        <f t="shared" si="3"/>
        <v>6.8942734684317589E-3</v>
      </c>
      <c r="Q24" s="37">
        <f t="shared" si="8"/>
        <v>0.14788732394366197</v>
      </c>
      <c r="R24" s="37"/>
      <c r="S24" s="37"/>
      <c r="T24" s="35">
        <f t="shared" si="4"/>
        <v>0.75800685898410225</v>
      </c>
      <c r="U24" s="36">
        <f t="shared" si="5"/>
        <v>6.8942734684317589E-3</v>
      </c>
      <c r="Y24" s="34"/>
      <c r="Z24" s="34"/>
      <c r="AA24" s="34"/>
      <c r="AC24" s="34"/>
      <c r="AD24" s="34"/>
      <c r="AF24" s="70"/>
      <c r="AG24" s="70"/>
    </row>
    <row r="25" spans="1:47" ht="15.4" x14ac:dyDescent="0.4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29">
        <v>2.2000000000000002</v>
      </c>
      <c r="L25" s="27">
        <f t="shared" si="0"/>
        <v>7.7000000000000002E-3</v>
      </c>
      <c r="M25" s="27">
        <f t="shared" si="6"/>
        <v>17.70204819277108</v>
      </c>
      <c r="N25" s="27">
        <f t="shared" si="1"/>
        <v>7.6705063042197402E-3</v>
      </c>
      <c r="O25" s="28">
        <f t="shared" si="2"/>
        <v>17.838353963855418</v>
      </c>
      <c r="P25" s="28">
        <f t="shared" si="3"/>
        <v>7.2860590205159597E-3</v>
      </c>
      <c r="Q25" s="37">
        <f t="shared" si="8"/>
        <v>0.13253012048192769</v>
      </c>
      <c r="R25" s="37"/>
      <c r="S25" s="37"/>
      <c r="T25" s="35">
        <f t="shared" si="4"/>
        <v>0.77612459589581573</v>
      </c>
      <c r="U25" s="36">
        <f t="shared" si="5"/>
        <v>7.2860590205159597E-3</v>
      </c>
      <c r="Y25" s="34"/>
      <c r="Z25" s="34"/>
      <c r="AA25" s="34"/>
      <c r="AC25" s="34"/>
      <c r="AD25" s="34"/>
      <c r="AF25" s="70"/>
      <c r="AG25" s="70"/>
    </row>
    <row r="26" spans="1:47" ht="15.4" x14ac:dyDescent="0.4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29">
        <v>2.2999999999999998</v>
      </c>
      <c r="L26" s="27">
        <f t="shared" si="0"/>
        <v>8.0499999999999981E-3</v>
      </c>
      <c r="M26" s="27">
        <f t="shared" si="6"/>
        <v>16.00057291666667</v>
      </c>
      <c r="N26" s="27">
        <f t="shared" si="1"/>
        <v>8.0177715935831548E-3</v>
      </c>
      <c r="O26" s="28">
        <f t="shared" si="2"/>
        <v>16.129377528645836</v>
      </c>
      <c r="P26" s="28">
        <f t="shared" si="3"/>
        <v>7.670155698569236E-3</v>
      </c>
      <c r="Q26" s="37">
        <f t="shared" si="8"/>
        <v>0.11979166666666669</v>
      </c>
      <c r="R26" s="37"/>
      <c r="S26" s="37"/>
      <c r="T26" s="35">
        <f t="shared" si="4"/>
        <v>0.79177974534519446</v>
      </c>
      <c r="U26" s="36">
        <f t="shared" si="5"/>
        <v>7.670155698569236E-3</v>
      </c>
      <c r="Y26" s="34"/>
      <c r="Z26" s="34"/>
      <c r="AA26" s="34"/>
      <c r="AC26" s="34"/>
      <c r="AD26" s="34"/>
      <c r="AF26" s="70"/>
      <c r="AG26" s="70"/>
    </row>
    <row r="27" spans="1:47" ht="15.4" x14ac:dyDescent="0.4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29">
        <v>2.4</v>
      </c>
      <c r="L27" s="27">
        <f t="shared" si="0"/>
        <v>8.3999999999999995E-3</v>
      </c>
      <c r="M27" s="27">
        <f t="shared" si="6"/>
        <v>14.571272727272728</v>
      </c>
      <c r="N27" s="27">
        <f t="shared" si="1"/>
        <v>8.3649163316276715E-3</v>
      </c>
      <c r="O27" s="28">
        <f t="shared" si="2"/>
        <v>14.693671418181818</v>
      </c>
      <c r="P27" s="28">
        <f t="shared" si="3"/>
        <v>8.0482423786496157E-3</v>
      </c>
      <c r="Q27" s="37">
        <f t="shared" si="8"/>
        <v>0.1090909090909091</v>
      </c>
      <c r="R27" s="37"/>
      <c r="S27" s="37"/>
      <c r="T27" s="35">
        <f t="shared" si="4"/>
        <v>0.8054302275602524</v>
      </c>
      <c r="U27" s="36">
        <f t="shared" si="5"/>
        <v>8.0482423786496157E-3</v>
      </c>
      <c r="Y27" s="34"/>
      <c r="Z27" s="34"/>
      <c r="AA27" s="34"/>
      <c r="AC27" s="34"/>
      <c r="AD27" s="34"/>
      <c r="AF27" s="70"/>
      <c r="AG27" s="70"/>
    </row>
    <row r="28" spans="1:47" ht="15.4" x14ac:dyDescent="0.4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29">
        <v>2.5</v>
      </c>
      <c r="L28" s="27">
        <f t="shared" si="0"/>
        <v>8.7499999999999991E-3</v>
      </c>
      <c r="M28" s="27">
        <f t="shared" si="6"/>
        <v>13.356999999999999</v>
      </c>
      <c r="N28" s="27">
        <f t="shared" si="1"/>
        <v>8.7119406020215364E-3</v>
      </c>
      <c r="O28" s="28">
        <f t="shared" si="2"/>
        <v>13.473873749999999</v>
      </c>
      <c r="P28" s="28">
        <f t="shared" si="3"/>
        <v>8.421555391892226E-3</v>
      </c>
      <c r="Q28" s="37">
        <f t="shared" si="8"/>
        <v>0.1</v>
      </c>
      <c r="R28" s="37"/>
      <c r="S28" s="37"/>
      <c r="T28" s="35">
        <f t="shared" si="4"/>
        <v>0.81742984103435345</v>
      </c>
      <c r="U28" s="36">
        <f t="shared" si="5"/>
        <v>8.421555391892226E-3</v>
      </c>
      <c r="Y28" s="34"/>
      <c r="Z28" s="34"/>
      <c r="AA28" s="34"/>
      <c r="AC28" s="34"/>
      <c r="AD28" s="34"/>
      <c r="AF28" s="70"/>
      <c r="AG28" s="70"/>
    </row>
    <row r="29" spans="1:47" ht="15.4" x14ac:dyDescent="0.4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29">
        <v>2.6</v>
      </c>
      <c r="L29" s="27">
        <f t="shared" si="0"/>
        <v>9.0999999999999987E-3</v>
      </c>
      <c r="M29" s="27">
        <f t="shared" si="6"/>
        <v>12.314964539007089</v>
      </c>
      <c r="N29" s="27">
        <f t="shared" si="1"/>
        <v>9.0588444883461464E-3</v>
      </c>
      <c r="O29" s="28">
        <f t="shared" si="2"/>
        <v>12.427030716312055</v>
      </c>
      <c r="P29" s="28">
        <f t="shared" si="3"/>
        <v>8.7910205504945927E-3</v>
      </c>
      <c r="Q29" s="37">
        <f t="shared" si="8"/>
        <v>9.2198581560283668E-2</v>
      </c>
      <c r="R29" s="27"/>
      <c r="S29" s="27"/>
      <c r="T29" s="35">
        <f t="shared" si="4"/>
        <v>0.8280554980535072</v>
      </c>
      <c r="U29" s="36">
        <f t="shared" si="5"/>
        <v>8.7910205504945927E-3</v>
      </c>
      <c r="Y29" s="34"/>
      <c r="Z29" s="34"/>
      <c r="AA29" s="34"/>
      <c r="AC29" s="34"/>
      <c r="AD29" s="34"/>
      <c r="AF29" s="70"/>
      <c r="AG29" s="70"/>
    </row>
    <row r="30" spans="1:47" ht="15.4" x14ac:dyDescent="0.4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29">
        <v>2.7</v>
      </c>
      <c r="L30" s="27">
        <f t="shared" si="0"/>
        <v>9.4500000000000001E-3</v>
      </c>
      <c r="M30" s="27">
        <f t="shared" si="6"/>
        <v>11.412626582278481</v>
      </c>
      <c r="N30" s="27">
        <f t="shared" si="1"/>
        <v>9.4056280740957184E-3</v>
      </c>
      <c r="O30" s="28">
        <f t="shared" si="2"/>
        <v>11.520475903481012</v>
      </c>
      <c r="P30" s="28">
        <f t="shared" si="3"/>
        <v>9.1573419554862139E-3</v>
      </c>
      <c r="Q30" s="37">
        <f t="shared" si="8"/>
        <v>8.5443037974683542E-2</v>
      </c>
      <c r="R30" s="27"/>
      <c r="S30" s="27"/>
      <c r="T30" s="35">
        <f t="shared" si="4"/>
        <v>0.83752658125935708</v>
      </c>
      <c r="U30" s="36">
        <f t="shared" si="5"/>
        <v>9.1573419554862139E-3</v>
      </c>
      <c r="Y30" s="34"/>
      <c r="Z30" s="34"/>
      <c r="AA30" s="34"/>
      <c r="AC30" s="34"/>
      <c r="AD30" s="34"/>
      <c r="AF30" s="70"/>
      <c r="AG30" s="70"/>
    </row>
    <row r="31" spans="1:47" ht="15.4" x14ac:dyDescent="0.4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29">
        <v>2.8</v>
      </c>
      <c r="L31" s="27">
        <f t="shared" si="0"/>
        <v>9.7999999999999979E-3</v>
      </c>
      <c r="M31" s="27">
        <f t="shared" si="6"/>
        <v>10.624886363636367</v>
      </c>
      <c r="N31" s="27">
        <f t="shared" si="1"/>
        <v>9.7522914426783017E-3</v>
      </c>
      <c r="O31" s="28">
        <f t="shared" si="2"/>
        <v>10.729010250000004</v>
      </c>
      <c r="P31" s="28">
        <f t="shared" si="3"/>
        <v>9.5210627734972665E-3</v>
      </c>
      <c r="Q31" s="37">
        <f t="shared" si="8"/>
        <v>7.9545454545454572E-2</v>
      </c>
      <c r="R31" s="27"/>
      <c r="S31" s="27"/>
      <c r="T31" s="35">
        <f t="shared" si="4"/>
        <v>0.84601886940676552</v>
      </c>
      <c r="U31" s="36">
        <f t="shared" si="5"/>
        <v>9.5210627734972665E-3</v>
      </c>
      <c r="Y31" s="34"/>
      <c r="Z31" s="34"/>
      <c r="AA31" s="34"/>
      <c r="AC31" s="34"/>
      <c r="AD31" s="34"/>
      <c r="AF31" s="70"/>
      <c r="AG31" s="70"/>
    </row>
    <row r="32" spans="1:47" ht="15.4" x14ac:dyDescent="0.4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29">
        <v>2.9</v>
      </c>
      <c r="L32" s="27">
        <f t="shared" si="0"/>
        <v>1.0149999999999999E-2</v>
      </c>
      <c r="M32" s="27">
        <f t="shared" si="6"/>
        <v>9.9321282051282047</v>
      </c>
      <c r="N32" s="27">
        <f t="shared" si="1"/>
        <v>1.009883467741457E-2</v>
      </c>
      <c r="O32" s="28">
        <f t="shared" si="2"/>
        <v>10.032939306410258</v>
      </c>
      <c r="P32" s="28">
        <f t="shared" si="3"/>
        <v>9.8826075371902106E-3</v>
      </c>
      <c r="Q32" s="37">
        <f t="shared" si="8"/>
        <v>7.4358974358974358E-2</v>
      </c>
      <c r="R32" s="27"/>
      <c r="S32" s="27"/>
      <c r="T32" s="35">
        <f t="shared" si="4"/>
        <v>0.85367468392376467</v>
      </c>
      <c r="U32" s="36">
        <f t="shared" si="5"/>
        <v>9.8826075371902106E-3</v>
      </c>
      <c r="Y32" s="34"/>
      <c r="Z32" s="34"/>
      <c r="AA32" s="34"/>
      <c r="AC32" s="34"/>
      <c r="AD32" s="34"/>
      <c r="AF32" s="70"/>
      <c r="AG32" s="70"/>
    </row>
    <row r="33" spans="1:33" ht="15.4" x14ac:dyDescent="0.4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29">
        <v>3</v>
      </c>
      <c r="L33" s="27">
        <f t="shared" si="0"/>
        <v>1.0499999999999999E-2</v>
      </c>
      <c r="M33" s="27">
        <f t="shared" si="6"/>
        <v>9.3188372093023251</v>
      </c>
      <c r="N33" s="27">
        <f t="shared" si="1"/>
        <v>1.0445257861538604E-2</v>
      </c>
      <c r="O33" s="28">
        <f t="shared" si="2"/>
        <v>9.4166849999999993</v>
      </c>
      <c r="P33" s="28">
        <f t="shared" si="3"/>
        <v>1.0242312064124811E-2</v>
      </c>
      <c r="Q33" s="37">
        <f t="shared" si="8"/>
        <v>6.9767441860465115E-2</v>
      </c>
      <c r="R33" s="27"/>
      <c r="S33" s="27"/>
      <c r="T33" s="35">
        <f t="shared" si="4"/>
        <v>0.86061037545954611</v>
      </c>
      <c r="U33" s="36">
        <f t="shared" si="5"/>
        <v>1.0242312064124811E-2</v>
      </c>
      <c r="Y33" s="34"/>
      <c r="Z33" s="34"/>
      <c r="AA33" s="34"/>
      <c r="AC33" s="34"/>
      <c r="AD33" s="34"/>
      <c r="AF33" s="70"/>
      <c r="AG33" s="70"/>
    </row>
    <row r="34" spans="1:33" ht="15.4" x14ac:dyDescent="0.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29">
        <v>3.1</v>
      </c>
      <c r="L34" s="27">
        <f t="shared" si="0"/>
        <v>1.0849999999999999E-2</v>
      </c>
      <c r="M34" s="27">
        <f t="shared" si="6"/>
        <v>8.7726059322033887</v>
      </c>
      <c r="N34" s="27">
        <f t="shared" si="1"/>
        <v>1.0791561078198668E-2</v>
      </c>
      <c r="O34" s="28">
        <f t="shared" si="2"/>
        <v>8.8677887065677954</v>
      </c>
      <c r="P34" s="28">
        <f t="shared" si="3"/>
        <v>1.0600444942281259E-2</v>
      </c>
      <c r="Q34" s="37">
        <f t="shared" si="8"/>
        <v>6.5677966101694907E-2</v>
      </c>
      <c r="R34" s="27"/>
      <c r="S34" s="27"/>
      <c r="T34" s="35">
        <f t="shared" si="4"/>
        <v>0.86692191538308938</v>
      </c>
      <c r="U34" s="36">
        <f t="shared" si="5"/>
        <v>1.0600444942281259E-2</v>
      </c>
      <c r="Y34" s="34"/>
      <c r="Z34" s="34"/>
      <c r="AA34" s="34"/>
      <c r="AC34" s="34"/>
      <c r="AD34" s="34"/>
      <c r="AF34" s="70"/>
      <c r="AG34" s="70"/>
    </row>
    <row r="35" spans="1:33" ht="15.4" x14ac:dyDescent="0.4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29">
        <v>3.2</v>
      </c>
      <c r="L35" s="27">
        <f t="shared" si="0"/>
        <v>1.12E-2</v>
      </c>
      <c r="M35" s="27">
        <f t="shared" si="6"/>
        <v>8.2834108527131765</v>
      </c>
      <c r="N35" s="27">
        <f t="shared" si="1"/>
        <v>1.1137744410456021E-2</v>
      </c>
      <c r="O35" s="28">
        <f t="shared" si="2"/>
        <v>8.3761850542635656</v>
      </c>
      <c r="P35" s="28">
        <f t="shared" si="3"/>
        <v>1.0957223180838272E-2</v>
      </c>
      <c r="Q35" s="37">
        <f t="shared" si="8"/>
        <v>6.2015503875968984E-2</v>
      </c>
      <c r="R35" s="27"/>
      <c r="S35" s="27"/>
      <c r="T35" s="35">
        <f t="shared" si="4"/>
        <v>0.87268912067160831</v>
      </c>
      <c r="U35" s="36">
        <f t="shared" si="5"/>
        <v>1.0957223180838272E-2</v>
      </c>
      <c r="Y35" s="34"/>
      <c r="Z35" s="34"/>
      <c r="AA35" s="34"/>
      <c r="AC35" s="34"/>
      <c r="AD35" s="34"/>
      <c r="AF35" s="70"/>
      <c r="AG35" s="70"/>
    </row>
    <row r="36" spans="1:33" ht="15.4" x14ac:dyDescent="0.4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29">
        <v>3.3</v>
      </c>
      <c r="L36" s="27">
        <f t="shared" si="0"/>
        <v>1.1549999999999998E-2</v>
      </c>
      <c r="M36" s="27">
        <f t="shared" si="6"/>
        <v>7.8430782918149475</v>
      </c>
      <c r="N36" s="27">
        <f t="shared" si="1"/>
        <v>1.1483807941285683E-2</v>
      </c>
      <c r="O36" s="28">
        <f t="shared" si="2"/>
        <v>7.9336658460854101</v>
      </c>
      <c r="P36" s="28">
        <f t="shared" si="3"/>
        <v>1.1312823763568326E-2</v>
      </c>
      <c r="Q36" s="37">
        <f t="shared" si="8"/>
        <v>5.8718861209964425E-2</v>
      </c>
      <c r="R36" s="27"/>
      <c r="S36" s="27"/>
      <c r="T36" s="35">
        <f t="shared" si="4"/>
        <v>0.87797888145615666</v>
      </c>
      <c r="U36" s="36">
        <f t="shared" si="5"/>
        <v>1.1312823763568326E-2</v>
      </c>
      <c r="Y36" s="34"/>
      <c r="Z36" s="34"/>
      <c r="AA36" s="34"/>
      <c r="AC36" s="34"/>
      <c r="AD36" s="34"/>
      <c r="AF36" s="70"/>
      <c r="AG36" s="70"/>
    </row>
    <row r="37" spans="1:33" ht="15.4" x14ac:dyDescent="0.4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29">
        <v>3.4</v>
      </c>
      <c r="L37" s="27">
        <f t="shared" si="0"/>
        <v>1.1899999999999999E-2</v>
      </c>
      <c r="M37" s="27">
        <f t="shared" ref="M37:M60" si="9">Q37*C$8</f>
        <v>7.4448852459016397</v>
      </c>
      <c r="N37" s="27">
        <f t="shared" si="1"/>
        <v>1.1829751753577221E-2</v>
      </c>
      <c r="O37" s="28">
        <f t="shared" si="2"/>
        <v>7.5334793803278695</v>
      </c>
      <c r="P37" s="28">
        <f t="shared" si="3"/>
        <v>1.1667392284173603E-2</v>
      </c>
      <c r="Q37" s="37">
        <f t="shared" si="8"/>
        <v>5.5737704918032795E-2</v>
      </c>
      <c r="R37" s="27"/>
      <c r="S37" s="27"/>
      <c r="T37" s="35">
        <f t="shared" si="4"/>
        <v>0.88284765230642082</v>
      </c>
      <c r="U37" s="36">
        <f t="shared" si="5"/>
        <v>1.1667392284173603E-2</v>
      </c>
      <c r="Y37" s="34"/>
      <c r="Z37" s="34"/>
      <c r="AA37" s="34"/>
      <c r="AC37" s="34"/>
      <c r="AD37" s="34"/>
      <c r="AF37" s="70"/>
      <c r="AG37" s="70"/>
    </row>
    <row r="38" spans="1:33" ht="15.4" x14ac:dyDescent="0.4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29">
        <v>3.5</v>
      </c>
      <c r="L38" s="27">
        <f t="shared" si="0"/>
        <v>1.2249999999999999E-2</v>
      </c>
      <c r="M38" s="27">
        <f t="shared" si="9"/>
        <v>7.0832575757575755</v>
      </c>
      <c r="N38" s="27">
        <f t="shared" si="1"/>
        <v>1.2175575930133544E-2</v>
      </c>
      <c r="O38" s="28">
        <f t="shared" si="2"/>
        <v>7.1700274810606066</v>
      </c>
      <c r="P38" s="28">
        <f t="shared" si="3"/>
        <v>1.2021049475800341E-2</v>
      </c>
      <c r="Q38" s="37">
        <f t="shared" si="8"/>
        <v>5.3030303030303032E-2</v>
      </c>
      <c r="R38" s="27"/>
      <c r="S38" s="27"/>
      <c r="T38" s="35">
        <f t="shared" si="4"/>
        <v>0.88734339399957107</v>
      </c>
      <c r="U38" s="36">
        <f t="shared" si="5"/>
        <v>1.2021049475800341E-2</v>
      </c>
      <c r="Y38" s="34"/>
      <c r="Z38" s="34"/>
      <c r="AA38" s="34"/>
      <c r="AC38" s="34"/>
      <c r="AD38" s="34"/>
      <c r="AF38" s="70"/>
      <c r="AG38" s="70"/>
    </row>
    <row r="39" spans="1:33" ht="15.4" x14ac:dyDescent="0.4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29">
        <v>3.6</v>
      </c>
      <c r="L39" s="27">
        <f t="shared" si="0"/>
        <v>1.2599999999999998E-2</v>
      </c>
      <c r="M39" s="27">
        <f t="shared" si="9"/>
        <v>6.7535393258426959</v>
      </c>
      <c r="N39" s="27">
        <f t="shared" si="1"/>
        <v>1.2521280553671691E-2</v>
      </c>
      <c r="O39" s="28">
        <f t="shared" si="2"/>
        <v>6.8386339213483138</v>
      </c>
      <c r="P39" s="28">
        <f t="shared" si="3"/>
        <v>1.2373896201918495E-2</v>
      </c>
      <c r="Q39" s="37">
        <f t="shared" si="8"/>
        <v>5.0561797752808987E-2</v>
      </c>
      <c r="R39" s="27"/>
      <c r="S39" s="27"/>
      <c r="T39" s="35">
        <f t="shared" si="4"/>
        <v>0.89150710086090001</v>
      </c>
      <c r="U39" s="36">
        <f t="shared" si="5"/>
        <v>1.2373896201918495E-2</v>
      </c>
      <c r="Y39" s="34"/>
      <c r="Z39" s="34"/>
      <c r="AA39" s="34"/>
      <c r="AC39" s="34"/>
      <c r="AD39" s="34"/>
      <c r="AF39" s="70"/>
      <c r="AG39" s="70"/>
    </row>
    <row r="40" spans="1:33" ht="15.4" x14ac:dyDescent="0.4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29">
        <v>3.7</v>
      </c>
      <c r="L40" s="27">
        <f t="shared" si="0"/>
        <v>1.295E-2</v>
      </c>
      <c r="M40" s="27">
        <f t="shared" si="9"/>
        <v>6.4518146214099215</v>
      </c>
      <c r="N40" s="27">
        <f t="shared" si="1"/>
        <v>1.2866865706823596E-2</v>
      </c>
      <c r="O40" s="28">
        <f t="shared" si="2"/>
        <v>6.5353656207571804</v>
      </c>
      <c r="P40" s="28">
        <f t="shared" si="3"/>
        <v>1.2726017309824519E-2</v>
      </c>
      <c r="Q40" s="37">
        <f t="shared" si="8"/>
        <v>4.8302872062663184E-2</v>
      </c>
      <c r="R40" s="27"/>
      <c r="S40" s="27"/>
      <c r="T40" s="35">
        <f t="shared" si="4"/>
        <v>0.89537401246157033</v>
      </c>
      <c r="U40" s="36">
        <f t="shared" si="5"/>
        <v>1.2726017309824519E-2</v>
      </c>
      <c r="Y40" s="34"/>
      <c r="Z40" s="34"/>
      <c r="AA40" s="34"/>
      <c r="AC40" s="34"/>
      <c r="AD40" s="34"/>
      <c r="AF40" s="70"/>
      <c r="AG40" s="70"/>
    </row>
    <row r="41" spans="1:33" ht="15.4" x14ac:dyDescent="0.4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29">
        <v>3.8</v>
      </c>
      <c r="L41" s="27">
        <f t="shared" si="0"/>
        <v>1.3299999999999998E-2</v>
      </c>
      <c r="M41" s="27">
        <f t="shared" si="9"/>
        <v>6.174768856447689</v>
      </c>
      <c r="N41" s="27">
        <f t="shared" si="1"/>
        <v>1.32123314721349E-2</v>
      </c>
      <c r="O41" s="28">
        <f t="shared" si="2"/>
        <v>6.256893282238444</v>
      </c>
      <c r="P41" s="28">
        <f t="shared" si="3"/>
        <v>1.3077484634155622E-2</v>
      </c>
      <c r="Q41" s="37">
        <f t="shared" si="8"/>
        <v>4.6228710462287111E-2</v>
      </c>
      <c r="R41" s="27"/>
      <c r="S41" s="27"/>
      <c r="T41" s="35">
        <f t="shared" si="4"/>
        <v>0.89897458266470787</v>
      </c>
      <c r="U41" s="36">
        <f t="shared" si="5"/>
        <v>1.3077484634155622E-2</v>
      </c>
      <c r="Y41" s="34"/>
      <c r="Z41" s="34"/>
      <c r="AA41" s="34"/>
      <c r="AC41" s="34"/>
      <c r="AD41" s="34"/>
      <c r="AF41" s="70"/>
      <c r="AG41" s="70"/>
    </row>
    <row r="42" spans="1:33" ht="15.4" x14ac:dyDescent="0.4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29">
        <v>3.9</v>
      </c>
      <c r="L42" s="27">
        <f t="shared" si="0"/>
        <v>1.3649999999999999E-2</v>
      </c>
      <c r="M42" s="27">
        <f t="shared" si="9"/>
        <v>5.9195795454545452</v>
      </c>
      <c r="N42" s="27">
        <f t="shared" si="1"/>
        <v>1.3557677932065722E-2</v>
      </c>
      <c r="O42" s="28">
        <f t="shared" si="2"/>
        <v>6.0003818062499992</v>
      </c>
      <c r="P42" s="28">
        <f t="shared" si="3"/>
        <v>1.3428359358655162E-2</v>
      </c>
      <c r="Q42" s="37">
        <f t="shared" si="8"/>
        <v>4.4318181818181819E-2</v>
      </c>
      <c r="R42" s="27"/>
      <c r="S42" s="27"/>
      <c r="T42" s="35">
        <f t="shared" si="4"/>
        <v>0.90233526048703838</v>
      </c>
      <c r="U42" s="36">
        <f t="shared" si="5"/>
        <v>1.3428359358655162E-2</v>
      </c>
      <c r="Y42" s="34"/>
      <c r="Z42" s="34"/>
      <c r="AA42" s="34"/>
      <c r="AC42" s="34"/>
      <c r="AD42" s="34"/>
      <c r="AF42" s="70"/>
      <c r="AG42" s="70"/>
    </row>
    <row r="43" spans="1:33" ht="15.4" x14ac:dyDescent="0.4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29">
        <v>4</v>
      </c>
      <c r="L43" s="27">
        <f t="shared" si="0"/>
        <v>1.3999999999999999E-2</v>
      </c>
      <c r="M43" s="27">
        <f t="shared" si="9"/>
        <v>5.6838297872340418</v>
      </c>
      <c r="N43" s="27">
        <f t="shared" si="1"/>
        <v>1.3902905168991434E-2</v>
      </c>
      <c r="O43" s="28">
        <f t="shared" si="2"/>
        <v>5.7634034042553184</v>
      </c>
      <c r="P43" s="28">
        <f t="shared" si="3"/>
        <v>1.377869388872731E-2</v>
      </c>
      <c r="Q43" s="37">
        <f t="shared" si="8"/>
        <v>4.2553191489361701E-2</v>
      </c>
      <c r="R43" s="27"/>
      <c r="S43" s="27"/>
      <c r="T43" s="35">
        <f t="shared" si="4"/>
        <v>0.90547912380305418</v>
      </c>
      <c r="U43" s="36">
        <f t="shared" si="5"/>
        <v>1.377869388872731E-2</v>
      </c>
      <c r="Y43" s="34"/>
      <c r="Z43" s="34"/>
      <c r="AA43" s="34"/>
      <c r="AC43" s="34"/>
      <c r="AD43" s="34"/>
      <c r="AF43" s="70"/>
      <c r="AG43" s="70"/>
    </row>
    <row r="44" spans="1:33" ht="15.4" x14ac:dyDescent="0.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29">
        <v>4.0999999999999996</v>
      </c>
      <c r="L44" s="27">
        <f t="shared" si="0"/>
        <v>1.4349999999999996E-2</v>
      </c>
      <c r="M44" s="27">
        <f t="shared" si="9"/>
        <v>5.4654391217564875</v>
      </c>
      <c r="N44" s="27">
        <f t="shared" si="1"/>
        <v>1.4248013265201467E-2</v>
      </c>
      <c r="O44" s="28">
        <f t="shared" si="2"/>
        <v>5.5438681731536938</v>
      </c>
      <c r="P44" s="28">
        <f t="shared" si="3"/>
        <v>1.4128533347676603E-2</v>
      </c>
      <c r="Q44" s="37">
        <f t="shared" si="8"/>
        <v>4.0918163672654696E-2</v>
      </c>
      <c r="R44" s="27"/>
      <c r="S44" s="27"/>
      <c r="T44" s="35">
        <f t="shared" si="4"/>
        <v>0.90842639707095441</v>
      </c>
      <c r="U44" s="36">
        <f t="shared" si="5"/>
        <v>1.4128533347676603E-2</v>
      </c>
      <c r="Y44" s="34"/>
      <c r="Z44" s="34"/>
      <c r="AA44" s="34"/>
      <c r="AC44" s="34"/>
      <c r="AD44" s="34"/>
      <c r="AF44" s="70"/>
      <c r="AG44" s="70"/>
    </row>
    <row r="45" spans="1:33" ht="15.4" x14ac:dyDescent="0.4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29">
        <v>4.2</v>
      </c>
      <c r="L45" s="27">
        <f t="shared" si="0"/>
        <v>1.47E-2</v>
      </c>
      <c r="M45" s="27">
        <f t="shared" si="9"/>
        <v>5.2626078799249516</v>
      </c>
      <c r="N45" s="27">
        <f t="shared" si="1"/>
        <v>1.4593002302900086E-2</v>
      </c>
      <c r="O45" s="28">
        <f t="shared" si="2"/>
        <v>5.339968215759848</v>
      </c>
      <c r="P45" s="28">
        <f t="shared" si="3"/>
        <v>1.4477916781008709E-2</v>
      </c>
      <c r="Q45" s="37">
        <f t="shared" si="8"/>
        <v>3.9399624765478418E-2</v>
      </c>
      <c r="R45" s="27"/>
      <c r="S45" s="27"/>
      <c r="T45" s="35">
        <f t="shared" si="4"/>
        <v>0.91119487697617985</v>
      </c>
      <c r="U45" s="36">
        <f t="shared" si="5"/>
        <v>1.4477916781008709E-2</v>
      </c>
      <c r="Y45" s="34"/>
      <c r="Z45" s="34"/>
      <c r="AA45" s="34"/>
      <c r="AC45" s="34"/>
      <c r="AD45" s="34"/>
      <c r="AF45" s="70"/>
      <c r="AG45" s="70"/>
    </row>
    <row r="46" spans="1:33" ht="15.4" x14ac:dyDescent="0.4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29">
        <v>4.3</v>
      </c>
      <c r="L46" s="27">
        <f t="shared" si="0"/>
        <v>1.5049999999999997E-2</v>
      </c>
      <c r="M46" s="27">
        <f t="shared" si="9"/>
        <v>5.0737720848056531</v>
      </c>
      <c r="N46" s="27">
        <f t="shared" si="1"/>
        <v>1.4937872364207164E-2</v>
      </c>
      <c r="O46" s="28">
        <f t="shared" si="2"/>
        <v>5.1501323546819782</v>
      </c>
      <c r="P46" s="28">
        <f t="shared" si="3"/>
        <v>1.4826878132425225E-2</v>
      </c>
      <c r="Q46" s="37">
        <f t="shared" si="8"/>
        <v>3.7985865724381625E-2</v>
      </c>
      <c r="R46" s="27"/>
      <c r="S46" s="27"/>
      <c r="T46" s="35">
        <f t="shared" si="4"/>
        <v>0.91380028445316752</v>
      </c>
      <c r="U46" s="36">
        <f t="shared" si="5"/>
        <v>1.4826878132425225E-2</v>
      </c>
      <c r="Y46" s="34"/>
      <c r="Z46" s="34"/>
      <c r="AA46" s="34"/>
      <c r="AC46" s="34"/>
      <c r="AD46" s="34"/>
      <c r="AF46" s="70"/>
      <c r="AG46" s="70"/>
    </row>
    <row r="47" spans="1:33" ht="15.4" x14ac:dyDescent="0.4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29">
        <v>4.4000000000000004</v>
      </c>
      <c r="L47" s="27">
        <f t="shared" si="0"/>
        <v>1.54E-2</v>
      </c>
      <c r="M47" s="27">
        <f t="shared" si="9"/>
        <v>4.8975666666666653</v>
      </c>
      <c r="N47" s="27">
        <f t="shared" si="1"/>
        <v>1.5282623531156982E-2</v>
      </c>
      <c r="O47" s="28">
        <f t="shared" si="2"/>
        <v>4.9729891933333326</v>
      </c>
      <c r="P47" s="28">
        <f t="shared" si="3"/>
        <v>1.5175447039921349E-2</v>
      </c>
      <c r="Q47" s="37">
        <f t="shared" si="8"/>
        <v>3.666666666666666E-2</v>
      </c>
      <c r="R47" s="27"/>
      <c r="S47" s="27"/>
      <c r="T47" s="35">
        <f t="shared" si="4"/>
        <v>0.91625655745542389</v>
      </c>
      <c r="U47" s="36">
        <f t="shared" si="5"/>
        <v>1.5175447039921349E-2</v>
      </c>
      <c r="Z47" s="34"/>
      <c r="AA47" s="34"/>
      <c r="AC47" s="34"/>
      <c r="AD47" s="34"/>
      <c r="AF47" s="70"/>
      <c r="AG47" s="70"/>
    </row>
    <row r="48" spans="1:33" ht="15.4" x14ac:dyDescent="0.4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29">
        <v>4.5</v>
      </c>
      <c r="L48" s="27">
        <f t="shared" si="0"/>
        <v>1.575E-2</v>
      </c>
      <c r="M48" s="27">
        <f t="shared" si="9"/>
        <v>4.7327952755905507</v>
      </c>
      <c r="N48" s="27">
        <f t="shared" si="1"/>
        <v>1.5627255885699007E-2</v>
      </c>
      <c r="O48" s="28">
        <f t="shared" si="2"/>
        <v>4.8073368011811013</v>
      </c>
      <c r="P48" s="28">
        <f t="shared" si="3"/>
        <v>1.5523649489121829E-2</v>
      </c>
      <c r="Q48" s="37">
        <f t="shared" si="8"/>
        <v>3.5433070866141732E-2</v>
      </c>
      <c r="R48" s="27"/>
      <c r="S48" s="27"/>
      <c r="T48" s="35">
        <f t="shared" si="4"/>
        <v>0.91857609574049703</v>
      </c>
      <c r="U48" s="36">
        <f t="shared" si="5"/>
        <v>1.5523649489121829E-2</v>
      </c>
      <c r="Z48" s="34"/>
      <c r="AA48" s="34"/>
      <c r="AC48" s="34"/>
      <c r="AD48" s="34"/>
      <c r="AF48" s="70"/>
      <c r="AG48" s="70"/>
    </row>
    <row r="49" spans="1:33" ht="15.4" x14ac:dyDescent="0.4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29">
        <v>4.5999999999999996</v>
      </c>
      <c r="L49" s="27">
        <f t="shared" si="0"/>
        <v>1.6099999999999996E-2</v>
      </c>
      <c r="M49" s="27">
        <f t="shared" si="9"/>
        <v>4.5784053651266774</v>
      </c>
      <c r="N49" s="27">
        <f t="shared" si="1"/>
        <v>1.5971769509698665E-2</v>
      </c>
      <c r="O49" s="28">
        <f t="shared" si="2"/>
        <v>4.6521176915052171</v>
      </c>
      <c r="P49" s="28">
        <f t="shared" si="3"/>
        <v>1.5871508352554155E-2</v>
      </c>
      <c r="Q49" s="37">
        <f t="shared" si="8"/>
        <v>3.4277198211624449E-2</v>
      </c>
      <c r="R49" s="27"/>
      <c r="S49" s="27"/>
      <c r="T49" s="35">
        <f t="shared" si="4"/>
        <v>0.92076996656354637</v>
      </c>
      <c r="U49" s="36">
        <f t="shared" si="5"/>
        <v>1.5871508352554155E-2</v>
      </c>
      <c r="Z49" s="34"/>
      <c r="AA49" s="34"/>
      <c r="AC49" s="34"/>
      <c r="AD49" s="34"/>
      <c r="AF49" s="70"/>
      <c r="AG49" s="70"/>
    </row>
    <row r="50" spans="1:33" ht="15.4" x14ac:dyDescent="0.4">
      <c r="A50" s="142"/>
      <c r="B50" s="142"/>
      <c r="C50" s="142"/>
      <c r="D50" s="142"/>
      <c r="E50" s="142"/>
      <c r="F50" s="45"/>
      <c r="G50" s="45"/>
      <c r="H50" s="45"/>
      <c r="I50" s="45"/>
      <c r="J50" s="45"/>
      <c r="K50" s="29">
        <v>4.7</v>
      </c>
      <c r="L50" s="27">
        <f t="shared" si="0"/>
        <v>1.6449999999999999E-2</v>
      </c>
      <c r="M50" s="27">
        <f t="shared" si="9"/>
        <v>4.4334675141242936</v>
      </c>
      <c r="N50" s="27">
        <f t="shared" si="1"/>
        <v>1.6316164484936148E-2</v>
      </c>
      <c r="O50" s="28">
        <f t="shared" si="2"/>
        <v>4.5063980547316387</v>
      </c>
      <c r="P50" s="28">
        <f t="shared" si="3"/>
        <v>1.6219043837204863E-2</v>
      </c>
      <c r="Q50" s="37">
        <f t="shared" si="8"/>
        <v>3.3192090395480225E-2</v>
      </c>
      <c r="R50" s="27"/>
      <c r="S50" s="27"/>
      <c r="T50" s="35">
        <f t="shared" si="4"/>
        <v>0.92284807834566851</v>
      </c>
      <c r="U50" s="36">
        <f t="shared" si="5"/>
        <v>1.6219043837204863E-2</v>
      </c>
      <c r="Z50" s="34"/>
      <c r="AA50" s="34"/>
      <c r="AC50" s="34"/>
      <c r="AD50" s="34"/>
      <c r="AF50" s="70"/>
      <c r="AG50" s="70"/>
    </row>
    <row r="51" spans="1:33" ht="15.4" x14ac:dyDescent="0.4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29">
        <v>4.8</v>
      </c>
      <c r="L51" s="27">
        <f t="shared" si="0"/>
        <v>1.6799999999999999E-2</v>
      </c>
      <c r="M51" s="27">
        <f t="shared" si="9"/>
        <v>4.2971581769436984</v>
      </c>
      <c r="N51" s="27">
        <f t="shared" si="1"/>
        <v>1.666044089310717E-2</v>
      </c>
      <c r="O51" s="28">
        <f t="shared" si="2"/>
        <v>4.3693504343163525</v>
      </c>
      <c r="P51" s="28">
        <f t="shared" si="3"/>
        <v>1.6566273857884836E-2</v>
      </c>
      <c r="Q51" s="37">
        <f t="shared" si="8"/>
        <v>3.2171581769436991E-2</v>
      </c>
      <c r="R51" s="27"/>
      <c r="S51" s="27"/>
      <c r="T51" s="35">
        <f t="shared" si="4"/>
        <v>0.92481932796577004</v>
      </c>
      <c r="U51" s="36">
        <f t="shared" si="5"/>
        <v>1.6566273857884836E-2</v>
      </c>
      <c r="Z51" s="34"/>
      <c r="AA51" s="34"/>
      <c r="AC51" s="34"/>
      <c r="AD51" s="34"/>
      <c r="AF51" s="70"/>
      <c r="AG51" s="70"/>
    </row>
    <row r="52" spans="1:33" ht="15.4" x14ac:dyDescent="0.4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29">
        <v>4.9000000000000004</v>
      </c>
      <c r="L52" s="27">
        <f t="shared" si="0"/>
        <v>1.7149999999999999E-2</v>
      </c>
      <c r="M52" s="27">
        <f t="shared" si="9"/>
        <v>4.1687452229299353</v>
      </c>
      <c r="N52" s="27">
        <f t="shared" si="1"/>
        <v>1.7004598815823765E-2</v>
      </c>
      <c r="O52" s="28">
        <f t="shared" si="2"/>
        <v>4.240239203503184</v>
      </c>
      <c r="P52" s="28">
        <f t="shared" si="3"/>
        <v>1.6913214350231024E-2</v>
      </c>
      <c r="Q52" s="37">
        <f t="shared" si="8"/>
        <v>3.1210191082802544E-2</v>
      </c>
      <c r="R52" s="27"/>
      <c r="S52" s="27"/>
      <c r="T52" s="35">
        <f t="shared" si="4"/>
        <v>0.92669172621817641</v>
      </c>
      <c r="U52" s="36">
        <f t="shared" si="5"/>
        <v>1.6913214350231024E-2</v>
      </c>
      <c r="Z52" s="34"/>
      <c r="AA52" s="34"/>
      <c r="AC52" s="34"/>
      <c r="AD52" s="34"/>
      <c r="AF52" s="70"/>
      <c r="AG52" s="70"/>
    </row>
    <row r="53" spans="1:33" ht="15.4" x14ac:dyDescent="0.4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29">
        <v>5</v>
      </c>
      <c r="L53" s="27">
        <f t="shared" si="0"/>
        <v>1.7499999999999998E-2</v>
      </c>
      <c r="M53" s="27">
        <f t="shared" si="9"/>
        <v>4.0475757575757578</v>
      </c>
      <c r="N53" s="27">
        <f t="shared" si="1"/>
        <v>1.7348638334613073E-2</v>
      </c>
      <c r="O53" s="28">
        <f t="shared" si="2"/>
        <v>4.1184083333333339</v>
      </c>
      <c r="P53" s="28">
        <f t="shared" si="3"/>
        <v>1.7259879534325718E-2</v>
      </c>
      <c r="Q53" s="37">
        <f t="shared" si="8"/>
        <v>3.0303030303030304E-2</v>
      </c>
      <c r="R53" s="27"/>
      <c r="S53" s="27"/>
      <c r="T53" s="35">
        <f t="shared" si="4"/>
        <v>0.92847250510874368</v>
      </c>
      <c r="U53" s="36">
        <f t="shared" si="5"/>
        <v>1.7259879534325718E-2</v>
      </c>
      <c r="Z53" s="34"/>
      <c r="AA53" s="34"/>
      <c r="AC53" s="34"/>
      <c r="AD53" s="34"/>
      <c r="AF53" s="70"/>
      <c r="AG53" s="70"/>
    </row>
    <row r="54" spans="1:33" ht="15.4" x14ac:dyDescent="0.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29">
        <v>5.0999999999999996</v>
      </c>
      <c r="L54" s="27">
        <f t="shared" si="0"/>
        <v>1.7849999999999998E-2</v>
      </c>
      <c r="M54" s="27">
        <f t="shared" si="9"/>
        <v>3.9330658198614317</v>
      </c>
      <c r="N54" s="27">
        <f t="shared" si="1"/>
        <v>1.7692559530918115E-2</v>
      </c>
      <c r="O54" s="28">
        <f t="shared" si="2"/>
        <v>4.0032710447459579</v>
      </c>
      <c r="P54" s="28">
        <f t="shared" si="3"/>
        <v>1.7606282137712384E-2</v>
      </c>
      <c r="Q54" s="37">
        <f t="shared" si="8"/>
        <v>2.9445727482678985E-2</v>
      </c>
      <c r="R54" s="27"/>
      <c r="S54" s="27"/>
      <c r="T54" s="35">
        <f t="shared" si="4"/>
        <v>0.93016820997503724</v>
      </c>
      <c r="U54" s="36">
        <f t="shared" si="5"/>
        <v>1.7606282137712384E-2</v>
      </c>
      <c r="Z54" s="34"/>
      <c r="AA54" s="34"/>
      <c r="AC54" s="34"/>
      <c r="AD54" s="34"/>
      <c r="AF54" s="70"/>
      <c r="AG54" s="70"/>
    </row>
    <row r="55" spans="1:33" ht="15.4" x14ac:dyDescent="0.4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29">
        <v>5.2</v>
      </c>
      <c r="L55" s="27">
        <f t="shared" si="0"/>
        <v>1.8199999999999997E-2</v>
      </c>
      <c r="M55" s="27">
        <f t="shared" si="9"/>
        <v>3.824691629955947</v>
      </c>
      <c r="N55" s="27">
        <f t="shared" si="1"/>
        <v>1.8036362486098575E-2</v>
      </c>
      <c r="O55" s="28">
        <f t="shared" si="2"/>
        <v>3.8943010176211454</v>
      </c>
      <c r="P55" s="28">
        <f t="shared" si="3"/>
        <v>1.795243358485674E-2</v>
      </c>
      <c r="Q55" s="37">
        <f t="shared" si="8"/>
        <v>2.8634361233480177E-2</v>
      </c>
      <c r="R55" s="27"/>
      <c r="S55" s="27"/>
      <c r="T55" s="35">
        <f t="shared" si="4"/>
        <v>0.93178477886980238</v>
      </c>
      <c r="U55" s="36">
        <f t="shared" si="5"/>
        <v>1.795243358485674E-2</v>
      </c>
      <c r="Z55" s="34"/>
      <c r="AA55" s="34"/>
      <c r="AC55" s="34"/>
      <c r="AD55" s="34"/>
      <c r="AF55" s="70"/>
      <c r="AG55" s="70"/>
    </row>
    <row r="56" spans="1:33" ht="15.4" x14ac:dyDescent="0.4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29">
        <v>5.3</v>
      </c>
      <c r="L56" s="27">
        <f t="shared" si="0"/>
        <v>1.8549999999999997E-2</v>
      </c>
      <c r="M56" s="27">
        <f t="shared" si="9"/>
        <v>3.7219821240799158</v>
      </c>
      <c r="N56" s="27">
        <f t="shared" si="1"/>
        <v>1.8380047281429585E-2</v>
      </c>
      <c r="O56" s="28">
        <f t="shared" si="2"/>
        <v>3.7910248924815986</v>
      </c>
      <c r="P56" s="28">
        <f t="shared" si="3"/>
        <v>1.8298344158746791E-2</v>
      </c>
      <c r="Q56" s="37">
        <f t="shared" si="8"/>
        <v>2.786540483701367E-2</v>
      </c>
      <c r="R56" s="27"/>
      <c r="S56" s="27"/>
      <c r="T56" s="35">
        <f t="shared" si="4"/>
        <v>0.93332761121023833</v>
      </c>
      <c r="U56" s="36">
        <f t="shared" si="5"/>
        <v>1.8298344158746791E-2</v>
      </c>
      <c r="Z56" s="34"/>
      <c r="AA56" s="34"/>
      <c r="AC56" s="34"/>
      <c r="AD56" s="34"/>
      <c r="AF56" s="70"/>
      <c r="AG56" s="70"/>
    </row>
    <row r="57" spans="1:33" ht="15.4" x14ac:dyDescent="0.4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29">
        <v>5.4</v>
      </c>
      <c r="L57" s="27">
        <f t="shared" si="0"/>
        <v>1.89E-2</v>
      </c>
      <c r="M57" s="27">
        <f t="shared" si="9"/>
        <v>3.6245125628140702</v>
      </c>
      <c r="N57" s="27">
        <f t="shared" si="1"/>
        <v>1.872361399810251E-2</v>
      </c>
      <c r="O57" s="28">
        <f t="shared" si="2"/>
        <v>3.693015850251256</v>
      </c>
      <c r="P57" s="28">
        <f t="shared" si="3"/>
        <v>1.864402313926089E-2</v>
      </c>
      <c r="Q57" s="37">
        <f t="shared" si="8"/>
        <v>2.7135678391959798E-2</v>
      </c>
      <c r="R57" s="27"/>
      <c r="S57" s="27"/>
      <c r="T57" s="35">
        <f t="shared" si="4"/>
        <v>0.93480162734466987</v>
      </c>
      <c r="U57" s="36">
        <f t="shared" si="5"/>
        <v>1.864402313926089E-2</v>
      </c>
      <c r="Z57" s="34"/>
      <c r="AA57" s="34"/>
      <c r="AC57" s="34"/>
      <c r="AD57" s="34"/>
      <c r="AF57" s="70"/>
      <c r="AG57" s="70"/>
    </row>
    <row r="58" spans="1:33" ht="15.4" x14ac:dyDescent="0.4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29">
        <v>5.5</v>
      </c>
      <c r="L58" s="27">
        <f t="shared" si="0"/>
        <v>1.9249999999999996E-2</v>
      </c>
      <c r="M58" s="27">
        <f t="shared" si="9"/>
        <v>3.5318990384615381</v>
      </c>
      <c r="N58" s="27">
        <f t="shared" si="1"/>
        <v>1.9067062717225722E-2</v>
      </c>
      <c r="O58" s="28">
        <f t="shared" si="2"/>
        <v>3.5998880949519227</v>
      </c>
      <c r="P58" s="28">
        <f t="shared" si="3"/>
        <v>1.8989478922075895E-2</v>
      </c>
      <c r="Q58" s="37">
        <f t="shared" si="8"/>
        <v>2.6442307692307692E-2</v>
      </c>
      <c r="R58" s="27"/>
      <c r="S58" s="27"/>
      <c r="T58" s="35">
        <f t="shared" si="4"/>
        <v>0.93621132040478205</v>
      </c>
      <c r="U58" s="36">
        <f t="shared" si="5"/>
        <v>1.8989478922075895E-2</v>
      </c>
      <c r="Z58" s="34"/>
      <c r="AA58" s="34"/>
      <c r="AC58" s="34"/>
      <c r="AD58" s="34"/>
      <c r="AF58" s="70"/>
      <c r="AG58" s="70"/>
    </row>
    <row r="59" spans="1:33" ht="15.4" x14ac:dyDescent="0.4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29">
        <v>5.6</v>
      </c>
      <c r="L59" s="27">
        <f t="shared" si="0"/>
        <v>1.9599999999999996E-2</v>
      </c>
      <c r="M59" s="27">
        <f t="shared" si="9"/>
        <v>3.4437937384898714</v>
      </c>
      <c r="N59" s="27">
        <f t="shared" si="1"/>
        <v>1.9410393519823387E-2</v>
      </c>
      <c r="O59" s="28">
        <f t="shared" si="2"/>
        <v>3.511292095764273</v>
      </c>
      <c r="P59" s="28">
        <f t="shared" si="3"/>
        <v>1.9334719121207777E-2</v>
      </c>
      <c r="Q59" s="37">
        <f t="shared" si="8"/>
        <v>2.5782688766114184E-2</v>
      </c>
      <c r="R59" s="27"/>
      <c r="S59" s="27"/>
      <c r="T59" s="35">
        <f t="shared" si="4"/>
        <v>0.93756080158159405</v>
      </c>
      <c r="U59" s="36">
        <f t="shared" si="5"/>
        <v>1.9334719121207777E-2</v>
      </c>
      <c r="Z59" s="34"/>
      <c r="AA59" s="34"/>
      <c r="AC59" s="34"/>
      <c r="AD59" s="34"/>
      <c r="AF59" s="70"/>
      <c r="AG59" s="70"/>
    </row>
    <row r="60" spans="1:33" ht="15.4" x14ac:dyDescent="0.4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29">
        <v>5.7</v>
      </c>
      <c r="L60" s="27">
        <f t="shared" si="0"/>
        <v>1.9949999999999999E-2</v>
      </c>
      <c r="M60" s="27">
        <f t="shared" si="9"/>
        <v>3.3598808473080317</v>
      </c>
      <c r="N60" s="27">
        <f t="shared" si="1"/>
        <v>1.9753606486836248E-2</v>
      </c>
      <c r="O60" s="28">
        <f t="shared" si="2"/>
        <v>3.4269104702118267</v>
      </c>
      <c r="P60" s="28">
        <f t="shared" si="3"/>
        <v>1.9679750657736854E-2</v>
      </c>
      <c r="Q60" s="37">
        <f t="shared" si="8"/>
        <v>2.5154457193292144E-2</v>
      </c>
      <c r="R60" s="40"/>
      <c r="S60" s="40"/>
      <c r="T60" s="35">
        <f t="shared" si="4"/>
        <v>0.93885383977585801</v>
      </c>
      <c r="U60" s="36">
        <f t="shared" si="5"/>
        <v>1.9679750657736854E-2</v>
      </c>
      <c r="Z60" s="34"/>
      <c r="AA60" s="34"/>
      <c r="AC60" s="34"/>
      <c r="AD60" s="34"/>
      <c r="AF60" s="70"/>
      <c r="AG60" s="70"/>
    </row>
    <row r="61" spans="1:33" ht="15.4" x14ac:dyDescent="0.4"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Z61" s="34"/>
      <c r="AA61" s="34"/>
      <c r="AF61" s="71"/>
      <c r="AG61" s="71"/>
    </row>
    <row r="62" spans="1:33" ht="15.4" x14ac:dyDescent="0.4"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Z62" s="34"/>
      <c r="AA62" s="34"/>
      <c r="AF62" s="71"/>
      <c r="AG62" s="71"/>
    </row>
    <row r="63" spans="1:33" ht="15.4" x14ac:dyDescent="0.4"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Z63" s="34"/>
      <c r="AA63" s="34"/>
      <c r="AF63" s="71"/>
      <c r="AG63" s="71"/>
    </row>
    <row r="64" spans="1:33" ht="15.4" x14ac:dyDescent="0.4"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Z64" s="34"/>
      <c r="AA64" s="34"/>
      <c r="AF64" s="71"/>
      <c r="AG64" s="71"/>
    </row>
    <row r="65" spans="7:34" ht="15.4" x14ac:dyDescent="0.4"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7"/>
      <c r="W65" s="77"/>
      <c r="X65" s="77"/>
      <c r="Y65" s="77"/>
      <c r="Z65" s="83"/>
      <c r="AA65" s="83"/>
      <c r="AB65" s="77"/>
      <c r="AC65" s="77"/>
      <c r="AD65" s="77"/>
      <c r="AE65" s="77"/>
      <c r="AF65" s="85"/>
      <c r="AG65" s="85"/>
    </row>
    <row r="66" spans="7:34" ht="25.15" x14ac:dyDescent="0.4">
      <c r="K66" s="77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77"/>
      <c r="W66" s="77"/>
      <c r="X66" s="77"/>
      <c r="Y66" s="77"/>
      <c r="Z66" s="83"/>
      <c r="AA66" s="83"/>
      <c r="AB66" s="77"/>
      <c r="AC66" s="77"/>
      <c r="AD66" s="77"/>
      <c r="AE66" s="77"/>
      <c r="AF66" s="85"/>
      <c r="AG66" s="85"/>
    </row>
    <row r="67" spans="7:34" ht="15.75" x14ac:dyDescent="0.4">
      <c r="K67" s="77"/>
      <c r="L67" s="76"/>
      <c r="M67" s="76"/>
      <c r="N67" s="78"/>
      <c r="O67" s="79"/>
      <c r="P67" s="76"/>
      <c r="Q67" s="82"/>
      <c r="R67" s="79"/>
      <c r="S67" s="82"/>
      <c r="T67" s="79"/>
      <c r="U67" s="82"/>
      <c r="V67" s="77"/>
      <c r="W67" s="77"/>
      <c r="X67" s="77"/>
      <c r="Y67" s="77"/>
      <c r="Z67" s="77"/>
      <c r="AA67" s="82"/>
      <c r="AB67" s="77"/>
      <c r="AC67" s="77"/>
      <c r="AD67" s="82"/>
      <c r="AE67" s="77"/>
      <c r="AF67" s="85"/>
      <c r="AG67" s="87"/>
      <c r="AH67" s="41"/>
    </row>
    <row r="68" spans="7:34" ht="15.4" x14ac:dyDescent="0.4">
      <c r="K68" s="77"/>
      <c r="L68" s="76"/>
      <c r="M68" s="76"/>
      <c r="N68" s="76"/>
      <c r="O68" s="76"/>
      <c r="P68" s="76"/>
      <c r="Q68" s="76"/>
      <c r="R68" s="76"/>
      <c r="S68" s="76"/>
      <c r="T68" s="83"/>
      <c r="U68" s="83"/>
      <c r="V68" s="77"/>
      <c r="W68" s="77"/>
      <c r="X68" s="77"/>
      <c r="Y68" s="77"/>
      <c r="Z68" s="77"/>
      <c r="AA68" s="83"/>
      <c r="AB68" s="77"/>
      <c r="AC68" s="83"/>
      <c r="AD68" s="83"/>
      <c r="AE68" s="77"/>
      <c r="AF68" s="86"/>
      <c r="AG68" s="86"/>
      <c r="AH68" s="41"/>
    </row>
    <row r="69" spans="7:34" ht="15.4" x14ac:dyDescent="0.4">
      <c r="K69" s="77"/>
      <c r="L69" s="76"/>
      <c r="M69" s="76"/>
      <c r="N69" s="76"/>
      <c r="O69" s="76"/>
      <c r="P69" s="76"/>
      <c r="Q69" s="76"/>
      <c r="R69" s="76"/>
      <c r="S69" s="76"/>
      <c r="T69" s="83"/>
      <c r="U69" s="83"/>
      <c r="V69" s="77"/>
      <c r="W69" s="77"/>
      <c r="X69" s="77"/>
      <c r="Y69" s="77"/>
      <c r="Z69" s="83"/>
      <c r="AA69" s="83"/>
      <c r="AB69" s="77"/>
      <c r="AC69" s="83"/>
      <c r="AD69" s="83"/>
      <c r="AE69" s="77"/>
      <c r="AF69" s="86"/>
      <c r="AG69" s="86"/>
      <c r="AH69" s="41"/>
    </row>
    <row r="70" spans="7:34" ht="15.4" x14ac:dyDescent="0.4">
      <c r="K70" s="77"/>
      <c r="L70" s="76"/>
      <c r="M70" s="76"/>
      <c r="N70" s="76"/>
      <c r="O70" s="76"/>
      <c r="P70" s="76"/>
      <c r="Q70" s="76"/>
      <c r="R70" s="76"/>
      <c r="S70" s="76"/>
      <c r="T70" s="83"/>
      <c r="U70" s="83"/>
      <c r="V70" s="77"/>
      <c r="W70" s="77"/>
      <c r="X70" s="77"/>
      <c r="Y70" s="77"/>
      <c r="Z70" s="83"/>
      <c r="AA70" s="77"/>
      <c r="AB70" s="77"/>
      <c r="AC70" s="83"/>
      <c r="AD70" s="83"/>
      <c r="AE70" s="77"/>
      <c r="AF70" s="86"/>
      <c r="AG70" s="86"/>
      <c r="AH70" s="41"/>
    </row>
    <row r="71" spans="7:34" ht="15.4" x14ac:dyDescent="0.4">
      <c r="K71" s="77"/>
      <c r="L71" s="76"/>
      <c r="M71" s="76"/>
      <c r="N71" s="76"/>
      <c r="O71" s="76"/>
      <c r="P71" s="76"/>
      <c r="Q71" s="76"/>
      <c r="R71" s="76"/>
      <c r="S71" s="76"/>
      <c r="T71" s="83"/>
      <c r="U71" s="83"/>
      <c r="V71" s="77"/>
      <c r="W71" s="77"/>
      <c r="X71" s="77"/>
      <c r="Y71" s="83"/>
      <c r="Z71" s="83"/>
      <c r="AA71" s="83"/>
      <c r="AB71" s="77"/>
      <c r="AC71" s="83"/>
      <c r="AD71" s="83"/>
      <c r="AE71" s="77"/>
      <c r="AF71" s="86"/>
      <c r="AG71" s="86"/>
      <c r="AH71" s="41"/>
    </row>
    <row r="72" spans="7:34" ht="15.4" x14ac:dyDescent="0.4">
      <c r="K72" s="77"/>
      <c r="L72" s="76"/>
      <c r="M72" s="76"/>
      <c r="N72" s="76"/>
      <c r="O72" s="76"/>
      <c r="P72" s="76"/>
      <c r="Q72" s="76"/>
      <c r="R72" s="76"/>
      <c r="S72" s="76"/>
      <c r="T72" s="83"/>
      <c r="U72" s="83"/>
      <c r="V72" s="77"/>
      <c r="W72" s="77"/>
      <c r="X72" s="77"/>
      <c r="Y72" s="83"/>
      <c r="Z72" s="83"/>
      <c r="AA72" s="83"/>
      <c r="AB72" s="77"/>
      <c r="AC72" s="83"/>
      <c r="AD72" s="83"/>
      <c r="AE72" s="77"/>
      <c r="AF72" s="86"/>
      <c r="AG72" s="86"/>
      <c r="AH72" s="41"/>
    </row>
    <row r="73" spans="7:34" ht="15.4" x14ac:dyDescent="0.4">
      <c r="K73" s="77"/>
      <c r="L73" s="76"/>
      <c r="M73" s="76"/>
      <c r="N73" s="76"/>
      <c r="O73" s="76"/>
      <c r="P73" s="76"/>
      <c r="Q73" s="76"/>
      <c r="R73" s="76"/>
      <c r="S73" s="76"/>
      <c r="T73" s="83"/>
      <c r="U73" s="83"/>
      <c r="V73" s="77"/>
      <c r="W73" s="77"/>
      <c r="X73" s="77"/>
      <c r="Y73" s="83"/>
      <c r="Z73" s="83"/>
      <c r="AA73" s="83"/>
      <c r="AB73" s="77"/>
      <c r="AC73" s="83"/>
      <c r="AD73" s="83"/>
      <c r="AE73" s="77"/>
      <c r="AF73" s="86"/>
      <c r="AG73" s="86"/>
      <c r="AH73" s="41"/>
    </row>
    <row r="74" spans="7:34" ht="15.4" x14ac:dyDescent="0.4">
      <c r="K74" s="77"/>
      <c r="L74" s="76"/>
      <c r="M74" s="76"/>
      <c r="N74" s="76"/>
      <c r="O74" s="76"/>
      <c r="P74" s="76"/>
      <c r="Q74" s="76"/>
      <c r="R74" s="76"/>
      <c r="S74" s="76"/>
      <c r="T74" s="83"/>
      <c r="U74" s="83"/>
      <c r="V74" s="77"/>
      <c r="W74" s="77"/>
      <c r="X74" s="77"/>
      <c r="Y74" s="83"/>
      <c r="Z74" s="83"/>
      <c r="AA74" s="83"/>
      <c r="AB74" s="77"/>
      <c r="AC74" s="83"/>
      <c r="AD74" s="83"/>
      <c r="AE74" s="77"/>
      <c r="AF74" s="86"/>
      <c r="AG74" s="86"/>
      <c r="AH74" s="41"/>
    </row>
    <row r="75" spans="7:34" s="41" customFormat="1" ht="15.4" x14ac:dyDescent="0.4">
      <c r="K75" s="77"/>
      <c r="L75" s="76"/>
      <c r="M75" s="76"/>
      <c r="N75" s="76"/>
      <c r="O75" s="76"/>
      <c r="P75" s="76"/>
      <c r="Q75" s="76"/>
      <c r="R75" s="76"/>
      <c r="S75" s="76"/>
      <c r="T75" s="83"/>
      <c r="U75" s="83"/>
      <c r="V75" s="77"/>
      <c r="W75" s="77"/>
      <c r="X75" s="77"/>
      <c r="Y75" s="83"/>
      <c r="Z75" s="83"/>
      <c r="AA75" s="83"/>
      <c r="AB75" s="77"/>
      <c r="AC75" s="83"/>
      <c r="AD75" s="83"/>
      <c r="AE75" s="77"/>
      <c r="AF75" s="86"/>
      <c r="AG75" s="86"/>
    </row>
    <row r="76" spans="7:34" ht="15.4" x14ac:dyDescent="0.4">
      <c r="K76" s="77"/>
      <c r="L76" s="76"/>
      <c r="M76" s="76"/>
      <c r="N76" s="76"/>
      <c r="O76" s="76"/>
      <c r="P76" s="76"/>
      <c r="Q76" s="76"/>
      <c r="R76" s="76"/>
      <c r="S76" s="76"/>
      <c r="T76" s="83"/>
      <c r="U76" s="83"/>
      <c r="V76" s="77"/>
      <c r="W76" s="77"/>
      <c r="X76" s="77"/>
      <c r="Y76" s="83"/>
      <c r="Z76" s="83"/>
      <c r="AA76" s="83"/>
      <c r="AB76" s="77"/>
      <c r="AC76" s="83"/>
      <c r="AD76" s="83"/>
      <c r="AE76" s="77"/>
      <c r="AF76" s="86"/>
      <c r="AG76" s="86"/>
      <c r="AH76" s="41"/>
    </row>
    <row r="77" spans="7:34" ht="15.4" x14ac:dyDescent="0.4">
      <c r="K77" s="77"/>
      <c r="L77" s="76"/>
      <c r="M77" s="76"/>
      <c r="N77" s="76"/>
      <c r="O77" s="76"/>
      <c r="P77" s="76"/>
      <c r="Q77" s="76"/>
      <c r="R77" s="76"/>
      <c r="S77" s="76"/>
      <c r="T77" s="83"/>
      <c r="U77" s="83"/>
      <c r="V77" s="77"/>
      <c r="W77" s="77"/>
      <c r="X77" s="77"/>
      <c r="Y77" s="83"/>
      <c r="Z77" s="83"/>
      <c r="AA77" s="83"/>
      <c r="AB77" s="77"/>
      <c r="AC77" s="83"/>
      <c r="AD77" s="83"/>
      <c r="AE77" s="77"/>
      <c r="AF77" s="86"/>
      <c r="AG77" s="86"/>
      <c r="AH77" s="41"/>
    </row>
    <row r="78" spans="7:34" ht="15.4" x14ac:dyDescent="0.4">
      <c r="K78" s="77"/>
      <c r="L78" s="76"/>
      <c r="M78" s="76"/>
      <c r="N78" s="76"/>
      <c r="O78" s="76"/>
      <c r="P78" s="76"/>
      <c r="Q78" s="76"/>
      <c r="R78" s="76"/>
      <c r="S78" s="76"/>
      <c r="T78" s="83"/>
      <c r="U78" s="83"/>
      <c r="V78" s="77"/>
      <c r="W78" s="77"/>
      <c r="X78" s="77"/>
      <c r="Y78" s="83"/>
      <c r="Z78" s="83"/>
      <c r="AA78" s="83"/>
      <c r="AB78" s="77"/>
      <c r="AC78" s="83"/>
      <c r="AD78" s="83"/>
      <c r="AE78" s="77"/>
      <c r="AF78" s="86"/>
      <c r="AG78" s="86"/>
      <c r="AH78" s="41"/>
    </row>
    <row r="79" spans="7:34" ht="15.4" x14ac:dyDescent="0.4">
      <c r="H79" s="43" t="s">
        <v>24</v>
      </c>
      <c r="I79" s="57" t="s">
        <v>25</v>
      </c>
      <c r="J79" s="57" t="s">
        <v>26</v>
      </c>
      <c r="K79" s="57" t="s">
        <v>27</v>
      </c>
      <c r="L79" s="76"/>
      <c r="M79" s="76"/>
      <c r="N79" s="76"/>
      <c r="O79" s="76"/>
      <c r="P79" s="76"/>
      <c r="Q79" s="76"/>
      <c r="R79" s="76"/>
      <c r="S79" s="76"/>
      <c r="T79" s="83"/>
      <c r="U79" s="83"/>
      <c r="V79" s="77"/>
      <c r="W79" s="77"/>
      <c r="X79" s="77"/>
      <c r="Y79" s="83"/>
      <c r="Z79" s="83"/>
      <c r="AA79" s="83"/>
      <c r="AB79" s="77"/>
      <c r="AC79" s="83"/>
      <c r="AD79" s="83"/>
      <c r="AE79" s="77"/>
      <c r="AF79" s="86"/>
      <c r="AG79" s="86"/>
      <c r="AH79" s="41"/>
    </row>
    <row r="80" spans="7:34" ht="15.4" x14ac:dyDescent="0.4">
      <c r="G80" s="43">
        <v>0.1</v>
      </c>
      <c r="H80" s="43">
        <v>0.111703618</v>
      </c>
      <c r="I80" s="43">
        <v>0.100009</v>
      </c>
      <c r="J80" s="43">
        <v>0.1100044</v>
      </c>
      <c r="K80" s="77">
        <v>0.1199998</v>
      </c>
      <c r="L80" s="76"/>
      <c r="M80" s="76"/>
      <c r="N80" s="76"/>
      <c r="O80" s="76"/>
      <c r="P80" s="76"/>
      <c r="Q80" s="76"/>
      <c r="R80" s="76"/>
      <c r="S80" s="76"/>
      <c r="T80" s="83"/>
      <c r="U80" s="83"/>
      <c r="V80" s="77"/>
      <c r="W80" s="77"/>
      <c r="X80" s="77"/>
      <c r="Y80" s="83"/>
      <c r="Z80" s="83"/>
      <c r="AA80" s="83"/>
      <c r="AB80" s="77"/>
      <c r="AC80" s="83"/>
      <c r="AD80" s="83"/>
      <c r="AE80" s="77"/>
      <c r="AF80" s="86"/>
      <c r="AG80" s="86"/>
      <c r="AH80" s="41"/>
    </row>
    <row r="81" spans="7:34" ht="15.4" x14ac:dyDescent="0.4">
      <c r="G81" s="43">
        <v>0.2</v>
      </c>
      <c r="H81" s="43">
        <v>0.22349875199999999</v>
      </c>
      <c r="I81" s="43">
        <v>0.20025599999999999</v>
      </c>
      <c r="J81" s="43">
        <v>0.2201216</v>
      </c>
      <c r="K81" s="77">
        <v>0.23998720000000001</v>
      </c>
      <c r="L81" s="76"/>
      <c r="M81" s="76"/>
      <c r="N81" s="76"/>
      <c r="O81" s="76"/>
      <c r="P81" s="76"/>
      <c r="Q81" s="76"/>
      <c r="R81" s="76"/>
      <c r="S81" s="76"/>
      <c r="T81" s="83"/>
      <c r="U81" s="83"/>
      <c r="V81" s="77"/>
      <c r="W81" s="77"/>
      <c r="X81" s="77"/>
      <c r="Y81" s="83"/>
      <c r="Z81" s="83"/>
      <c r="AA81" s="83"/>
      <c r="AB81" s="77"/>
      <c r="AC81" s="83"/>
      <c r="AD81" s="83"/>
      <c r="AE81" s="77"/>
      <c r="AF81" s="86"/>
      <c r="AG81" s="86"/>
      <c r="AH81" s="41"/>
    </row>
    <row r="82" spans="7:34" ht="15.4" x14ac:dyDescent="0.4">
      <c r="G82" s="43">
        <v>0.3</v>
      </c>
      <c r="H82" s="43">
        <v>0.33572062200000002</v>
      </c>
      <c r="I82" s="43">
        <v>0.301701</v>
      </c>
      <c r="J82" s="43">
        <v>0.3307776</v>
      </c>
      <c r="K82" s="77">
        <v>0.35985420000000001</v>
      </c>
      <c r="L82" s="76"/>
      <c r="M82" s="76"/>
      <c r="N82" s="76"/>
      <c r="O82" s="76"/>
      <c r="P82" s="76"/>
      <c r="Q82" s="84"/>
      <c r="R82" s="76"/>
      <c r="S82" s="76"/>
      <c r="T82" s="83"/>
      <c r="U82" s="83"/>
      <c r="V82" s="77"/>
      <c r="W82" s="77"/>
      <c r="X82" s="77"/>
      <c r="Y82" s="83"/>
      <c r="Z82" s="83"/>
      <c r="AA82" s="83"/>
      <c r="AB82" s="77"/>
      <c r="AC82" s="83"/>
      <c r="AD82" s="83"/>
      <c r="AE82" s="77"/>
      <c r="AF82" s="86"/>
      <c r="AG82" s="86"/>
      <c r="AH82" s="41"/>
    </row>
    <row r="83" spans="7:34" ht="15.4" x14ac:dyDescent="0.4">
      <c r="G83" s="43">
        <v>0.4</v>
      </c>
      <c r="H83" s="43">
        <v>0.44887052799999999</v>
      </c>
      <c r="I83" s="43">
        <v>0.40614400000000001</v>
      </c>
      <c r="J83" s="43">
        <v>0.44266240000000001</v>
      </c>
      <c r="K83" s="77">
        <v>0.47918080000000002</v>
      </c>
      <c r="L83" s="76"/>
      <c r="M83" s="76"/>
      <c r="N83" s="76"/>
      <c r="O83" s="76"/>
      <c r="P83" s="76"/>
      <c r="Q83" s="76"/>
      <c r="R83" s="76"/>
      <c r="S83" s="76"/>
      <c r="T83" s="83"/>
      <c r="U83" s="83"/>
      <c r="V83" s="77"/>
      <c r="W83" s="77"/>
      <c r="X83" s="77"/>
      <c r="Y83" s="83"/>
      <c r="Z83" s="83"/>
      <c r="AA83" s="83"/>
      <c r="AB83" s="77"/>
      <c r="AC83" s="83"/>
      <c r="AD83" s="83"/>
      <c r="AE83" s="77"/>
      <c r="AF83" s="86"/>
      <c r="AG83" s="86"/>
      <c r="AH83" s="41"/>
    </row>
    <row r="84" spans="7:34" ht="15.4" x14ac:dyDescent="0.4">
      <c r="G84" s="43">
        <v>0.5</v>
      </c>
      <c r="H84" s="43">
        <v>0.56315625000000002</v>
      </c>
      <c r="I84" s="43">
        <v>0.515625</v>
      </c>
      <c r="J84" s="43">
        <v>0.55625000000000002</v>
      </c>
      <c r="K84" s="77">
        <v>0.59687500000000004</v>
      </c>
      <c r="L84" s="76"/>
      <c r="M84" s="76"/>
      <c r="N84" s="76"/>
      <c r="O84" s="76"/>
      <c r="P84" s="76"/>
      <c r="Q84" s="76"/>
      <c r="R84" s="76"/>
      <c r="S84" s="76"/>
      <c r="T84" s="83"/>
      <c r="U84" s="83"/>
      <c r="V84" s="77"/>
      <c r="W84" s="77"/>
      <c r="X84" s="77"/>
      <c r="Y84" s="83"/>
      <c r="Z84" s="83"/>
      <c r="AA84" s="83"/>
      <c r="AB84" s="77"/>
      <c r="AC84" s="83"/>
      <c r="AD84" s="83"/>
      <c r="AE84" s="77"/>
      <c r="AF84" s="86"/>
      <c r="AG84" s="86"/>
      <c r="AH84" s="41"/>
    </row>
    <row r="85" spans="7:34" ht="15.4" x14ac:dyDescent="0.4">
      <c r="G85" s="43">
        <v>0.6</v>
      </c>
      <c r="H85" s="43">
        <v>0.67764940799999995</v>
      </c>
      <c r="I85" s="43">
        <v>0.631104</v>
      </c>
      <c r="J85" s="43">
        <v>0.67088639999999999</v>
      </c>
      <c r="K85" s="77">
        <v>0.71066879999999999</v>
      </c>
      <c r="L85" s="76"/>
      <c r="M85" s="76"/>
      <c r="N85" s="76"/>
      <c r="O85" s="76"/>
      <c r="P85" s="76"/>
      <c r="Q85" s="76"/>
      <c r="R85" s="76"/>
      <c r="S85" s="76"/>
      <c r="T85" s="83"/>
      <c r="U85" s="83"/>
      <c r="V85" s="77"/>
      <c r="W85" s="77"/>
      <c r="X85" s="77"/>
      <c r="Y85" s="83"/>
      <c r="Z85" s="83"/>
      <c r="AA85" s="83"/>
      <c r="AB85" s="77"/>
      <c r="AC85" s="83"/>
      <c r="AD85" s="83"/>
      <c r="AE85" s="77"/>
      <c r="AF85" s="86"/>
      <c r="AG85" s="86"/>
      <c r="AH85" s="41"/>
    </row>
    <row r="86" spans="7:34" ht="15.4" x14ac:dyDescent="0.4">
      <c r="G86" s="43">
        <v>0.7</v>
      </c>
      <c r="H86" s="43">
        <v>0.78905978200000004</v>
      </c>
      <c r="I86" s="43">
        <v>0.750421</v>
      </c>
      <c r="J86" s="43">
        <v>0.78344559999999996</v>
      </c>
      <c r="K86" s="77">
        <v>0.81647020000000003</v>
      </c>
      <c r="L86" s="76"/>
      <c r="M86" s="76"/>
      <c r="N86" s="76"/>
      <c r="O86" s="76"/>
      <c r="P86" s="76"/>
      <c r="Q86" s="76"/>
      <c r="R86" s="76"/>
      <c r="S86" s="76"/>
      <c r="T86" s="83"/>
      <c r="U86" s="83"/>
      <c r="V86" s="77"/>
      <c r="W86" s="77"/>
      <c r="X86" s="77"/>
      <c r="Y86" s="83"/>
      <c r="Z86" s="83"/>
      <c r="AA86" s="83"/>
      <c r="AB86" s="77"/>
      <c r="AC86" s="83"/>
      <c r="AD86" s="83"/>
      <c r="AE86" s="77"/>
      <c r="AF86" s="86"/>
      <c r="AG86" s="86"/>
      <c r="AH86" s="41"/>
    </row>
    <row r="87" spans="7:34" s="41" customFormat="1" ht="15.4" x14ac:dyDescent="0.4">
      <c r="G87" s="41">
        <v>0.8</v>
      </c>
      <c r="H87" s="41">
        <v>0.89012659199999999</v>
      </c>
      <c r="I87" s="41">
        <v>0.86553599999999997</v>
      </c>
      <c r="J87" s="41">
        <v>0.88655360000000005</v>
      </c>
      <c r="K87" s="77">
        <v>0.90757120000000002</v>
      </c>
      <c r="L87" s="76"/>
      <c r="M87" s="76"/>
      <c r="N87" s="76"/>
      <c r="O87" s="76"/>
      <c r="P87" s="76"/>
      <c r="Q87" s="76"/>
      <c r="R87" s="76"/>
      <c r="S87" s="76"/>
      <c r="T87" s="83"/>
      <c r="U87" s="83"/>
      <c r="V87" s="77"/>
      <c r="W87" s="77"/>
      <c r="X87" s="77"/>
      <c r="Y87" s="83"/>
      <c r="Z87" s="83"/>
      <c r="AA87" s="83"/>
      <c r="AB87" s="77"/>
      <c r="AC87" s="83"/>
      <c r="AD87" s="83"/>
      <c r="AE87" s="77"/>
      <c r="AF87" s="86"/>
      <c r="AG87" s="86"/>
    </row>
    <row r="88" spans="7:34" ht="15.4" x14ac:dyDescent="0.4">
      <c r="G88" s="43">
        <v>0.9</v>
      </c>
      <c r="H88" s="43">
        <v>0.96762673799999999</v>
      </c>
      <c r="I88" s="43">
        <v>0.95904900000000004</v>
      </c>
      <c r="J88" s="43">
        <v>0.96638040000000003</v>
      </c>
      <c r="K88" s="77">
        <v>0.97371180000000002</v>
      </c>
      <c r="L88" s="76"/>
      <c r="M88" s="76"/>
      <c r="N88" s="76"/>
      <c r="O88" s="76"/>
      <c r="P88" s="76"/>
      <c r="Q88" s="76"/>
      <c r="R88" s="76"/>
      <c r="S88" s="76"/>
      <c r="T88" s="83"/>
      <c r="U88" s="83"/>
      <c r="V88" s="77"/>
      <c r="W88" s="77"/>
      <c r="X88" s="77"/>
      <c r="Y88" s="83"/>
      <c r="Z88" s="83"/>
      <c r="AA88" s="83"/>
      <c r="AB88" s="77"/>
      <c r="AC88" s="83"/>
      <c r="AD88" s="83"/>
      <c r="AE88" s="77"/>
      <c r="AF88" s="86"/>
      <c r="AG88" s="86"/>
      <c r="AH88" s="41"/>
    </row>
    <row r="89" spans="7:34" ht="15.4" x14ac:dyDescent="0.4">
      <c r="G89" s="43">
        <v>1</v>
      </c>
      <c r="H89" s="43">
        <v>1</v>
      </c>
      <c r="I89" s="43">
        <v>1</v>
      </c>
      <c r="J89" s="43">
        <v>1</v>
      </c>
      <c r="K89" s="77">
        <v>1</v>
      </c>
      <c r="L89" s="76"/>
      <c r="M89" s="76"/>
      <c r="N89" s="76"/>
      <c r="O89" s="76"/>
      <c r="P89" s="76"/>
      <c r="Q89" s="76"/>
      <c r="R89" s="76"/>
      <c r="S89" s="76"/>
      <c r="T89" s="83"/>
      <c r="U89" s="83"/>
      <c r="V89" s="77"/>
      <c r="W89" s="77"/>
      <c r="X89" s="77"/>
      <c r="Y89" s="83"/>
      <c r="Z89" s="83"/>
      <c r="AA89" s="83"/>
      <c r="AB89" s="77"/>
      <c r="AC89" s="83"/>
      <c r="AD89" s="83"/>
      <c r="AE89" s="77"/>
      <c r="AF89" s="86"/>
      <c r="AG89" s="86"/>
      <c r="AH89" s="41"/>
    </row>
    <row r="90" spans="7:34" ht="15.4" x14ac:dyDescent="0.4">
      <c r="G90" s="43">
        <v>1.1000000000000001</v>
      </c>
      <c r="H90" s="43">
        <v>0.97856062627880103</v>
      </c>
      <c r="I90" s="43">
        <v>0.96491228070175405</v>
      </c>
      <c r="J90" s="43">
        <v>0.97345132743362806</v>
      </c>
      <c r="K90" s="77">
        <v>0.91666666666666696</v>
      </c>
      <c r="L90" s="76"/>
      <c r="M90" s="76"/>
      <c r="N90" s="76"/>
      <c r="O90" s="76"/>
      <c r="P90" s="76"/>
      <c r="Q90" s="84"/>
      <c r="R90" s="76"/>
      <c r="S90" s="76"/>
      <c r="T90" s="83"/>
      <c r="U90" s="83"/>
      <c r="V90" s="77"/>
      <c r="W90" s="77"/>
      <c r="X90" s="77"/>
      <c r="Y90" s="83"/>
      <c r="Z90" s="83"/>
      <c r="AA90" s="83"/>
      <c r="AB90" s="77"/>
      <c r="AC90" s="83"/>
      <c r="AD90" s="83"/>
      <c r="AE90" s="77"/>
      <c r="AF90" s="86"/>
      <c r="AG90" s="86"/>
      <c r="AH90" s="41"/>
    </row>
    <row r="91" spans="7:34" ht="15.4" x14ac:dyDescent="0.4">
      <c r="G91" s="43">
        <v>1.2</v>
      </c>
      <c r="H91" s="43">
        <v>0.92564023449552602</v>
      </c>
      <c r="I91" s="43">
        <v>0.88235294117647101</v>
      </c>
      <c r="J91" s="43">
        <v>0.90909090909090895</v>
      </c>
      <c r="K91" s="77">
        <v>0.75</v>
      </c>
      <c r="L91" s="76"/>
      <c r="M91" s="76"/>
      <c r="N91" s="76"/>
      <c r="O91" s="76"/>
      <c r="P91" s="76"/>
      <c r="Q91" s="84"/>
      <c r="R91" s="76"/>
      <c r="S91" s="76"/>
      <c r="T91" s="83"/>
      <c r="U91" s="83"/>
      <c r="V91" s="77"/>
      <c r="W91" s="77"/>
      <c r="X91" s="77"/>
      <c r="Y91" s="83"/>
      <c r="Z91" s="83"/>
      <c r="AA91" s="83"/>
      <c r="AB91" s="77"/>
      <c r="AC91" s="83"/>
      <c r="AD91" s="83"/>
      <c r="AE91" s="77"/>
      <c r="AF91" s="86"/>
      <c r="AG91" s="86"/>
      <c r="AH91" s="41"/>
    </row>
    <row r="92" spans="7:34" ht="15.4" x14ac:dyDescent="0.4">
      <c r="G92" s="43">
        <v>1.3</v>
      </c>
      <c r="H92" s="43">
        <v>0.85701100929527296</v>
      </c>
      <c r="I92" s="43">
        <v>0.78313253012048201</v>
      </c>
      <c r="J92" s="43">
        <v>0.82802547770700596</v>
      </c>
      <c r="K92" s="77">
        <v>0.59090909090909105</v>
      </c>
      <c r="L92" s="76"/>
      <c r="M92" s="76"/>
      <c r="N92" s="76"/>
      <c r="O92" s="76"/>
      <c r="P92" s="76"/>
      <c r="Q92" s="84"/>
      <c r="R92" s="76"/>
      <c r="S92" s="76"/>
      <c r="T92" s="83"/>
      <c r="U92" s="83"/>
      <c r="V92" s="77"/>
      <c r="W92" s="77"/>
      <c r="X92" s="77"/>
      <c r="Y92" s="83"/>
      <c r="Z92" s="83"/>
      <c r="AA92" s="83"/>
      <c r="AB92" s="77"/>
      <c r="AC92" s="83"/>
      <c r="AD92" s="83"/>
      <c r="AE92" s="77"/>
      <c r="AF92" s="86"/>
      <c r="AG92" s="86"/>
      <c r="AH92" s="41"/>
    </row>
    <row r="93" spans="7:34" ht="15.4" x14ac:dyDescent="0.4">
      <c r="G93" s="43">
        <v>1.4</v>
      </c>
      <c r="H93" s="43">
        <v>0.78405017921147002</v>
      </c>
      <c r="I93" s="43">
        <v>0.68627450980392202</v>
      </c>
      <c r="J93" s="43">
        <v>0.74468085106382997</v>
      </c>
      <c r="K93" s="77">
        <v>0.46666666666666701</v>
      </c>
      <c r="L93" s="76"/>
      <c r="M93" s="76"/>
      <c r="N93" s="76"/>
      <c r="O93" s="76"/>
      <c r="P93" s="76"/>
      <c r="Q93" s="76"/>
      <c r="R93" s="76"/>
      <c r="S93" s="76"/>
      <c r="T93" s="83"/>
      <c r="U93" s="83"/>
      <c r="V93" s="77"/>
      <c r="W93" s="77"/>
      <c r="X93" s="77"/>
      <c r="Y93" s="83"/>
      <c r="Z93" s="83"/>
      <c r="AA93" s="83"/>
      <c r="AB93" s="77"/>
      <c r="AC93" s="83"/>
      <c r="AD93" s="83"/>
      <c r="AE93" s="77"/>
      <c r="AF93" s="86"/>
      <c r="AG93" s="86"/>
      <c r="AH93" s="41"/>
    </row>
    <row r="94" spans="7:34" ht="15.4" x14ac:dyDescent="0.4">
      <c r="G94" s="43">
        <v>1.5</v>
      </c>
      <c r="H94" s="43">
        <v>0.71343638525564801</v>
      </c>
      <c r="I94" s="43">
        <v>0.6</v>
      </c>
      <c r="J94" s="43">
        <v>0.66666666666666696</v>
      </c>
      <c r="K94" s="77">
        <v>0.375</v>
      </c>
      <c r="L94" s="76"/>
      <c r="M94" s="76"/>
      <c r="N94" s="76"/>
      <c r="O94" s="76"/>
      <c r="P94" s="76"/>
      <c r="Q94" s="76"/>
      <c r="R94" s="76"/>
      <c r="S94" s="76"/>
      <c r="T94" s="83"/>
      <c r="U94" s="83"/>
      <c r="V94" s="77"/>
      <c r="W94" s="77"/>
      <c r="X94" s="77"/>
      <c r="Y94" s="83"/>
      <c r="Z94" s="83"/>
      <c r="AA94" s="83"/>
      <c r="AB94" s="77"/>
      <c r="AC94" s="83"/>
      <c r="AD94" s="83"/>
      <c r="AE94" s="77"/>
      <c r="AF94" s="86"/>
      <c r="AG94" s="86"/>
      <c r="AH94" s="41"/>
    </row>
    <row r="95" spans="7:34" ht="15.4" x14ac:dyDescent="0.4">
      <c r="G95" s="43">
        <v>1.6</v>
      </c>
      <c r="H95" s="43">
        <v>0.64840330685686498</v>
      </c>
      <c r="I95" s="43">
        <v>0.52631578947368396</v>
      </c>
      <c r="J95" s="43">
        <v>0.59701492537313405</v>
      </c>
      <c r="K95" s="77">
        <v>0.30769230769230799</v>
      </c>
      <c r="L95" s="76"/>
      <c r="M95" s="76"/>
      <c r="N95" s="76"/>
      <c r="O95" s="76"/>
      <c r="P95" s="76"/>
      <c r="Q95" s="76"/>
      <c r="R95" s="76"/>
      <c r="S95" s="76"/>
      <c r="T95" s="83"/>
      <c r="U95" s="83"/>
      <c r="V95" s="77"/>
      <c r="W95" s="77"/>
      <c r="X95" s="77"/>
      <c r="Y95" s="83"/>
      <c r="Z95" s="83"/>
      <c r="AA95" s="83"/>
      <c r="AB95" s="77"/>
      <c r="AC95" s="83"/>
      <c r="AD95" s="83"/>
      <c r="AE95" s="77"/>
      <c r="AF95" s="86"/>
      <c r="AG95" s="86"/>
      <c r="AH95" s="41"/>
    </row>
    <row r="96" spans="7:34" ht="15.4" x14ac:dyDescent="0.4">
      <c r="G96" s="43">
        <v>1.7</v>
      </c>
      <c r="H96" s="43">
        <v>0.59009337359852798</v>
      </c>
      <c r="I96" s="43">
        <v>0.46448087431694002</v>
      </c>
      <c r="J96" s="43">
        <v>0.53627760252365897</v>
      </c>
      <c r="K96" s="77">
        <v>0.25757575757575801</v>
      </c>
      <c r="L96" s="76"/>
      <c r="M96" s="76"/>
      <c r="N96" s="76"/>
      <c r="O96" s="76"/>
      <c r="P96" s="76"/>
      <c r="Q96" s="76"/>
      <c r="R96" s="76"/>
      <c r="S96" s="76"/>
      <c r="T96" s="83"/>
      <c r="U96" s="83"/>
      <c r="V96" s="77"/>
      <c r="W96" s="77"/>
      <c r="X96" s="77"/>
      <c r="Y96" s="83"/>
      <c r="Z96" s="83"/>
      <c r="AA96" s="83"/>
      <c r="AB96" s="77"/>
      <c r="AC96" s="83"/>
      <c r="AD96" s="83"/>
      <c r="AE96" s="77"/>
      <c r="AF96" s="86"/>
      <c r="AG96" s="86"/>
      <c r="AH96" s="41"/>
    </row>
    <row r="97" spans="7:34" ht="15.4" x14ac:dyDescent="0.4">
      <c r="G97" s="43">
        <v>1.8</v>
      </c>
      <c r="H97" s="43">
        <v>0.53853518429870795</v>
      </c>
      <c r="I97" s="43">
        <v>0.41284403669724801</v>
      </c>
      <c r="J97" s="43">
        <v>0.483870967741935</v>
      </c>
      <c r="K97" s="77">
        <v>0.219512195121951</v>
      </c>
      <c r="L97" s="76"/>
      <c r="M97" s="76"/>
      <c r="N97" s="76"/>
      <c r="O97" s="76"/>
      <c r="P97" s="76"/>
      <c r="Q97" s="76"/>
      <c r="R97" s="76"/>
      <c r="S97" s="76"/>
      <c r="T97" s="83"/>
      <c r="U97" s="83"/>
      <c r="V97" s="77"/>
      <c r="W97" s="77"/>
      <c r="X97" s="77"/>
      <c r="Y97" s="83"/>
      <c r="Z97" s="83"/>
      <c r="AA97" s="83"/>
      <c r="AB97" s="77"/>
      <c r="AC97" s="83"/>
      <c r="AD97" s="83"/>
      <c r="AE97" s="77"/>
      <c r="AF97" s="86"/>
      <c r="AG97" s="86"/>
      <c r="AH97" s="41"/>
    </row>
    <row r="98" spans="7:34" ht="15.4" x14ac:dyDescent="0.4">
      <c r="G98" s="43">
        <v>1.9</v>
      </c>
      <c r="H98" s="43">
        <v>0.49323745489473297</v>
      </c>
      <c r="I98" s="43">
        <v>0.369649805447471</v>
      </c>
      <c r="J98" s="43">
        <v>0.438799076212471</v>
      </c>
      <c r="K98" s="77">
        <v>0.19</v>
      </c>
      <c r="L98" s="76"/>
      <c r="M98" s="76"/>
      <c r="N98" s="76"/>
      <c r="O98" s="76"/>
      <c r="P98" s="76"/>
      <c r="Q98" s="76"/>
      <c r="R98" s="76"/>
      <c r="S98" s="76"/>
      <c r="T98" s="83"/>
      <c r="U98" s="83"/>
      <c r="V98" s="77"/>
      <c r="W98" s="77"/>
      <c r="X98" s="77"/>
      <c r="Y98" s="83"/>
      <c r="Z98" s="83"/>
      <c r="AA98" s="83"/>
      <c r="AB98" s="77"/>
      <c r="AC98" s="83"/>
      <c r="AD98" s="83"/>
      <c r="AE98" s="77"/>
      <c r="AF98" s="86"/>
      <c r="AG98" s="86"/>
      <c r="AH98" s="41"/>
    </row>
    <row r="99" spans="7:34" ht="15.4" x14ac:dyDescent="0.4">
      <c r="G99" s="43">
        <v>2</v>
      </c>
      <c r="H99" s="43">
        <v>0.45351473922902502</v>
      </c>
      <c r="I99" s="43">
        <v>0.33333333333333298</v>
      </c>
      <c r="J99" s="43">
        <v>0.4</v>
      </c>
      <c r="K99" s="77">
        <v>0.16666666666666699</v>
      </c>
      <c r="L99" s="76"/>
      <c r="M99" s="76"/>
      <c r="N99" s="76"/>
      <c r="O99" s="76"/>
      <c r="P99" s="76"/>
      <c r="Q99" s="76"/>
      <c r="R99" s="76"/>
      <c r="S99" s="76"/>
      <c r="T99" s="83"/>
      <c r="U99" s="83"/>
      <c r="V99" s="77"/>
      <c r="W99" s="77"/>
      <c r="X99" s="77"/>
      <c r="Y99" s="83"/>
      <c r="Z99" s="83"/>
      <c r="AA99" s="83"/>
      <c r="AB99" s="77"/>
      <c r="AC99" s="83"/>
      <c r="AD99" s="83"/>
      <c r="AE99" s="77"/>
      <c r="AF99" s="86"/>
      <c r="AG99" s="86"/>
      <c r="AH99" s="41"/>
    </row>
    <row r="100" spans="7:34" ht="15.4" x14ac:dyDescent="0.4">
      <c r="G100" s="43">
        <v>2.1</v>
      </c>
      <c r="H100" s="43">
        <v>0.41865194075078199</v>
      </c>
      <c r="I100" s="43">
        <v>0.30259365994236298</v>
      </c>
      <c r="J100" s="43">
        <v>0.36649214659685903</v>
      </c>
      <c r="K100" s="77">
        <v>0.147887323943662</v>
      </c>
      <c r="L100" s="76"/>
      <c r="M100" s="76"/>
      <c r="N100" s="76"/>
      <c r="O100" s="76"/>
      <c r="P100" s="76"/>
      <c r="Q100" s="76"/>
      <c r="R100" s="76"/>
      <c r="S100" s="76"/>
      <c r="T100" s="83"/>
      <c r="U100" s="83"/>
      <c r="V100" s="77"/>
      <c r="W100" s="77"/>
      <c r="X100" s="77"/>
      <c r="Y100" s="83"/>
      <c r="Z100" s="83"/>
      <c r="AA100" s="83"/>
      <c r="AB100" s="77"/>
      <c r="AC100" s="83"/>
      <c r="AD100" s="83"/>
      <c r="AE100" s="77"/>
      <c r="AF100" s="86"/>
      <c r="AG100" s="86"/>
      <c r="AH100" s="41"/>
    </row>
    <row r="101" spans="7:34" ht="15.4" x14ac:dyDescent="0.4">
      <c r="G101" s="43">
        <v>2.2000000000000002</v>
      </c>
      <c r="H101" s="43">
        <v>0.38797968397291199</v>
      </c>
      <c r="I101" s="43">
        <v>0.276381909547739</v>
      </c>
      <c r="J101" s="43">
        <v>0.33742331288343602</v>
      </c>
      <c r="K101" s="77">
        <v>0.132530120481928</v>
      </c>
      <c r="L101" s="76"/>
      <c r="M101" s="76"/>
      <c r="N101" s="76"/>
      <c r="O101" s="76"/>
      <c r="P101" s="76"/>
      <c r="Q101" s="76"/>
      <c r="R101" s="76"/>
      <c r="S101" s="76"/>
      <c r="T101" s="83"/>
      <c r="U101" s="83"/>
      <c r="V101" s="77"/>
      <c r="W101" s="77"/>
      <c r="X101" s="77"/>
      <c r="Y101" s="83"/>
      <c r="Z101" s="83"/>
      <c r="AA101" s="83"/>
      <c r="AB101" s="77"/>
      <c r="AC101" s="83"/>
      <c r="AD101" s="83"/>
      <c r="AE101" s="77"/>
      <c r="AF101" s="86"/>
      <c r="AG101" s="86"/>
      <c r="AH101" s="41"/>
    </row>
    <row r="102" spans="7:34" ht="15.4" x14ac:dyDescent="0.4">
      <c r="G102" s="43">
        <v>2.2999999999999998</v>
      </c>
      <c r="H102" s="43">
        <v>0.36090319948532101</v>
      </c>
      <c r="I102" s="43">
        <v>0.253863134657837</v>
      </c>
      <c r="J102" s="43">
        <v>0.31207598371777501</v>
      </c>
      <c r="K102" s="77">
        <v>0.119791666666667</v>
      </c>
      <c r="L102" s="76"/>
      <c r="M102" s="76"/>
      <c r="N102" s="76"/>
      <c r="O102" s="76"/>
      <c r="P102" s="76"/>
      <c r="Q102" s="76"/>
      <c r="R102" s="76"/>
      <c r="S102" s="76"/>
      <c r="T102" s="83"/>
      <c r="U102" s="83"/>
      <c r="V102" s="77"/>
      <c r="W102" s="77"/>
      <c r="X102" s="77"/>
      <c r="Y102" s="83"/>
      <c r="Z102" s="83"/>
      <c r="AA102" s="83"/>
      <c r="AB102" s="77"/>
      <c r="AC102" s="83"/>
      <c r="AD102" s="83"/>
      <c r="AE102" s="77"/>
      <c r="AF102" s="86"/>
      <c r="AG102" s="86"/>
      <c r="AH102" s="41"/>
    </row>
    <row r="103" spans="7:34" ht="15.4" x14ac:dyDescent="0.4">
      <c r="G103" s="43">
        <v>2.4</v>
      </c>
      <c r="H103" s="43">
        <v>0.33690830478971301</v>
      </c>
      <c r="I103" s="43">
        <v>0.234375</v>
      </c>
      <c r="J103" s="43">
        <v>0.28985507246376802</v>
      </c>
      <c r="K103" s="77">
        <v>0.109090909090909</v>
      </c>
      <c r="L103" s="76"/>
      <c r="M103" s="76"/>
      <c r="N103" s="76"/>
      <c r="O103" s="76"/>
      <c r="P103" s="76"/>
      <c r="Q103" s="76"/>
      <c r="R103" s="76"/>
      <c r="S103" s="76"/>
      <c r="T103" s="83"/>
      <c r="U103" s="83"/>
      <c r="V103" s="77"/>
      <c r="W103" s="77"/>
      <c r="X103" s="77"/>
      <c r="Y103" s="83"/>
      <c r="Z103" s="83"/>
      <c r="AA103" s="83"/>
      <c r="AB103" s="77"/>
      <c r="AC103" s="83"/>
      <c r="AD103" s="83"/>
      <c r="AE103" s="77"/>
      <c r="AF103" s="86"/>
      <c r="AG103" s="86"/>
      <c r="AH103" s="41"/>
    </row>
    <row r="104" spans="7:34" ht="15.4" x14ac:dyDescent="0.4">
      <c r="G104" s="43">
        <v>2.5</v>
      </c>
      <c r="H104" s="43">
        <v>0.31555695803092498</v>
      </c>
      <c r="I104" s="43">
        <v>0.217391304347826</v>
      </c>
      <c r="J104" s="43">
        <v>0.27027027027027001</v>
      </c>
      <c r="K104" s="77">
        <v>0.1</v>
      </c>
      <c r="L104" s="76"/>
      <c r="M104" s="76"/>
      <c r="N104" s="76"/>
      <c r="O104" s="76"/>
      <c r="P104" s="76"/>
      <c r="Q104" s="76"/>
      <c r="R104" s="76"/>
      <c r="S104" s="76"/>
      <c r="T104" s="83"/>
      <c r="U104" s="83"/>
      <c r="V104" s="77"/>
      <c r="W104" s="77"/>
      <c r="X104" s="77"/>
      <c r="Y104" s="83"/>
      <c r="Z104" s="83"/>
      <c r="AA104" s="83"/>
      <c r="AB104" s="77"/>
      <c r="AC104" s="83"/>
      <c r="AD104" s="83"/>
      <c r="AE104" s="77"/>
      <c r="AF104" s="86"/>
      <c r="AG104" s="86"/>
      <c r="AH104" s="41"/>
    </row>
    <row r="105" spans="7:34" ht="15.4" x14ac:dyDescent="0.4">
      <c r="G105" s="43">
        <v>2.6</v>
      </c>
      <c r="H105" s="43">
        <v>0.296478744754607</v>
      </c>
      <c r="I105" s="43">
        <v>0.202492211838006</v>
      </c>
      <c r="J105" s="43">
        <v>0.25291828793774301</v>
      </c>
      <c r="K105" s="77">
        <v>9.2198581560283696E-2</v>
      </c>
      <c r="L105" s="76"/>
      <c r="M105" s="76"/>
      <c r="N105" s="76"/>
      <c r="O105" s="76"/>
      <c r="P105" s="76"/>
      <c r="Q105" s="76"/>
      <c r="R105" s="76"/>
      <c r="S105" s="76"/>
      <c r="T105" s="83"/>
      <c r="U105" s="83"/>
      <c r="V105" s="77"/>
      <c r="W105" s="77"/>
      <c r="X105" s="77"/>
      <c r="Y105" s="83"/>
      <c r="Z105" s="83"/>
      <c r="AA105" s="83"/>
      <c r="AB105" s="77"/>
      <c r="AC105" s="83"/>
      <c r="AD105" s="83"/>
      <c r="AE105" s="77"/>
      <c r="AF105" s="86"/>
      <c r="AG105" s="86"/>
      <c r="AH105" s="41"/>
    </row>
    <row r="106" spans="7:34" ht="15.4" x14ac:dyDescent="0.4">
      <c r="G106" s="43">
        <v>2.7</v>
      </c>
      <c r="H106" s="43">
        <v>0.27936140053182101</v>
      </c>
      <c r="I106" s="43">
        <v>0.18934081346423601</v>
      </c>
      <c r="J106" s="43">
        <v>0.23746701846965701</v>
      </c>
      <c r="K106" s="77">
        <v>8.54430379746835E-2</v>
      </c>
      <c r="L106" s="76"/>
      <c r="M106" s="76"/>
      <c r="N106" s="76"/>
      <c r="O106" s="76"/>
      <c r="P106" s="76"/>
      <c r="Q106" s="76"/>
      <c r="R106" s="76"/>
      <c r="S106" s="76"/>
      <c r="T106" s="83"/>
      <c r="U106" s="83"/>
      <c r="V106" s="77"/>
      <c r="W106" s="77"/>
      <c r="X106" s="77"/>
      <c r="Y106" s="83"/>
      <c r="Z106" s="83"/>
      <c r="AA106" s="83"/>
      <c r="AB106" s="77"/>
      <c r="AC106" s="83"/>
      <c r="AD106" s="83"/>
      <c r="AE106" s="77"/>
      <c r="AF106" s="86"/>
      <c r="AG106" s="86"/>
      <c r="AH106" s="41"/>
    </row>
    <row r="107" spans="7:34" ht="15.4" x14ac:dyDescent="0.4">
      <c r="G107" s="43">
        <v>2.8</v>
      </c>
      <c r="H107" s="43">
        <v>0.26394178198408802</v>
      </c>
      <c r="I107" s="43">
        <v>0.17766497461928901</v>
      </c>
      <c r="J107" s="43">
        <v>0.22364217252396201</v>
      </c>
      <c r="K107" s="77">
        <v>7.95454545454546E-2</v>
      </c>
      <c r="L107" s="76"/>
      <c r="M107" s="76"/>
      <c r="N107" s="76"/>
      <c r="O107" s="76"/>
      <c r="P107" s="76"/>
      <c r="Q107" s="76"/>
      <c r="R107" s="76"/>
      <c r="S107" s="76"/>
      <c r="T107" s="83"/>
      <c r="U107" s="83"/>
      <c r="V107" s="77"/>
      <c r="W107" s="77"/>
      <c r="X107" s="77"/>
      <c r="Y107" s="83"/>
      <c r="Z107" s="83"/>
      <c r="AA107" s="83"/>
      <c r="AB107" s="77"/>
      <c r="AC107" s="83"/>
      <c r="AD107" s="83"/>
      <c r="AE107" s="77"/>
      <c r="AF107" s="86"/>
      <c r="AG107" s="86"/>
      <c r="AH107" s="41"/>
    </row>
    <row r="108" spans="7:34" ht="15.4" x14ac:dyDescent="0.4">
      <c r="G108" s="43">
        <v>2.9</v>
      </c>
      <c r="H108" s="43">
        <v>0.249997844846165</v>
      </c>
      <c r="I108" s="43">
        <v>0.167243367935409</v>
      </c>
      <c r="J108" s="43">
        <v>0.21121631463947599</v>
      </c>
      <c r="K108" s="77">
        <v>7.43589743589744E-2</v>
      </c>
      <c r="L108" s="76"/>
      <c r="M108" s="76"/>
      <c r="N108" s="76"/>
      <c r="O108" s="76"/>
      <c r="P108" s="76"/>
      <c r="Q108" s="76"/>
      <c r="R108" s="76"/>
      <c r="S108" s="76"/>
      <c r="T108" s="83"/>
      <c r="U108" s="83"/>
      <c r="V108" s="77"/>
      <c r="W108" s="77"/>
      <c r="X108" s="77"/>
      <c r="Y108" s="83"/>
      <c r="Z108" s="83"/>
      <c r="AA108" s="83"/>
      <c r="AB108" s="77"/>
      <c r="AC108" s="83"/>
      <c r="AD108" s="83"/>
      <c r="AE108" s="77"/>
      <c r="AF108" s="86"/>
      <c r="AG108" s="86"/>
      <c r="AH108" s="41"/>
    </row>
    <row r="109" spans="7:34" ht="15.4" x14ac:dyDescent="0.4">
      <c r="G109" s="43">
        <v>3</v>
      </c>
      <c r="H109" s="43">
        <v>0.237341772151899</v>
      </c>
      <c r="I109" s="43">
        <v>0.157894736842105</v>
      </c>
      <c r="J109" s="43">
        <v>0.2</v>
      </c>
      <c r="K109" s="77">
        <v>6.9767441860465101E-2</v>
      </c>
      <c r="L109" s="76"/>
      <c r="M109" s="76"/>
      <c r="N109" s="76"/>
      <c r="O109" s="76"/>
      <c r="P109" s="76"/>
      <c r="Q109" s="76"/>
      <c r="R109" s="76"/>
      <c r="S109" s="76"/>
      <c r="T109" s="83"/>
      <c r="U109" s="83"/>
      <c r="V109" s="77"/>
      <c r="W109" s="77"/>
      <c r="X109" s="77"/>
      <c r="Y109" s="83"/>
      <c r="Z109" s="83"/>
      <c r="AA109" s="83"/>
      <c r="AB109" s="77"/>
      <c r="AC109" s="83"/>
      <c r="AD109" s="83"/>
      <c r="AE109" s="77"/>
      <c r="AF109" s="86"/>
      <c r="AG109" s="86"/>
      <c r="AH109" s="41"/>
    </row>
    <row r="110" spans="7:34" ht="15.4" x14ac:dyDescent="0.4">
      <c r="G110" s="43">
        <v>3.1</v>
      </c>
      <c r="H110" s="43">
        <v>0.22581420589885001</v>
      </c>
      <c r="I110" s="43">
        <v>0.14946962391513999</v>
      </c>
      <c r="J110" s="43">
        <v>0.189834660134721</v>
      </c>
      <c r="K110" s="77">
        <v>6.5677966101694907E-2</v>
      </c>
      <c r="L110" s="76"/>
      <c r="M110" s="76"/>
      <c r="N110" s="76"/>
      <c r="O110" s="76"/>
      <c r="P110" s="76"/>
      <c r="Q110" s="76"/>
      <c r="R110" s="76"/>
      <c r="S110" s="76"/>
      <c r="T110" s="83"/>
      <c r="U110" s="83"/>
      <c r="V110" s="77"/>
      <c r="W110" s="77"/>
      <c r="X110" s="77"/>
      <c r="Y110" s="83"/>
      <c r="Z110" s="83"/>
      <c r="AA110" s="83"/>
      <c r="AB110" s="77"/>
      <c r="AC110" s="83"/>
      <c r="AD110" s="83"/>
      <c r="AE110" s="77"/>
      <c r="AF110" s="86"/>
      <c r="AG110" s="86"/>
      <c r="AH110" s="41"/>
    </row>
    <row r="111" spans="7:34" ht="15.4" x14ac:dyDescent="0.4">
      <c r="G111" s="43">
        <v>3.2</v>
      </c>
      <c r="H111" s="43">
        <v>0.21527945964855599</v>
      </c>
      <c r="I111" s="43">
        <v>0.14184397163120599</v>
      </c>
      <c r="J111" s="43">
        <v>0.18058690744920999</v>
      </c>
      <c r="K111" s="77">
        <v>6.2015503875968998E-2</v>
      </c>
      <c r="L111" s="76"/>
      <c r="M111" s="76"/>
      <c r="N111" s="76"/>
      <c r="O111" s="76"/>
      <c r="P111" s="76"/>
      <c r="Q111" s="76"/>
      <c r="R111" s="76"/>
      <c r="S111" s="76"/>
      <c r="T111" s="83"/>
      <c r="U111" s="83"/>
      <c r="V111" s="77"/>
      <c r="W111" s="77"/>
      <c r="X111" s="77"/>
      <c r="Y111" s="83"/>
      <c r="Z111" s="83"/>
      <c r="AA111" s="83"/>
      <c r="AB111" s="77"/>
      <c r="AC111" s="83"/>
      <c r="AD111" s="83"/>
      <c r="AE111" s="77"/>
      <c r="AF111" s="86"/>
      <c r="AG111" s="86"/>
      <c r="AH111" s="41"/>
    </row>
    <row r="112" spans="7:34" ht="15.4" x14ac:dyDescent="0.4">
      <c r="G112" s="43">
        <v>3.3</v>
      </c>
      <c r="H112" s="43">
        <v>0.20562156907950099</v>
      </c>
      <c r="I112" s="43">
        <v>0.13491414554374501</v>
      </c>
      <c r="J112" s="43">
        <v>0.172143974960876</v>
      </c>
      <c r="K112" s="77">
        <v>5.8718861209964397E-2</v>
      </c>
      <c r="L112" s="76"/>
      <c r="M112" s="76"/>
      <c r="N112" s="76"/>
      <c r="O112" s="76"/>
      <c r="P112" s="76"/>
      <c r="Q112" s="76"/>
      <c r="R112" s="76"/>
      <c r="S112" s="76"/>
      <c r="T112" s="83"/>
      <c r="U112" s="83"/>
      <c r="V112" s="77"/>
      <c r="W112" s="77"/>
      <c r="X112" s="77"/>
      <c r="Y112" s="83"/>
      <c r="Z112" s="83"/>
      <c r="AA112" s="83"/>
      <c r="AB112" s="77"/>
      <c r="AC112" s="83"/>
      <c r="AD112" s="83"/>
      <c r="AE112" s="77"/>
      <c r="AF112" s="86"/>
      <c r="AG112" s="86"/>
      <c r="AH112" s="41"/>
    </row>
    <row r="113" spans="7:34" ht="15.4" x14ac:dyDescent="0.4">
      <c r="G113" s="43">
        <v>3.4</v>
      </c>
      <c r="H113" s="43">
        <v>0.196741042496065</v>
      </c>
      <c r="I113" s="43">
        <v>0.128593040847201</v>
      </c>
      <c r="J113" s="43">
        <v>0.164410058027079</v>
      </c>
      <c r="K113" s="77">
        <v>5.5737704918032802E-2</v>
      </c>
      <c r="L113" s="76"/>
      <c r="M113" s="76"/>
      <c r="N113" s="76"/>
      <c r="O113" s="76"/>
      <c r="P113" s="76"/>
      <c r="Q113" s="76"/>
      <c r="R113" s="76"/>
      <c r="S113" s="76"/>
      <c r="T113" s="83"/>
      <c r="U113" s="83"/>
      <c r="V113" s="77"/>
      <c r="W113" s="77"/>
      <c r="X113" s="77"/>
      <c r="Y113" s="83"/>
      <c r="Z113" s="83"/>
      <c r="AA113" s="83"/>
      <c r="AB113" s="77"/>
      <c r="AC113" s="83"/>
      <c r="AD113" s="83"/>
      <c r="AE113" s="77"/>
      <c r="AF113" s="86"/>
      <c r="AG113" s="86"/>
      <c r="AH113" s="41"/>
    </row>
    <row r="114" spans="7:34" ht="15.4" x14ac:dyDescent="0.4">
      <c r="G114" s="43">
        <v>3.5</v>
      </c>
      <c r="H114" s="43">
        <v>0.188552188552189</v>
      </c>
      <c r="I114" s="43">
        <v>0.12280701754386</v>
      </c>
      <c r="J114" s="43">
        <v>0.15730337078651699</v>
      </c>
      <c r="K114" s="77">
        <v>5.3030303030302997E-2</v>
      </c>
      <c r="L114" s="76"/>
      <c r="M114" s="76"/>
      <c r="N114" s="76"/>
      <c r="O114" s="76"/>
      <c r="P114" s="76"/>
      <c r="Q114" s="76"/>
      <c r="R114" s="76"/>
      <c r="S114" s="76"/>
      <c r="T114" s="83"/>
      <c r="U114" s="83"/>
      <c r="V114" s="77"/>
      <c r="W114" s="77"/>
      <c r="X114" s="77"/>
      <c r="Y114" s="83"/>
      <c r="Z114" s="83"/>
      <c r="AA114" s="83"/>
      <c r="AB114" s="77"/>
      <c r="AC114" s="83"/>
      <c r="AD114" s="83"/>
      <c r="AE114" s="77"/>
      <c r="AF114" s="86"/>
      <c r="AG114" s="86"/>
      <c r="AH114" s="41"/>
    </row>
    <row r="115" spans="7:34" ht="15.4" x14ac:dyDescent="0.4">
      <c r="G115" s="43">
        <v>3.6</v>
      </c>
      <c r="H115" s="43">
        <v>0.180980916567797</v>
      </c>
      <c r="I115" s="43">
        <v>0.117493472584856</v>
      </c>
      <c r="J115" s="43">
        <v>0.15075376884422101</v>
      </c>
      <c r="K115" s="77">
        <v>5.0561797752809001E-2</v>
      </c>
      <c r="L115" s="76"/>
      <c r="M115" s="76"/>
      <c r="N115" s="76"/>
      <c r="O115" s="76"/>
      <c r="P115" s="76"/>
      <c r="Q115" s="76"/>
      <c r="R115" s="76"/>
      <c r="S115" s="76"/>
      <c r="T115" s="83"/>
      <c r="U115" s="83"/>
      <c r="V115" s="77"/>
      <c r="W115" s="77"/>
      <c r="X115" s="77"/>
      <c r="Y115" s="83"/>
      <c r="Z115" s="83"/>
      <c r="AA115" s="83"/>
      <c r="AB115" s="77"/>
      <c r="AC115" s="83"/>
      <c r="AD115" s="83"/>
      <c r="AE115" s="77"/>
      <c r="AF115" s="86"/>
      <c r="AG115" s="86"/>
      <c r="AH115" s="41"/>
    </row>
    <row r="116" spans="7:34" ht="15.4" x14ac:dyDescent="0.4">
      <c r="G116" s="43">
        <v>3.7</v>
      </c>
      <c r="H116" s="43">
        <v>0.173962922389028</v>
      </c>
      <c r="I116" s="43">
        <v>0.11259890444309199</v>
      </c>
      <c r="J116" s="43">
        <v>0.144700821274932</v>
      </c>
      <c r="K116" s="77">
        <v>4.8302872062663198E-2</v>
      </c>
      <c r="L116" s="76"/>
      <c r="M116" s="76"/>
      <c r="N116" s="76"/>
      <c r="O116" s="76"/>
      <c r="P116" s="76"/>
      <c r="Q116" s="76"/>
      <c r="R116" s="76"/>
      <c r="S116" s="76"/>
      <c r="T116" s="83"/>
      <c r="U116" s="83"/>
      <c r="V116" s="77"/>
      <c r="W116" s="77"/>
      <c r="X116" s="77"/>
      <c r="Y116" s="83"/>
      <c r="Z116" s="83"/>
      <c r="AA116" s="83"/>
      <c r="AB116" s="77"/>
      <c r="AC116" s="83"/>
      <c r="AD116" s="83"/>
      <c r="AE116" s="77"/>
      <c r="AF116" s="86"/>
      <c r="AG116" s="86"/>
      <c r="AH116" s="41"/>
    </row>
    <row r="117" spans="7:34" ht="15.4" x14ac:dyDescent="0.4">
      <c r="G117" s="43">
        <v>3.8</v>
      </c>
      <c r="H117" s="43">
        <v>0.167442188381275</v>
      </c>
      <c r="I117" s="43">
        <v>0.108077360637088</v>
      </c>
      <c r="J117" s="43">
        <v>0.13909224011713001</v>
      </c>
      <c r="K117" s="77">
        <v>4.6228710462287097E-2</v>
      </c>
      <c r="L117" s="76"/>
      <c r="M117" s="76"/>
      <c r="N117" s="76"/>
      <c r="O117" s="76"/>
      <c r="P117" s="76"/>
      <c r="Q117" s="76"/>
      <c r="R117" s="76"/>
      <c r="S117" s="76"/>
      <c r="T117" s="83"/>
      <c r="U117" s="83"/>
      <c r="V117" s="77"/>
      <c r="W117" s="77"/>
      <c r="X117" s="77"/>
      <c r="Y117" s="83"/>
      <c r="Z117" s="83"/>
      <c r="AA117" s="83"/>
      <c r="AB117" s="77"/>
      <c r="AC117" s="83"/>
      <c r="AD117" s="83"/>
      <c r="AE117" s="77"/>
      <c r="AF117" s="86"/>
      <c r="AG117" s="86"/>
      <c r="AH117" s="41"/>
    </row>
    <row r="118" spans="7:34" ht="15.4" x14ac:dyDescent="0.4">
      <c r="G118" s="43">
        <v>3.9</v>
      </c>
      <c r="H118" s="43">
        <v>0.16136973944993599</v>
      </c>
      <c r="I118" s="43">
        <v>0.103889184869473</v>
      </c>
      <c r="J118" s="43">
        <v>0.13388259526261601</v>
      </c>
      <c r="K118" s="77">
        <v>4.4318181818181798E-2</v>
      </c>
      <c r="L118" s="76"/>
      <c r="M118" s="76"/>
      <c r="N118" s="76"/>
      <c r="O118" s="76"/>
      <c r="P118" s="76"/>
      <c r="Q118" s="76"/>
      <c r="R118" s="76"/>
      <c r="S118" s="76"/>
      <c r="T118" s="83"/>
      <c r="U118" s="83"/>
      <c r="V118" s="77"/>
      <c r="W118" s="77"/>
      <c r="X118" s="77"/>
      <c r="Y118" s="83"/>
      <c r="Z118" s="83"/>
      <c r="AA118" s="83"/>
      <c r="AB118" s="77"/>
      <c r="AC118" s="83"/>
      <c r="AD118" s="83"/>
      <c r="AE118" s="77"/>
      <c r="AF118" s="86"/>
      <c r="AG118" s="86"/>
      <c r="AH118" s="41"/>
    </row>
    <row r="119" spans="7:34" ht="15.4" x14ac:dyDescent="0.4">
      <c r="G119" s="43">
        <v>4</v>
      </c>
      <c r="H119" s="43">
        <v>0.15570260801868399</v>
      </c>
      <c r="I119" s="43">
        <v>0.1</v>
      </c>
      <c r="J119" s="43">
        <v>0.12903225806451599</v>
      </c>
      <c r="K119" s="77">
        <v>4.2553191489361701E-2</v>
      </c>
      <c r="L119" s="76"/>
      <c r="M119" s="76"/>
      <c r="N119" s="76"/>
      <c r="O119" s="76"/>
      <c r="P119" s="76"/>
      <c r="Q119" s="76"/>
      <c r="R119" s="76"/>
      <c r="S119" s="76"/>
      <c r="T119" s="83"/>
      <c r="U119" s="83"/>
      <c r="V119" s="77"/>
      <c r="W119" s="77"/>
      <c r="X119" s="77"/>
      <c r="Y119" s="77"/>
      <c r="Z119" s="83"/>
      <c r="AA119" s="83"/>
      <c r="AB119" s="77"/>
      <c r="AC119" s="83"/>
      <c r="AD119" s="83"/>
      <c r="AE119" s="77"/>
      <c r="AF119" s="86"/>
      <c r="AG119" s="86"/>
      <c r="AH119" s="41"/>
    </row>
    <row r="120" spans="7:34" ht="15.4" x14ac:dyDescent="0.4">
      <c r="K120" s="77"/>
      <c r="L120" s="76"/>
      <c r="M120" s="76"/>
      <c r="N120" s="76"/>
      <c r="O120" s="76"/>
      <c r="P120" s="76"/>
      <c r="Q120" s="76"/>
      <c r="R120" s="76"/>
      <c r="S120" s="76"/>
      <c r="T120" s="83"/>
      <c r="U120" s="83"/>
      <c r="V120" s="77"/>
      <c r="W120" s="77"/>
      <c r="X120" s="77"/>
      <c r="Y120" s="77"/>
      <c r="Z120" s="83"/>
      <c r="AA120" s="83"/>
      <c r="AB120" s="77"/>
      <c r="AC120" s="83"/>
      <c r="AD120" s="83"/>
      <c r="AE120" s="77"/>
      <c r="AF120" s="86"/>
      <c r="AG120" s="86"/>
      <c r="AH120" s="41"/>
    </row>
    <row r="121" spans="7:34" ht="15.4" x14ac:dyDescent="0.4">
      <c r="K121" s="77"/>
      <c r="L121" s="76"/>
      <c r="M121" s="76"/>
      <c r="N121" s="76"/>
      <c r="O121" s="76"/>
      <c r="P121" s="76"/>
      <c r="Q121" s="76"/>
      <c r="R121" s="76"/>
      <c r="S121" s="76"/>
      <c r="T121" s="83"/>
      <c r="U121" s="83"/>
      <c r="V121" s="77"/>
      <c r="W121" s="77"/>
      <c r="X121" s="77"/>
      <c r="Y121" s="77"/>
      <c r="Z121" s="83"/>
      <c r="AA121" s="83"/>
      <c r="AB121" s="77"/>
      <c r="AC121" s="83"/>
      <c r="AD121" s="83"/>
      <c r="AE121" s="77"/>
      <c r="AF121" s="86"/>
      <c r="AG121" s="86"/>
      <c r="AH121" s="41"/>
    </row>
    <row r="122" spans="7:34" ht="15.4" x14ac:dyDescent="0.4">
      <c r="K122" s="77"/>
      <c r="L122" s="76"/>
      <c r="M122" s="76"/>
      <c r="N122" s="76"/>
      <c r="O122" s="76"/>
      <c r="P122" s="76"/>
      <c r="Q122" s="76"/>
      <c r="R122" s="76"/>
      <c r="S122" s="76"/>
      <c r="T122" s="83"/>
      <c r="U122" s="83"/>
      <c r="V122" s="77"/>
      <c r="W122" s="77"/>
      <c r="X122" s="77"/>
      <c r="Y122" s="77"/>
      <c r="Z122" s="83"/>
      <c r="AA122" s="83"/>
      <c r="AB122" s="77"/>
      <c r="AC122" s="83"/>
      <c r="AD122" s="83"/>
      <c r="AE122" s="77"/>
      <c r="AF122" s="86"/>
      <c r="AG122" s="86"/>
      <c r="AH122" s="41"/>
    </row>
    <row r="123" spans="7:34" ht="15.4" x14ac:dyDescent="0.4">
      <c r="K123" s="77"/>
      <c r="L123" s="76"/>
      <c r="M123" s="76"/>
      <c r="N123" s="76"/>
      <c r="O123" s="76"/>
      <c r="P123" s="76"/>
      <c r="Q123" s="76"/>
      <c r="R123" s="76"/>
      <c r="S123" s="76"/>
      <c r="T123" s="83"/>
      <c r="U123" s="83"/>
      <c r="V123" s="77"/>
      <c r="W123" s="77"/>
      <c r="X123" s="77"/>
      <c r="Y123" s="77"/>
      <c r="Z123" s="83"/>
      <c r="AA123" s="83"/>
      <c r="AB123" s="77"/>
      <c r="AC123" s="83"/>
      <c r="AD123" s="83"/>
      <c r="AE123" s="77"/>
      <c r="AF123" s="86"/>
      <c r="AG123" s="86"/>
      <c r="AH123" s="41"/>
    </row>
    <row r="124" spans="7:34" ht="15.4" x14ac:dyDescent="0.4">
      <c r="K124" s="77"/>
      <c r="L124" s="76"/>
      <c r="M124" s="76"/>
      <c r="N124" s="76"/>
      <c r="O124" s="76"/>
      <c r="P124" s="76"/>
      <c r="Q124" s="76"/>
      <c r="R124" s="76"/>
      <c r="S124" s="76"/>
      <c r="T124" s="83"/>
      <c r="U124" s="83"/>
      <c r="V124" s="77"/>
      <c r="W124" s="77"/>
      <c r="X124" s="77"/>
      <c r="Y124" s="77"/>
      <c r="Z124" s="83"/>
      <c r="AA124" s="83"/>
      <c r="AB124" s="77"/>
      <c r="AC124" s="83"/>
      <c r="AD124" s="83"/>
      <c r="AE124" s="77"/>
      <c r="AF124" s="86"/>
      <c r="AG124" s="86"/>
      <c r="AH124" s="41"/>
    </row>
    <row r="125" spans="7:34" ht="15.4" x14ac:dyDescent="0.4">
      <c r="K125" s="77"/>
      <c r="L125" s="76"/>
      <c r="M125" s="76"/>
      <c r="N125" s="76"/>
      <c r="O125" s="76"/>
      <c r="P125" s="76"/>
      <c r="Q125" s="76"/>
      <c r="R125" s="76"/>
      <c r="S125" s="76"/>
      <c r="T125" s="83"/>
      <c r="U125" s="83"/>
      <c r="V125" s="77"/>
      <c r="W125" s="77"/>
      <c r="X125" s="77"/>
      <c r="Y125" s="77"/>
      <c r="Z125" s="83"/>
      <c r="AA125" s="83"/>
      <c r="AB125" s="77"/>
      <c r="AC125" s="83"/>
      <c r="AD125" s="83"/>
      <c r="AE125" s="77"/>
      <c r="AF125" s="86"/>
      <c r="AG125" s="86"/>
      <c r="AH125" s="41"/>
    </row>
    <row r="126" spans="7:34" ht="15.4" x14ac:dyDescent="0.4">
      <c r="K126" s="77"/>
      <c r="L126" s="76"/>
      <c r="M126" s="76"/>
      <c r="N126" s="76"/>
      <c r="O126" s="76"/>
      <c r="P126" s="76"/>
      <c r="Q126" s="76"/>
      <c r="R126" s="76"/>
      <c r="S126" s="76"/>
      <c r="T126" s="83"/>
      <c r="U126" s="83"/>
      <c r="V126" s="77"/>
      <c r="W126" s="77"/>
      <c r="X126" s="77"/>
      <c r="Y126" s="77"/>
      <c r="Z126" s="83"/>
      <c r="AA126" s="83"/>
      <c r="AB126" s="77"/>
      <c r="AC126" s="83"/>
      <c r="AD126" s="83"/>
      <c r="AE126" s="77"/>
      <c r="AF126" s="86"/>
      <c r="AG126" s="86"/>
      <c r="AH126" s="41"/>
    </row>
    <row r="127" spans="7:34" ht="15.4" x14ac:dyDescent="0.4">
      <c r="K127" s="77"/>
      <c r="L127" s="76"/>
      <c r="M127" s="76"/>
      <c r="N127" s="76"/>
      <c r="O127" s="76"/>
      <c r="P127" s="76"/>
      <c r="Q127" s="76"/>
      <c r="R127" s="76"/>
      <c r="S127" s="76"/>
      <c r="T127" s="83"/>
      <c r="U127" s="83"/>
      <c r="V127" s="77"/>
      <c r="W127" s="77"/>
      <c r="X127" s="77"/>
      <c r="Y127" s="77"/>
      <c r="Z127" s="83"/>
      <c r="AA127" s="83"/>
      <c r="AB127" s="77"/>
      <c r="AC127" s="83"/>
      <c r="AD127" s="83"/>
      <c r="AE127" s="77"/>
      <c r="AF127" s="86"/>
      <c r="AG127" s="86"/>
      <c r="AH127" s="41"/>
    </row>
    <row r="128" spans="7:34" ht="15.4" x14ac:dyDescent="0.4">
      <c r="K128" s="77"/>
      <c r="L128" s="76"/>
      <c r="M128" s="76"/>
      <c r="N128" s="76"/>
      <c r="O128" s="76"/>
      <c r="P128" s="76"/>
      <c r="Q128" s="76"/>
      <c r="R128" s="76"/>
      <c r="S128" s="76"/>
      <c r="T128" s="83"/>
      <c r="U128" s="83"/>
      <c r="V128" s="77"/>
      <c r="W128" s="77"/>
      <c r="X128" s="77"/>
      <c r="Y128" s="77"/>
      <c r="Z128" s="83"/>
      <c r="AA128" s="83"/>
      <c r="AB128" s="77"/>
      <c r="AC128" s="83"/>
      <c r="AD128" s="83"/>
      <c r="AE128" s="77"/>
      <c r="AF128" s="86"/>
      <c r="AG128" s="86"/>
      <c r="AH128" s="41"/>
    </row>
    <row r="129" spans="11:34" ht="15.4" x14ac:dyDescent="0.4">
      <c r="K129" s="77"/>
      <c r="L129" s="76"/>
      <c r="M129" s="76"/>
      <c r="N129" s="76"/>
      <c r="O129" s="76"/>
      <c r="P129" s="76"/>
      <c r="Q129" s="76"/>
      <c r="R129" s="76"/>
      <c r="S129" s="76"/>
      <c r="T129" s="83"/>
      <c r="U129" s="83"/>
      <c r="V129" s="77"/>
      <c r="W129" s="77"/>
      <c r="X129" s="77"/>
      <c r="Y129" s="77"/>
      <c r="Z129" s="83"/>
      <c r="AA129" s="83"/>
      <c r="AB129" s="77"/>
      <c r="AC129" s="83"/>
      <c r="AD129" s="83"/>
      <c r="AE129" s="77"/>
      <c r="AF129" s="86"/>
      <c r="AG129" s="86"/>
      <c r="AH129" s="41"/>
    </row>
    <row r="130" spans="11:34" ht="15.4" x14ac:dyDescent="0.4">
      <c r="K130" s="77"/>
      <c r="L130" s="76"/>
      <c r="M130" s="76"/>
      <c r="N130" s="76"/>
      <c r="O130" s="76"/>
      <c r="P130" s="76"/>
      <c r="Q130" s="76"/>
      <c r="R130" s="76"/>
      <c r="S130" s="76"/>
      <c r="T130" s="83"/>
      <c r="U130" s="83"/>
      <c r="V130" s="77"/>
      <c r="W130" s="77"/>
      <c r="X130" s="77"/>
      <c r="Y130" s="77"/>
      <c r="Z130" s="83"/>
      <c r="AA130" s="83"/>
      <c r="AB130" s="77"/>
      <c r="AC130" s="83"/>
      <c r="AD130" s="83"/>
      <c r="AE130" s="77"/>
      <c r="AF130" s="86"/>
      <c r="AG130" s="86"/>
      <c r="AH130" s="41"/>
    </row>
    <row r="131" spans="11:34" ht="15.4" x14ac:dyDescent="0.4">
      <c r="K131" s="77"/>
      <c r="L131" s="76"/>
      <c r="M131" s="76"/>
      <c r="N131" s="76"/>
      <c r="O131" s="76"/>
      <c r="P131" s="76"/>
      <c r="Q131" s="76"/>
      <c r="R131" s="76"/>
      <c r="S131" s="76"/>
      <c r="T131" s="83"/>
      <c r="U131" s="83"/>
      <c r="V131" s="77"/>
      <c r="W131" s="77"/>
      <c r="X131" s="77"/>
      <c r="Y131" s="77"/>
      <c r="Z131" s="83"/>
      <c r="AA131" s="83"/>
      <c r="AB131" s="77"/>
      <c r="AC131" s="83"/>
      <c r="AD131" s="83"/>
      <c r="AE131" s="77"/>
      <c r="AF131" s="86"/>
      <c r="AG131" s="86"/>
      <c r="AH131" s="41"/>
    </row>
    <row r="132" spans="11:34" ht="15.4" x14ac:dyDescent="0.4">
      <c r="K132" s="77"/>
      <c r="L132" s="76"/>
      <c r="M132" s="76"/>
      <c r="N132" s="76"/>
      <c r="O132" s="76"/>
      <c r="P132" s="76"/>
      <c r="Q132" s="76"/>
      <c r="R132" s="76"/>
      <c r="S132" s="76"/>
      <c r="T132" s="83"/>
      <c r="U132" s="83"/>
      <c r="V132" s="77"/>
      <c r="W132" s="77"/>
      <c r="X132" s="77"/>
      <c r="Y132" s="77"/>
      <c r="Z132" s="83"/>
      <c r="AA132" s="83"/>
      <c r="AB132" s="77"/>
      <c r="AC132" s="83"/>
      <c r="AD132" s="83"/>
      <c r="AE132" s="77"/>
      <c r="AF132" s="86"/>
      <c r="AG132" s="86"/>
      <c r="AH132" s="41"/>
    </row>
    <row r="133" spans="11:34" ht="15.4" x14ac:dyDescent="0.4">
      <c r="K133" s="77"/>
      <c r="L133" s="76"/>
      <c r="M133" s="76"/>
      <c r="N133" s="76"/>
      <c r="O133" s="76"/>
      <c r="P133" s="76"/>
      <c r="Q133" s="76"/>
      <c r="R133" s="76"/>
      <c r="S133" s="76"/>
      <c r="T133" s="83"/>
      <c r="U133" s="83"/>
      <c r="V133" s="77"/>
      <c r="W133" s="77"/>
      <c r="X133" s="77"/>
      <c r="Y133" s="77"/>
      <c r="Z133" s="83"/>
      <c r="AA133" s="83"/>
      <c r="AB133" s="77"/>
      <c r="AC133" s="83"/>
      <c r="AD133" s="83"/>
      <c r="AE133" s="77"/>
      <c r="AF133" s="86"/>
      <c r="AG133" s="86"/>
      <c r="AH133" s="41"/>
    </row>
    <row r="134" spans="11:34" ht="15.4" x14ac:dyDescent="0.4">
      <c r="K134" s="77"/>
      <c r="L134" s="76"/>
      <c r="M134" s="76"/>
      <c r="N134" s="76"/>
      <c r="O134" s="76"/>
      <c r="P134" s="76"/>
      <c r="Q134" s="76"/>
      <c r="R134" s="76"/>
      <c r="S134" s="76"/>
      <c r="T134" s="83"/>
      <c r="U134" s="83"/>
      <c r="V134" s="77"/>
      <c r="W134" s="77"/>
      <c r="X134" s="77"/>
      <c r="Y134" s="77"/>
      <c r="Z134" s="83"/>
      <c r="AA134" s="83"/>
      <c r="AB134" s="77"/>
      <c r="AC134" s="83"/>
      <c r="AD134" s="83"/>
      <c r="AE134" s="77"/>
      <c r="AF134" s="86"/>
      <c r="AG134" s="86"/>
      <c r="AH134" s="41"/>
    </row>
    <row r="135" spans="11:34" ht="15.4" x14ac:dyDescent="0.4">
      <c r="K135" s="77"/>
      <c r="L135" s="76"/>
      <c r="M135" s="76"/>
      <c r="N135" s="76"/>
      <c r="O135" s="76"/>
      <c r="P135" s="76"/>
      <c r="Q135" s="76"/>
      <c r="R135" s="76"/>
      <c r="S135" s="76"/>
      <c r="T135" s="83"/>
      <c r="U135" s="83"/>
      <c r="V135" s="77"/>
      <c r="W135" s="77"/>
      <c r="X135" s="77"/>
      <c r="Y135" s="77"/>
      <c r="Z135" s="83"/>
      <c r="AA135" s="83"/>
      <c r="AB135" s="77"/>
      <c r="AC135" s="83"/>
      <c r="AD135" s="83"/>
      <c r="AE135" s="77"/>
      <c r="AF135" s="86"/>
      <c r="AG135" s="86"/>
      <c r="AH135" s="41"/>
    </row>
    <row r="136" spans="11:34" ht="15.4" x14ac:dyDescent="0.4">
      <c r="K136" s="77"/>
      <c r="L136" s="76"/>
      <c r="M136" s="76"/>
      <c r="N136" s="76"/>
      <c r="O136" s="76"/>
      <c r="P136" s="76"/>
      <c r="Q136" s="76"/>
      <c r="R136" s="76"/>
      <c r="S136" s="76"/>
      <c r="T136" s="83"/>
      <c r="U136" s="83"/>
      <c r="V136" s="77"/>
      <c r="W136" s="77"/>
      <c r="X136" s="77"/>
      <c r="Y136" s="77"/>
      <c r="Z136" s="83"/>
      <c r="AA136" s="83"/>
      <c r="AB136" s="77"/>
      <c r="AC136" s="83"/>
      <c r="AD136" s="83"/>
      <c r="AE136" s="77"/>
      <c r="AF136" s="86"/>
      <c r="AG136" s="86"/>
      <c r="AH136" s="41"/>
    </row>
    <row r="137" spans="11:34" ht="15.4" x14ac:dyDescent="0.4">
      <c r="K137" s="77"/>
      <c r="L137" s="76"/>
      <c r="M137" s="76"/>
      <c r="N137" s="76"/>
      <c r="O137" s="76"/>
      <c r="P137" s="76"/>
      <c r="Q137" s="76"/>
      <c r="R137" s="76"/>
      <c r="S137" s="76"/>
      <c r="T137" s="83"/>
      <c r="U137" s="83"/>
      <c r="V137" s="77"/>
      <c r="W137" s="77"/>
      <c r="X137" s="77"/>
      <c r="Y137" s="77"/>
      <c r="Z137" s="83"/>
      <c r="AA137" s="83"/>
      <c r="AB137" s="77"/>
      <c r="AC137" s="83"/>
      <c r="AD137" s="83"/>
      <c r="AE137" s="77"/>
      <c r="AF137" s="86"/>
      <c r="AG137" s="86"/>
      <c r="AH137" s="41"/>
    </row>
    <row r="138" spans="11:34" ht="15.4" x14ac:dyDescent="0.4">
      <c r="K138" s="77"/>
      <c r="L138" s="76"/>
      <c r="M138" s="76"/>
      <c r="N138" s="76"/>
      <c r="O138" s="76"/>
      <c r="P138" s="76"/>
      <c r="Q138" s="76"/>
      <c r="R138" s="76"/>
      <c r="S138" s="76"/>
      <c r="T138" s="83"/>
      <c r="U138" s="83"/>
      <c r="V138" s="77"/>
      <c r="W138" s="77"/>
      <c r="X138" s="77"/>
      <c r="Y138" s="77"/>
      <c r="Z138" s="83"/>
      <c r="AA138" s="83"/>
      <c r="AB138" s="77"/>
      <c r="AC138" s="83"/>
      <c r="AD138" s="83"/>
      <c r="AE138" s="77"/>
      <c r="AF138" s="86"/>
      <c r="AG138" s="86"/>
      <c r="AH138" s="41"/>
    </row>
    <row r="139" spans="11:34" ht="15.4" x14ac:dyDescent="0.4">
      <c r="K139" s="77"/>
      <c r="L139" s="76"/>
      <c r="M139" s="76"/>
      <c r="N139" s="76"/>
      <c r="O139" s="76"/>
      <c r="P139" s="76"/>
      <c r="Q139" s="76"/>
      <c r="R139" s="76"/>
      <c r="S139" s="76"/>
      <c r="T139" s="83"/>
      <c r="U139" s="83"/>
      <c r="V139" s="77"/>
      <c r="W139" s="77"/>
      <c r="X139" s="77"/>
      <c r="Y139" s="77"/>
      <c r="Z139" s="83"/>
      <c r="AA139" s="83"/>
      <c r="AB139" s="77"/>
      <c r="AC139" s="83"/>
      <c r="AD139" s="83"/>
      <c r="AE139" s="77"/>
      <c r="AF139" s="86"/>
      <c r="AG139" s="86"/>
      <c r="AH139" s="41"/>
    </row>
    <row r="140" spans="11:34" ht="15.4" x14ac:dyDescent="0.4">
      <c r="K140" s="77"/>
      <c r="L140" s="76"/>
      <c r="M140" s="76"/>
      <c r="N140" s="76"/>
      <c r="O140" s="76"/>
      <c r="P140" s="76"/>
      <c r="Q140" s="76"/>
      <c r="R140" s="76"/>
      <c r="S140" s="76"/>
      <c r="T140" s="83"/>
      <c r="U140" s="83"/>
      <c r="V140" s="77"/>
      <c r="W140" s="77"/>
      <c r="X140" s="77"/>
      <c r="Y140" s="77"/>
      <c r="Z140" s="83"/>
      <c r="AA140" s="83"/>
      <c r="AB140" s="77"/>
      <c r="AC140" s="83"/>
      <c r="AD140" s="83"/>
      <c r="AE140" s="77"/>
      <c r="AF140" s="86"/>
      <c r="AG140" s="86"/>
      <c r="AH140" s="41"/>
    </row>
    <row r="141" spans="11:34" ht="15.4" x14ac:dyDescent="0.4">
      <c r="K141" s="77"/>
      <c r="L141" s="76"/>
      <c r="M141" s="76"/>
      <c r="N141" s="76"/>
      <c r="O141" s="76"/>
      <c r="P141" s="76"/>
      <c r="Q141" s="76"/>
      <c r="R141" s="76"/>
      <c r="S141" s="76"/>
      <c r="T141" s="83"/>
      <c r="U141" s="83"/>
      <c r="V141" s="77"/>
      <c r="W141" s="77"/>
      <c r="X141" s="77"/>
      <c r="Y141" s="77"/>
      <c r="Z141" s="83"/>
      <c r="AA141" s="83"/>
      <c r="AB141" s="77"/>
      <c r="AC141" s="83"/>
      <c r="AD141" s="83"/>
      <c r="AE141" s="77"/>
      <c r="AF141" s="86"/>
      <c r="AG141" s="86"/>
      <c r="AH141" s="41"/>
    </row>
    <row r="142" spans="11:34" ht="15.4" x14ac:dyDescent="0.4">
      <c r="K142" s="77"/>
      <c r="L142" s="76"/>
      <c r="M142" s="76"/>
      <c r="N142" s="76"/>
      <c r="O142" s="76"/>
      <c r="P142" s="76"/>
      <c r="Q142" s="76"/>
      <c r="R142" s="76"/>
      <c r="S142" s="76"/>
      <c r="T142" s="83"/>
      <c r="U142" s="83"/>
      <c r="V142" s="77"/>
      <c r="W142" s="77"/>
      <c r="X142" s="77"/>
      <c r="Y142" s="77"/>
      <c r="Z142" s="83"/>
      <c r="AA142" s="83"/>
      <c r="AB142" s="77"/>
      <c r="AC142" s="83"/>
      <c r="AD142" s="83"/>
      <c r="AE142" s="77"/>
      <c r="AF142" s="86"/>
      <c r="AG142" s="86"/>
      <c r="AH142" s="41"/>
    </row>
    <row r="143" spans="11:34" ht="15.4" x14ac:dyDescent="0.4">
      <c r="K143" s="77"/>
      <c r="L143" s="76"/>
      <c r="M143" s="76"/>
      <c r="N143" s="76"/>
      <c r="O143" s="76"/>
      <c r="P143" s="76"/>
      <c r="Q143" s="76"/>
      <c r="R143" s="76"/>
      <c r="S143" s="76"/>
      <c r="T143" s="83"/>
      <c r="U143" s="83"/>
      <c r="V143" s="77"/>
      <c r="W143" s="77"/>
      <c r="X143" s="77"/>
      <c r="Y143" s="77"/>
      <c r="Z143" s="83"/>
      <c r="AA143" s="83"/>
      <c r="AB143" s="77"/>
      <c r="AC143" s="83"/>
      <c r="AD143" s="83"/>
      <c r="AE143" s="77"/>
      <c r="AF143" s="86"/>
      <c r="AG143" s="86"/>
      <c r="AH143" s="41"/>
    </row>
    <row r="144" spans="11:34" ht="15.4" x14ac:dyDescent="0.4">
      <c r="K144" s="77"/>
      <c r="L144" s="76"/>
      <c r="M144" s="76"/>
      <c r="N144" s="76"/>
      <c r="O144" s="76"/>
      <c r="P144" s="76"/>
      <c r="Q144" s="76"/>
      <c r="R144" s="76"/>
      <c r="S144" s="76"/>
      <c r="T144" s="83"/>
      <c r="U144" s="83"/>
      <c r="V144" s="77"/>
      <c r="W144" s="77"/>
      <c r="X144" s="77"/>
      <c r="Y144" s="77"/>
      <c r="Z144" s="83"/>
      <c r="AA144" s="83"/>
      <c r="AB144" s="77"/>
      <c r="AC144" s="83"/>
      <c r="AD144" s="83"/>
      <c r="AE144" s="77"/>
      <c r="AF144" s="86"/>
      <c r="AG144" s="86"/>
      <c r="AH144" s="41"/>
    </row>
    <row r="145" spans="11:34" x14ac:dyDescent="0.4"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85"/>
      <c r="AG145" s="85"/>
      <c r="AH145" s="41"/>
    </row>
  </sheetData>
  <mergeCells count="9">
    <mergeCell ref="C4:J4"/>
    <mergeCell ref="A16:J16"/>
    <mergeCell ref="A50:E50"/>
    <mergeCell ref="L66:U66"/>
    <mergeCell ref="T2:U2"/>
    <mergeCell ref="W2:X2"/>
    <mergeCell ref="AC2:AD2"/>
    <mergeCell ref="AF2:AG2"/>
    <mergeCell ref="C3:J3"/>
  </mergeCells>
  <phoneticPr fontId="37" type="noConversion"/>
  <pageMargins left="0.7" right="0.7" top="0.75" bottom="0.75" header="0.3" footer="0.3"/>
  <pageSetup paperSize="9" orientation="portrait" horizontalDpi="1200" verticalDpi="12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45"/>
  <sheetViews>
    <sheetView zoomScale="55" zoomScaleNormal="55" workbookViewId="0">
      <selection activeCell="U34" sqref="T4:U34"/>
    </sheetView>
  </sheetViews>
  <sheetFormatPr defaultColWidth="9" defaultRowHeight="13.9" x14ac:dyDescent="0.4"/>
  <cols>
    <col min="1" max="2" width="9" style="43"/>
    <col min="3" max="3" width="17.796875" style="43" customWidth="1"/>
    <col min="4" max="11" width="9" style="43"/>
    <col min="12" max="12" width="13.46484375" style="43" customWidth="1"/>
    <col min="13" max="15" width="12.86328125" style="43"/>
    <col min="16" max="17" width="14.1328125" style="43"/>
    <col min="18" max="19" width="9" style="43"/>
    <col min="20" max="20" width="12.33203125" style="43" customWidth="1"/>
    <col min="21" max="21" width="17.6640625" style="43" customWidth="1"/>
    <col min="22" max="25" width="9" style="43"/>
    <col min="26" max="26" width="13.1328125" style="43"/>
    <col min="27" max="27" width="21.19921875" style="43" customWidth="1"/>
    <col min="28" max="28" width="9" style="43"/>
    <col min="29" max="29" width="12.1328125" style="43" customWidth="1"/>
    <col min="30" max="30" width="13.86328125" style="43" customWidth="1"/>
    <col min="31" max="32" width="9" style="43"/>
    <col min="33" max="33" width="15.796875" style="43" customWidth="1"/>
    <col min="34" max="16384" width="9" style="43"/>
  </cols>
  <sheetData>
    <row r="1" spans="1:49" ht="15.3" customHeight="1" x14ac:dyDescent="0.4">
      <c r="A1" s="132" t="s">
        <v>96</v>
      </c>
    </row>
    <row r="2" spans="1:49" ht="25.15" x14ac:dyDescent="0.4">
      <c r="A2" s="45"/>
      <c r="B2" s="45"/>
      <c r="C2" s="45"/>
      <c r="D2" s="45"/>
      <c r="E2" s="45"/>
      <c r="F2" s="45"/>
      <c r="G2" s="45"/>
      <c r="H2" s="45"/>
      <c r="I2" s="45"/>
      <c r="J2" s="45"/>
      <c r="K2" s="63" t="s">
        <v>4</v>
      </c>
      <c r="L2" s="18"/>
      <c r="M2" s="18"/>
      <c r="N2" s="18"/>
      <c r="O2" s="18"/>
      <c r="P2" s="18"/>
      <c r="Q2" s="18"/>
      <c r="R2" s="18"/>
      <c r="S2" s="18"/>
      <c r="T2" s="134" t="s">
        <v>5</v>
      </c>
      <c r="U2" s="135"/>
      <c r="W2" s="136"/>
      <c r="X2" s="136"/>
      <c r="Y2" s="65"/>
      <c r="Z2" s="68"/>
      <c r="AA2" s="68"/>
      <c r="AC2" s="137"/>
      <c r="AD2" s="137"/>
      <c r="AF2" s="138"/>
      <c r="AG2" s="139"/>
      <c r="AH2" s="65"/>
      <c r="AI2" s="72"/>
      <c r="AJ2" s="72"/>
      <c r="AK2" s="73"/>
    </row>
    <row r="3" spans="1:49" ht="15.75" x14ac:dyDescent="0.4">
      <c r="A3" s="45"/>
      <c r="B3" s="1"/>
      <c r="C3" s="140" t="s">
        <v>6</v>
      </c>
      <c r="D3" s="140"/>
      <c r="E3" s="140"/>
      <c r="F3" s="140"/>
      <c r="G3" s="140"/>
      <c r="H3" s="140"/>
      <c r="I3" s="140"/>
      <c r="J3" s="140"/>
      <c r="K3" s="19" t="s">
        <v>0</v>
      </c>
      <c r="L3" s="20" t="s">
        <v>8</v>
      </c>
      <c r="M3" s="21" t="s">
        <v>9</v>
      </c>
      <c r="N3" s="22" t="s">
        <v>10</v>
      </c>
      <c r="O3" s="23" t="s">
        <v>11</v>
      </c>
      <c r="P3" s="24" t="s">
        <v>12</v>
      </c>
      <c r="Q3" s="22" t="s">
        <v>21</v>
      </c>
      <c r="R3" s="22"/>
      <c r="S3" s="22"/>
      <c r="T3" s="32" t="s">
        <v>3</v>
      </c>
      <c r="U3" s="33" t="s">
        <v>2</v>
      </c>
      <c r="Y3" s="69"/>
      <c r="AA3" s="69"/>
      <c r="AD3" s="69"/>
      <c r="AG3" s="74"/>
    </row>
    <row r="4" spans="1:49" ht="15.4" x14ac:dyDescent="0.4">
      <c r="A4" s="45"/>
      <c r="B4" s="3"/>
      <c r="C4" s="140" t="s">
        <v>13</v>
      </c>
      <c r="D4" s="140"/>
      <c r="E4" s="140"/>
      <c r="F4" s="140"/>
      <c r="G4" s="140"/>
      <c r="H4" s="140"/>
      <c r="I4" s="140"/>
      <c r="J4" s="140"/>
      <c r="K4" s="26">
        <v>0.1</v>
      </c>
      <c r="L4" s="27">
        <f>K4*C$10</f>
        <v>2E-3</v>
      </c>
      <c r="M4" s="27">
        <f>Q4*C$8</f>
        <v>13.681823999999999</v>
      </c>
      <c r="N4" s="27">
        <f t="shared" ref="N4:N60" si="0">LN(1+L4)</f>
        <v>1.9980026626730579E-3</v>
      </c>
      <c r="O4" s="28">
        <f t="shared" ref="O4:O60" si="1">M4*(1+L4)</f>
        <v>13.709187647999999</v>
      </c>
      <c r="P4" s="28">
        <f t="shared" ref="P4:P60" si="2">N4-O4/C$9</f>
        <v>1.7123945866730579E-3</v>
      </c>
      <c r="Q4" s="27">
        <f>1.2*K4+0.2*K4^4-0.4*K4^5</f>
        <v>0.120016</v>
      </c>
      <c r="R4" s="27"/>
      <c r="S4" s="27"/>
      <c r="T4" s="35">
        <f t="shared" ref="T4:T60" si="3">1-(O4/(C$9*N4))^0.5</f>
        <v>0.62191694763690486</v>
      </c>
      <c r="U4" s="36">
        <f t="shared" ref="U4:U60" si="4">P4</f>
        <v>1.7123945866730579E-3</v>
      </c>
      <c r="Y4" s="34"/>
      <c r="Z4" s="34"/>
      <c r="AA4" s="34"/>
      <c r="AC4" s="34"/>
      <c r="AD4" s="34"/>
      <c r="AF4" s="70"/>
      <c r="AG4" s="70"/>
    </row>
    <row r="5" spans="1:49" ht="15.4" x14ac:dyDescent="0.4">
      <c r="A5" s="45"/>
      <c r="B5" s="46"/>
      <c r="C5" s="45"/>
      <c r="D5" s="46"/>
      <c r="E5" s="45"/>
      <c r="F5" s="45"/>
      <c r="G5" s="45"/>
      <c r="H5" s="45"/>
      <c r="I5" s="45"/>
      <c r="J5" s="45"/>
      <c r="K5" s="26">
        <v>0.2</v>
      </c>
      <c r="L5" s="27">
        <f t="shared" ref="L5:L60" si="5">K5*C$10</f>
        <v>4.0000000000000001E-3</v>
      </c>
      <c r="M5" s="27">
        <f t="shared" ref="M5:M60" si="6">Q5*C$8</f>
        <v>27.381888</v>
      </c>
      <c r="N5" s="27">
        <f t="shared" si="0"/>
        <v>3.9920212695374567E-3</v>
      </c>
      <c r="O5" s="28">
        <f t="shared" si="1"/>
        <v>27.491415551999999</v>
      </c>
      <c r="P5" s="28">
        <f t="shared" si="2"/>
        <v>3.4192834455374567E-3</v>
      </c>
      <c r="Q5" s="27">
        <f t="shared" ref="Q5:Q13" si="7">1.2*K5+0.2*K5^4-0.4*K5^5</f>
        <v>0.24019199999999999</v>
      </c>
      <c r="R5" s="27"/>
      <c r="S5" s="27"/>
      <c r="T5" s="35">
        <f t="shared" si="3"/>
        <v>0.62122482343710472</v>
      </c>
      <c r="U5" s="36">
        <f t="shared" si="4"/>
        <v>3.4192834455374567E-3</v>
      </c>
      <c r="Y5" s="34"/>
      <c r="Z5" s="34"/>
      <c r="AA5" s="34"/>
      <c r="AC5" s="34"/>
      <c r="AD5" s="34"/>
      <c r="AF5" s="70"/>
      <c r="AG5" s="70"/>
    </row>
    <row r="6" spans="1:49" ht="15.4" x14ac:dyDescent="0.4">
      <c r="A6" s="45"/>
      <c r="B6" s="46"/>
      <c r="C6" s="45"/>
      <c r="D6" s="46"/>
      <c r="E6" s="45"/>
      <c r="F6" s="45"/>
      <c r="G6" s="45"/>
      <c r="H6" s="45"/>
      <c r="I6" s="45"/>
      <c r="J6" s="45"/>
      <c r="K6" s="26">
        <v>0.3</v>
      </c>
      <c r="L6" s="27">
        <f t="shared" si="5"/>
        <v>6.0000000000000001E-3</v>
      </c>
      <c r="M6" s="27">
        <f t="shared" si="6"/>
        <v>41.113872000000001</v>
      </c>
      <c r="N6" s="27">
        <f t="shared" si="0"/>
        <v>5.9820716775474689E-3</v>
      </c>
      <c r="O6" s="28">
        <f t="shared" si="1"/>
        <v>41.360555232000003</v>
      </c>
      <c r="P6" s="28">
        <f t="shared" si="2"/>
        <v>5.1203934435474687E-3</v>
      </c>
      <c r="Q6" s="27">
        <f t="shared" si="7"/>
        <v>0.36064800000000002</v>
      </c>
      <c r="R6" s="27"/>
      <c r="S6" s="27"/>
      <c r="T6" s="35">
        <f t="shared" si="3"/>
        <v>0.62046943658578757</v>
      </c>
      <c r="U6" s="36">
        <f t="shared" si="4"/>
        <v>5.1203934435474687E-3</v>
      </c>
      <c r="Y6" s="34"/>
      <c r="Z6" s="34"/>
      <c r="AA6" s="34"/>
      <c r="AC6" s="34"/>
      <c r="AD6" s="34"/>
      <c r="AF6" s="70"/>
      <c r="AG6" s="70"/>
    </row>
    <row r="7" spans="1:49" ht="15.4" x14ac:dyDescent="0.4">
      <c r="A7" s="45"/>
      <c r="B7" s="47" t="s">
        <v>15</v>
      </c>
      <c r="C7" s="5">
        <v>120</v>
      </c>
      <c r="D7" s="48"/>
      <c r="E7" s="45"/>
      <c r="F7" s="49"/>
      <c r="G7" s="45"/>
      <c r="H7" s="45"/>
      <c r="I7" s="45"/>
      <c r="J7" s="45"/>
      <c r="K7" s="26">
        <v>0.4</v>
      </c>
      <c r="L7" s="27">
        <f t="shared" si="5"/>
        <v>8.0000000000000002E-3</v>
      </c>
      <c r="M7" s="27">
        <f t="shared" si="6"/>
        <v>54.836736000000002</v>
      </c>
      <c r="N7" s="27">
        <f t="shared" si="0"/>
        <v>7.9681696491768813E-3</v>
      </c>
      <c r="O7" s="28">
        <f t="shared" si="1"/>
        <v>55.275429888000005</v>
      </c>
      <c r="P7" s="28">
        <f t="shared" si="2"/>
        <v>6.8165981931768808E-3</v>
      </c>
      <c r="Q7" s="27">
        <f t="shared" si="7"/>
        <v>0.48102400000000001</v>
      </c>
      <c r="R7" s="27"/>
      <c r="S7" s="27"/>
      <c r="T7" s="35">
        <f t="shared" si="3"/>
        <v>0.61984022691888874</v>
      </c>
      <c r="U7" s="36">
        <f t="shared" si="4"/>
        <v>6.8165981931768808E-3</v>
      </c>
      <c r="Y7" s="34"/>
      <c r="Z7" s="34"/>
      <c r="AA7" s="34"/>
      <c r="AC7" s="34"/>
      <c r="AD7" s="34"/>
      <c r="AF7" s="70"/>
      <c r="AG7" s="70"/>
    </row>
    <row r="8" spans="1:49" ht="15.4" x14ac:dyDescent="0.45">
      <c r="A8" s="45"/>
      <c r="B8" s="50" t="s">
        <v>16</v>
      </c>
      <c r="C8" s="51">
        <f>C7*0.95</f>
        <v>114</v>
      </c>
      <c r="D8" s="45"/>
      <c r="E8" s="45"/>
      <c r="F8" s="52"/>
      <c r="G8" s="45"/>
      <c r="H8" s="45"/>
      <c r="I8" s="45"/>
      <c r="J8" s="45"/>
      <c r="K8" s="26">
        <v>0.5</v>
      </c>
      <c r="L8" s="27">
        <f t="shared" si="5"/>
        <v>0.01</v>
      </c>
      <c r="M8" s="27">
        <f t="shared" si="6"/>
        <v>68.399999999999991</v>
      </c>
      <c r="N8" s="27">
        <f t="shared" si="0"/>
        <v>9.950330853168092E-3</v>
      </c>
      <c r="O8" s="28">
        <f t="shared" si="1"/>
        <v>69.083999999999989</v>
      </c>
      <c r="P8" s="28">
        <f t="shared" si="2"/>
        <v>8.5110808531680925E-3</v>
      </c>
      <c r="Q8" s="27">
        <f t="shared" si="7"/>
        <v>0.6</v>
      </c>
      <c r="R8" s="27"/>
      <c r="S8" s="27"/>
      <c r="T8" s="35">
        <f t="shared" si="3"/>
        <v>0.61967983016389672</v>
      </c>
      <c r="U8" s="36">
        <f t="shared" si="4"/>
        <v>8.5110808531680925E-3</v>
      </c>
      <c r="Y8" s="34"/>
      <c r="Z8" s="34"/>
      <c r="AA8" s="34"/>
      <c r="AC8" s="34"/>
      <c r="AD8" s="34"/>
      <c r="AF8" s="70"/>
      <c r="AG8" s="70"/>
    </row>
    <row r="9" spans="1:49" s="41" customFormat="1" ht="15.4" x14ac:dyDescent="0.45">
      <c r="A9" s="53"/>
      <c r="B9" s="12" t="s">
        <v>17</v>
      </c>
      <c r="C9" s="9">
        <v>48000</v>
      </c>
      <c r="D9" s="53"/>
      <c r="E9" s="53"/>
      <c r="F9" s="53"/>
      <c r="G9" s="53"/>
      <c r="H9" s="53"/>
      <c r="I9" s="53"/>
      <c r="J9" s="53"/>
      <c r="K9" s="29">
        <v>0.6</v>
      </c>
      <c r="L9" s="27">
        <f t="shared" si="5"/>
        <v>1.2E-2</v>
      </c>
      <c r="M9" s="27">
        <f t="shared" si="6"/>
        <v>81.489023999999986</v>
      </c>
      <c r="N9" s="27">
        <f t="shared" si="0"/>
        <v>1.1928570865273812E-2</v>
      </c>
      <c r="O9" s="28">
        <f t="shared" si="1"/>
        <v>82.466892287999983</v>
      </c>
      <c r="P9" s="28">
        <f t="shared" si="2"/>
        <v>1.0210510609273813E-2</v>
      </c>
      <c r="Q9" s="27">
        <f t="shared" si="7"/>
        <v>0.7148159999999999</v>
      </c>
      <c r="R9" s="37"/>
      <c r="S9" s="37"/>
      <c r="T9" s="35">
        <f t="shared" si="3"/>
        <v>0.62048845828035248</v>
      </c>
      <c r="U9" s="36">
        <f t="shared" si="4"/>
        <v>1.0210510609273813E-2</v>
      </c>
      <c r="Y9" s="34"/>
      <c r="Z9" s="34"/>
      <c r="AA9" s="34"/>
      <c r="AB9" s="43"/>
      <c r="AC9" s="34"/>
      <c r="AD9" s="34"/>
      <c r="AE9" s="43"/>
      <c r="AF9" s="70"/>
      <c r="AG9" s="70"/>
      <c r="AU9" s="43"/>
    </row>
    <row r="10" spans="1:49" s="42" customFormat="1" ht="15.4" x14ac:dyDescent="0.4">
      <c r="A10" s="53"/>
      <c r="B10" s="10" t="s">
        <v>18</v>
      </c>
      <c r="C10" s="11">
        <v>0.02</v>
      </c>
      <c r="D10" s="53"/>
      <c r="E10" s="53"/>
      <c r="F10" s="53"/>
      <c r="G10" s="53"/>
      <c r="H10" s="53"/>
      <c r="I10" s="53"/>
      <c r="J10" s="53"/>
      <c r="K10" s="30">
        <v>0.7</v>
      </c>
      <c r="L10" s="27">
        <f t="shared" si="5"/>
        <v>1.3999999999999999E-2</v>
      </c>
      <c r="M10" s="27">
        <f t="shared" si="6"/>
        <v>93.570287999999991</v>
      </c>
      <c r="N10" s="27">
        <f t="shared" si="0"/>
        <v>1.3902905168991434E-2</v>
      </c>
      <c r="O10" s="28">
        <f t="shared" si="1"/>
        <v>94.880272031999993</v>
      </c>
      <c r="P10" s="28">
        <f t="shared" si="2"/>
        <v>1.1926232834991434E-2</v>
      </c>
      <c r="Q10" s="27">
        <f t="shared" si="7"/>
        <v>0.82079199999999997</v>
      </c>
      <c r="R10" s="38"/>
      <c r="S10" s="38"/>
      <c r="T10" s="35">
        <f t="shared" si="3"/>
        <v>0.62293644163035766</v>
      </c>
      <c r="U10" s="36">
        <f t="shared" si="4"/>
        <v>1.1926232834991434E-2</v>
      </c>
      <c r="V10" s="41"/>
      <c r="W10" s="41"/>
      <c r="X10" s="41"/>
      <c r="Y10" s="34"/>
      <c r="Z10" s="34"/>
      <c r="AA10" s="34"/>
      <c r="AB10" s="43"/>
      <c r="AC10" s="34"/>
      <c r="AD10" s="34"/>
      <c r="AE10" s="43"/>
      <c r="AF10" s="70"/>
      <c r="AG10" s="70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3"/>
      <c r="AV10" s="41"/>
      <c r="AW10" s="41"/>
    </row>
    <row r="11" spans="1:49" ht="15.4" x14ac:dyDescent="0.4">
      <c r="A11" s="45"/>
      <c r="B11" s="54" t="s">
        <v>19</v>
      </c>
      <c r="C11" s="55">
        <f>C8/C10</f>
        <v>5700</v>
      </c>
      <c r="D11" s="56"/>
      <c r="E11" s="45"/>
      <c r="F11" s="45"/>
      <c r="G11" s="45"/>
      <c r="H11" s="45"/>
      <c r="I11" s="45"/>
      <c r="J11" s="45"/>
      <c r="K11" s="26">
        <v>0.8</v>
      </c>
      <c r="L11" s="27">
        <f t="shared" si="5"/>
        <v>1.6E-2</v>
      </c>
      <c r="M11" s="27">
        <f t="shared" si="6"/>
        <v>103.83667199999999</v>
      </c>
      <c r="N11" s="27">
        <f t="shared" si="0"/>
        <v>1.5873349156290163E-2</v>
      </c>
      <c r="O11" s="28">
        <f t="shared" si="1"/>
        <v>105.49805875199999</v>
      </c>
      <c r="P11" s="28">
        <f t="shared" si="2"/>
        <v>1.3675472932290163E-2</v>
      </c>
      <c r="Q11" s="27">
        <f t="shared" si="7"/>
        <v>0.91084799999999988</v>
      </c>
      <c r="R11" s="27"/>
      <c r="S11" s="27"/>
      <c r="T11" s="35">
        <f t="shared" si="3"/>
        <v>0.62789343620478388</v>
      </c>
      <c r="U11" s="36">
        <f t="shared" si="4"/>
        <v>1.3675472932290163E-2</v>
      </c>
      <c r="Y11" s="34"/>
      <c r="Z11" s="34"/>
      <c r="AA11" s="34"/>
      <c r="AC11" s="34"/>
      <c r="AD11" s="34"/>
      <c r="AF11" s="70"/>
      <c r="AG11" s="70"/>
    </row>
    <row r="12" spans="1:49" ht="15.4" x14ac:dyDescent="0.4">
      <c r="A12" s="45"/>
      <c r="B12" s="13" t="s">
        <v>1</v>
      </c>
      <c r="C12" s="14">
        <f>C9/C11</f>
        <v>8.4210526315789469</v>
      </c>
      <c r="D12" s="45"/>
      <c r="E12" s="45"/>
      <c r="F12" s="45"/>
      <c r="G12" s="45"/>
      <c r="H12" s="45"/>
      <c r="I12" s="45"/>
      <c r="J12" s="45"/>
      <c r="K12" s="26">
        <v>0.9</v>
      </c>
      <c r="L12" s="27">
        <f t="shared" si="5"/>
        <v>1.8000000000000002E-2</v>
      </c>
      <c r="M12" s="27">
        <f t="shared" si="6"/>
        <v>111.15273600000002</v>
      </c>
      <c r="N12" s="27">
        <f t="shared" si="0"/>
        <v>1.7839918128331016E-2</v>
      </c>
      <c r="O12" s="28">
        <f t="shared" si="1"/>
        <v>113.15348524800002</v>
      </c>
      <c r="P12" s="28">
        <f t="shared" si="2"/>
        <v>1.5482553852331014E-2</v>
      </c>
      <c r="Q12" s="27">
        <f t="shared" si="7"/>
        <v>0.97502400000000011</v>
      </c>
      <c r="R12" s="27"/>
      <c r="S12" s="27"/>
      <c r="T12" s="35">
        <f t="shared" si="3"/>
        <v>0.63648953308359524</v>
      </c>
      <c r="U12" s="36">
        <f t="shared" si="4"/>
        <v>1.5482553852331014E-2</v>
      </c>
      <c r="Z12" s="34"/>
      <c r="AA12" s="34"/>
      <c r="AC12" s="34"/>
      <c r="AD12" s="34"/>
      <c r="AF12" s="70"/>
      <c r="AG12" s="70"/>
    </row>
    <row r="13" spans="1:49" ht="15.4" x14ac:dyDescent="0.45">
      <c r="A13" s="45"/>
      <c r="B13" s="50" t="s">
        <v>22</v>
      </c>
      <c r="C13" s="14">
        <v>1.2</v>
      </c>
      <c r="D13" s="57" t="s">
        <v>23</v>
      </c>
      <c r="E13" s="57" t="s">
        <v>30</v>
      </c>
      <c r="F13" s="57" t="s">
        <v>31</v>
      </c>
      <c r="G13" s="57" t="s">
        <v>32</v>
      </c>
      <c r="H13" s="57" t="s">
        <v>33</v>
      </c>
      <c r="I13" s="45" t="s">
        <v>34</v>
      </c>
      <c r="J13" s="45"/>
      <c r="K13" s="29">
        <v>1</v>
      </c>
      <c r="L13" s="27">
        <f t="shared" si="5"/>
        <v>0.02</v>
      </c>
      <c r="M13" s="27">
        <f t="shared" si="6"/>
        <v>113.99999999999999</v>
      </c>
      <c r="N13" s="27">
        <f t="shared" si="0"/>
        <v>1.980262729617973E-2</v>
      </c>
      <c r="O13" s="28">
        <f t="shared" si="1"/>
        <v>116.27999999999999</v>
      </c>
      <c r="P13" s="28">
        <f t="shared" si="2"/>
        <v>1.7380127296179729E-2</v>
      </c>
      <c r="Q13" s="27">
        <f t="shared" si="7"/>
        <v>0.99999999999999989</v>
      </c>
      <c r="R13" s="37"/>
      <c r="S13" s="37"/>
      <c r="T13" s="35">
        <f t="shared" si="3"/>
        <v>0.6502397215652671</v>
      </c>
      <c r="U13" s="36">
        <f t="shared" si="4"/>
        <v>1.7380127296179729E-2</v>
      </c>
      <c r="W13" s="66"/>
      <c r="X13" s="66"/>
      <c r="Y13" s="34"/>
      <c r="Z13" s="34"/>
      <c r="AA13" s="34"/>
      <c r="AC13" s="34"/>
      <c r="AD13" s="34"/>
      <c r="AF13" s="70"/>
      <c r="AG13" s="70"/>
    </row>
    <row r="14" spans="1:49" ht="15.4" x14ac:dyDescent="0.45">
      <c r="A14" s="45"/>
      <c r="B14" s="58" t="s">
        <v>28</v>
      </c>
      <c r="C14" s="59">
        <v>10</v>
      </c>
      <c r="D14" s="60" t="s">
        <v>35</v>
      </c>
      <c r="E14" s="45">
        <v>0</v>
      </c>
      <c r="F14" s="61">
        <v>1</v>
      </c>
      <c r="G14" s="61">
        <v>2</v>
      </c>
      <c r="H14" s="61">
        <v>3</v>
      </c>
      <c r="I14" s="61">
        <v>4</v>
      </c>
      <c r="J14" s="45"/>
      <c r="K14" s="29">
        <v>1.1000000000000001</v>
      </c>
      <c r="L14" s="27">
        <f t="shared" si="5"/>
        <v>2.2000000000000002E-2</v>
      </c>
      <c r="M14" s="27">
        <f t="shared" si="6"/>
        <v>111.537936913896</v>
      </c>
      <c r="N14" s="27">
        <f t="shared" si="0"/>
        <v>2.176149178151271E-2</v>
      </c>
      <c r="O14" s="28">
        <f t="shared" si="1"/>
        <v>113.99177152600171</v>
      </c>
      <c r="P14" s="28">
        <f t="shared" si="2"/>
        <v>1.938666320805434E-2</v>
      </c>
      <c r="Q14" s="37">
        <f>K14/(7.6*(K14-1)^2/($C$15+0.13)+K14)</f>
        <v>0.97840295538505262</v>
      </c>
      <c r="R14" s="37"/>
      <c r="S14" s="37"/>
      <c r="T14" s="35">
        <f t="shared" si="3"/>
        <v>0.66965190933093566</v>
      </c>
      <c r="U14" s="36">
        <f t="shared" si="4"/>
        <v>1.938666320805434E-2</v>
      </c>
      <c r="W14" s="67"/>
      <c r="X14" s="34"/>
      <c r="Y14" s="34"/>
      <c r="Z14" s="34"/>
      <c r="AA14" s="34"/>
      <c r="AC14" s="34"/>
      <c r="AD14" s="34"/>
      <c r="AF14" s="70"/>
      <c r="AG14" s="70"/>
    </row>
    <row r="15" spans="1:49" ht="15.4" x14ac:dyDescent="0.45">
      <c r="A15" s="45"/>
      <c r="B15" s="45" t="s">
        <v>35</v>
      </c>
      <c r="C15" s="45">
        <f>H14</f>
        <v>3</v>
      </c>
      <c r="D15" s="60"/>
      <c r="E15" s="45"/>
      <c r="F15" s="62"/>
      <c r="G15" s="62"/>
      <c r="H15" s="45"/>
      <c r="I15" s="45"/>
      <c r="J15" s="45"/>
      <c r="K15" s="29">
        <v>1.2</v>
      </c>
      <c r="L15" s="27">
        <f t="shared" si="5"/>
        <v>2.4E-2</v>
      </c>
      <c r="M15" s="27">
        <f t="shared" si="6"/>
        <v>105.464039408867</v>
      </c>
      <c r="N15" s="27">
        <f t="shared" si="0"/>
        <v>2.3716526617316065E-2</v>
      </c>
      <c r="O15" s="28">
        <f t="shared" si="1"/>
        <v>107.9951763546798</v>
      </c>
      <c r="P15" s="28">
        <f t="shared" si="2"/>
        <v>2.1466627109926903E-2</v>
      </c>
      <c r="Q15" s="37">
        <f t="shared" ref="Q15:Q60" si="8">K15/(7.6*(K15-1)^2/($C$15+0.13)+K15)</f>
        <v>0.92512315270935963</v>
      </c>
      <c r="R15" s="37"/>
      <c r="S15" s="37"/>
      <c r="T15" s="35">
        <f t="shared" si="3"/>
        <v>0.6919962403587715</v>
      </c>
      <c r="U15" s="36">
        <f t="shared" si="4"/>
        <v>2.1466627109926903E-2</v>
      </c>
      <c r="W15" s="67"/>
      <c r="X15" s="34"/>
      <c r="Y15" s="34"/>
      <c r="Z15" s="34"/>
      <c r="AA15" s="34"/>
      <c r="AC15" s="34"/>
      <c r="AD15" s="34"/>
      <c r="AF15" s="70"/>
      <c r="AG15" s="70"/>
    </row>
    <row r="16" spans="1:49" ht="18" x14ac:dyDescent="0.45">
      <c r="A16" s="145" t="s">
        <v>29</v>
      </c>
      <c r="B16" s="142"/>
      <c r="C16" s="142"/>
      <c r="D16" s="142"/>
      <c r="E16" s="142"/>
      <c r="F16" s="142"/>
      <c r="G16" s="142"/>
      <c r="H16" s="142"/>
      <c r="I16" s="142"/>
      <c r="J16" s="143"/>
      <c r="K16" s="29">
        <v>1.3</v>
      </c>
      <c r="L16" s="27">
        <f t="shared" si="5"/>
        <v>2.6000000000000002E-2</v>
      </c>
      <c r="M16" s="27">
        <f t="shared" si="6"/>
        <v>97.594361455922581</v>
      </c>
      <c r="N16" s="27">
        <f t="shared" si="0"/>
        <v>2.5667746748577813E-2</v>
      </c>
      <c r="O16" s="28">
        <f t="shared" si="1"/>
        <v>100.13181485377658</v>
      </c>
      <c r="P16" s="28">
        <f t="shared" si="2"/>
        <v>2.3581667272457467E-2</v>
      </c>
      <c r="Q16" s="37">
        <f t="shared" si="8"/>
        <v>0.8560908899642331</v>
      </c>
      <c r="R16" s="37"/>
      <c r="S16" s="37"/>
      <c r="T16" s="35">
        <f t="shared" si="3"/>
        <v>0.71491684772384412</v>
      </c>
      <c r="U16" s="36">
        <f t="shared" si="4"/>
        <v>2.3581667272457467E-2</v>
      </c>
      <c r="Y16" s="34"/>
      <c r="Z16" s="34"/>
      <c r="AA16" s="34"/>
      <c r="AC16" s="34"/>
      <c r="AD16" s="34"/>
      <c r="AF16" s="70"/>
      <c r="AG16" s="70"/>
    </row>
    <row r="17" spans="1:47" ht="15.4" x14ac:dyDescent="0.4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29">
        <v>1.4</v>
      </c>
      <c r="L17" s="27">
        <f t="shared" si="5"/>
        <v>2.7999999999999997E-2</v>
      </c>
      <c r="M17" s="27">
        <f t="shared" si="6"/>
        <v>89.236870310825296</v>
      </c>
      <c r="N17" s="27">
        <f t="shared" si="0"/>
        <v>2.7615167032973391E-2</v>
      </c>
      <c r="O17" s="28">
        <f t="shared" si="1"/>
        <v>91.735502679528409</v>
      </c>
      <c r="P17" s="28">
        <f t="shared" si="2"/>
        <v>2.5704010727149881E-2</v>
      </c>
      <c r="Q17" s="37">
        <f t="shared" si="8"/>
        <v>0.78277956413004646</v>
      </c>
      <c r="R17" s="37"/>
      <c r="S17" s="37"/>
      <c r="T17" s="35">
        <f t="shared" si="3"/>
        <v>0.7369282180001081</v>
      </c>
      <c r="U17" s="36">
        <f t="shared" si="4"/>
        <v>2.5704010727149881E-2</v>
      </c>
      <c r="Y17" s="34"/>
      <c r="Z17" s="34"/>
      <c r="AA17" s="34"/>
      <c r="AC17" s="34"/>
      <c r="AD17" s="34"/>
      <c r="AF17" s="70"/>
      <c r="AG17" s="70"/>
    </row>
    <row r="18" spans="1:47" ht="15.4" x14ac:dyDescent="0.4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29">
        <v>1.5</v>
      </c>
      <c r="L18" s="27">
        <f t="shared" si="5"/>
        <v>0.03</v>
      </c>
      <c r="M18" s="27">
        <f t="shared" si="6"/>
        <v>81.156937073540561</v>
      </c>
      <c r="N18" s="27">
        <f t="shared" si="0"/>
        <v>2.9558802241544429E-2</v>
      </c>
      <c r="O18" s="28">
        <f t="shared" si="1"/>
        <v>83.591645185746785</v>
      </c>
      <c r="P18" s="28">
        <f t="shared" si="2"/>
        <v>2.7817309633508036E-2</v>
      </c>
      <c r="Q18" s="37">
        <f t="shared" si="8"/>
        <v>0.71190295678544346</v>
      </c>
      <c r="R18" s="37"/>
      <c r="S18" s="37"/>
      <c r="T18" s="35">
        <f t="shared" si="3"/>
        <v>0.75727338369117914</v>
      </c>
      <c r="U18" s="36">
        <f t="shared" si="4"/>
        <v>2.7817309633508036E-2</v>
      </c>
      <c r="Y18" s="34"/>
      <c r="Z18" s="34"/>
      <c r="AA18" s="34"/>
      <c r="AC18" s="34"/>
      <c r="AD18" s="34"/>
      <c r="AF18" s="70"/>
      <c r="AG18" s="70"/>
    </row>
    <row r="19" spans="1:47" ht="15.4" x14ac:dyDescent="0.4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29">
        <v>1.6</v>
      </c>
      <c r="L19" s="27">
        <f t="shared" si="5"/>
        <v>3.2000000000000001E-2</v>
      </c>
      <c r="M19" s="27">
        <f t="shared" si="6"/>
        <v>73.723140495867767</v>
      </c>
      <c r="N19" s="27">
        <f t="shared" si="0"/>
        <v>3.1498667059371016E-2</v>
      </c>
      <c r="O19" s="28">
        <f t="shared" si="1"/>
        <v>76.082280991735544</v>
      </c>
      <c r="P19" s="28">
        <f t="shared" si="2"/>
        <v>2.991361953870986E-2</v>
      </c>
      <c r="Q19" s="37">
        <f t="shared" si="8"/>
        <v>0.64669421487603307</v>
      </c>
      <c r="R19" s="37"/>
      <c r="S19" s="37"/>
      <c r="T19" s="35">
        <f t="shared" si="3"/>
        <v>0.7756763537294552</v>
      </c>
      <c r="U19" s="36">
        <f t="shared" si="4"/>
        <v>2.991361953870986E-2</v>
      </c>
      <c r="Y19" s="34"/>
      <c r="Z19" s="34"/>
      <c r="AA19" s="34"/>
      <c r="AC19" s="34"/>
      <c r="AD19" s="34"/>
      <c r="AF19" s="70"/>
      <c r="AG19" s="70"/>
    </row>
    <row r="20" spans="1:47" ht="15.4" x14ac:dyDescent="0.4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29">
        <v>1.7</v>
      </c>
      <c r="L20" s="27">
        <f t="shared" si="5"/>
        <v>3.4000000000000002E-2</v>
      </c>
      <c r="M20" s="27">
        <f t="shared" si="6"/>
        <v>67.064013266998359</v>
      </c>
      <c r="N20" s="27">
        <f t="shared" si="0"/>
        <v>3.3434776086237419E-2</v>
      </c>
      <c r="O20" s="28">
        <f t="shared" si="1"/>
        <v>69.344189718076308</v>
      </c>
      <c r="P20" s="28">
        <f t="shared" si="2"/>
        <v>3.1990105467110827E-2</v>
      </c>
      <c r="Q20" s="37">
        <f t="shared" si="8"/>
        <v>0.58828081813156452</v>
      </c>
      <c r="R20" s="37"/>
      <c r="S20" s="37"/>
      <c r="T20" s="35">
        <f t="shared" si="3"/>
        <v>0.79213316155467939</v>
      </c>
      <c r="U20" s="36">
        <f t="shared" si="4"/>
        <v>3.1990105467110827E-2</v>
      </c>
      <c r="Y20" s="34"/>
      <c r="Z20" s="34"/>
      <c r="AA20" s="34"/>
      <c r="AC20" s="34"/>
      <c r="AD20" s="34"/>
      <c r="AF20" s="70"/>
      <c r="AG20" s="70"/>
    </row>
    <row r="21" spans="1:47" ht="15.4" x14ac:dyDescent="0.4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29">
        <v>1.8</v>
      </c>
      <c r="L21" s="27">
        <f t="shared" si="5"/>
        <v>3.6000000000000004E-2</v>
      </c>
      <c r="M21" s="27">
        <f t="shared" si="6"/>
        <v>61.180796342160413</v>
      </c>
      <c r="N21" s="27">
        <f t="shared" si="0"/>
        <v>3.5367143837291344E-2</v>
      </c>
      <c r="O21" s="28">
        <f t="shared" si="1"/>
        <v>63.383305010478189</v>
      </c>
      <c r="P21" s="28">
        <f t="shared" si="2"/>
        <v>3.4046658316239715E-2</v>
      </c>
      <c r="Q21" s="37">
        <f t="shared" si="8"/>
        <v>0.53667365212421414</v>
      </c>
      <c r="R21" s="37"/>
      <c r="S21" s="37"/>
      <c r="T21" s="35">
        <f t="shared" si="3"/>
        <v>0.80677343767633181</v>
      </c>
      <c r="U21" s="36">
        <f t="shared" si="4"/>
        <v>3.4046658316239715E-2</v>
      </c>
      <c r="Y21" s="34"/>
      <c r="Z21" s="34"/>
      <c r="AA21" s="34"/>
      <c r="AC21" s="34"/>
      <c r="AD21" s="34"/>
      <c r="AF21" s="70"/>
      <c r="AG21" s="70"/>
    </row>
    <row r="22" spans="1:47" ht="15.4" x14ac:dyDescent="0.4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29">
        <v>1.9</v>
      </c>
      <c r="L22" s="27">
        <f t="shared" si="5"/>
        <v>3.7999999999999999E-2</v>
      </c>
      <c r="M22" s="27">
        <f t="shared" si="6"/>
        <v>56.015698587127162</v>
      </c>
      <c r="N22" s="27">
        <f t="shared" si="0"/>
        <v>3.7295784743696929E-2</v>
      </c>
      <c r="O22" s="28">
        <f t="shared" si="1"/>
        <v>58.144295133437993</v>
      </c>
      <c r="P22" s="28">
        <f t="shared" si="2"/>
        <v>3.6084445261750302E-2</v>
      </c>
      <c r="Q22" s="37">
        <f t="shared" si="8"/>
        <v>0.49136577708006279</v>
      </c>
      <c r="R22" s="37"/>
      <c r="S22" s="37"/>
      <c r="T22" s="35">
        <f t="shared" si="3"/>
        <v>0.81977996838603595</v>
      </c>
      <c r="U22" s="36">
        <f t="shared" si="4"/>
        <v>3.6084445261750302E-2</v>
      </c>
      <c r="Y22" s="34"/>
      <c r="Z22" s="34"/>
      <c r="AA22" s="34"/>
      <c r="AC22" s="34"/>
      <c r="AD22" s="34"/>
      <c r="AF22" s="70"/>
      <c r="AG22" s="70"/>
    </row>
    <row r="23" spans="1:47" s="44" customFormat="1" ht="15.4" x14ac:dyDescent="0.4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29">
        <v>2</v>
      </c>
      <c r="L23" s="27">
        <f t="shared" si="5"/>
        <v>0.04</v>
      </c>
      <c r="M23" s="27">
        <f t="shared" si="6"/>
        <v>51.489177489177479</v>
      </c>
      <c r="N23" s="27">
        <f t="shared" si="0"/>
        <v>3.9220713153281329E-2</v>
      </c>
      <c r="O23" s="28">
        <f t="shared" si="1"/>
        <v>53.548744588744583</v>
      </c>
      <c r="P23" s="28">
        <f t="shared" si="2"/>
        <v>3.8105114307682486E-2</v>
      </c>
      <c r="Q23" s="37">
        <f t="shared" si="8"/>
        <v>0.45165945165945159</v>
      </c>
      <c r="R23" s="37"/>
      <c r="S23" s="37"/>
      <c r="T23" s="35">
        <f t="shared" si="3"/>
        <v>0.83134614015370212</v>
      </c>
      <c r="U23" s="36">
        <f t="shared" si="4"/>
        <v>3.8105114307682486E-2</v>
      </c>
      <c r="V23" s="41"/>
      <c r="W23" s="41"/>
      <c r="X23" s="41"/>
      <c r="Y23" s="34"/>
      <c r="Z23" s="34"/>
      <c r="AA23" s="34"/>
      <c r="AB23" s="43"/>
      <c r="AC23" s="34"/>
      <c r="AD23" s="34"/>
      <c r="AE23" s="43"/>
      <c r="AF23" s="70"/>
      <c r="AG23" s="70"/>
      <c r="AH23" s="41"/>
      <c r="AI23" s="41"/>
      <c r="AU23" s="43"/>
    </row>
    <row r="24" spans="1:47" ht="15.4" x14ac:dyDescent="0.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29">
        <v>2.1</v>
      </c>
      <c r="L24" s="27">
        <f t="shared" si="5"/>
        <v>4.2000000000000003E-2</v>
      </c>
      <c r="M24" s="27">
        <f t="shared" si="6"/>
        <v>47.518675883061704</v>
      </c>
      <c r="N24" s="27">
        <f t="shared" si="0"/>
        <v>4.1141943331175213E-2</v>
      </c>
      <c r="O24" s="28">
        <f t="shared" si="1"/>
        <v>49.514460270150295</v>
      </c>
      <c r="P24" s="28">
        <f t="shared" si="2"/>
        <v>4.0110392075547084E-2</v>
      </c>
      <c r="Q24" s="37">
        <f t="shared" si="8"/>
        <v>0.41683049020229562</v>
      </c>
      <c r="R24" s="37"/>
      <c r="S24" s="37"/>
      <c r="T24" s="35">
        <f t="shared" si="3"/>
        <v>0.84165549191526534</v>
      </c>
      <c r="U24" s="36">
        <f t="shared" si="4"/>
        <v>4.0110392075547084E-2</v>
      </c>
      <c r="Y24" s="34"/>
      <c r="Z24" s="34"/>
      <c r="AA24" s="34"/>
      <c r="AC24" s="34"/>
      <c r="AD24" s="34"/>
      <c r="AF24" s="70"/>
      <c r="AG24" s="70"/>
    </row>
    <row r="25" spans="1:47" ht="15.4" x14ac:dyDescent="0.4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29">
        <v>2.2000000000000002</v>
      </c>
      <c r="L25" s="27">
        <f t="shared" si="5"/>
        <v>4.4000000000000004E-2</v>
      </c>
      <c r="M25" s="27">
        <f t="shared" si="6"/>
        <v>44.027145260796402</v>
      </c>
      <c r="N25" s="27">
        <f t="shared" si="0"/>
        <v>4.3059489460447013E-2</v>
      </c>
      <c r="O25" s="28">
        <f t="shared" si="1"/>
        <v>45.964339652271448</v>
      </c>
      <c r="P25" s="28">
        <f t="shared" si="2"/>
        <v>4.210189905102469E-2</v>
      </c>
      <c r="Q25" s="37">
        <f t="shared" si="8"/>
        <v>0.38620302860347722</v>
      </c>
      <c r="R25" s="37"/>
      <c r="S25" s="37"/>
      <c r="T25" s="35">
        <f t="shared" si="3"/>
        <v>0.85087328343316249</v>
      </c>
      <c r="U25" s="36">
        <f t="shared" si="4"/>
        <v>4.210189905102469E-2</v>
      </c>
      <c r="Y25" s="34"/>
      <c r="Z25" s="34"/>
      <c r="AA25" s="34"/>
      <c r="AC25" s="34"/>
      <c r="AD25" s="34"/>
      <c r="AF25" s="70"/>
      <c r="AG25" s="70"/>
    </row>
    <row r="26" spans="1:47" ht="15.4" x14ac:dyDescent="0.4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29">
        <v>2.2999999999999998</v>
      </c>
      <c r="L26" s="27">
        <f t="shared" si="5"/>
        <v>4.5999999999999999E-2</v>
      </c>
      <c r="M26" s="27">
        <f t="shared" si="6"/>
        <v>40.946265529112416</v>
      </c>
      <c r="N26" s="27">
        <f t="shared" si="0"/>
        <v>4.4973365642731196E-2</v>
      </c>
      <c r="O26" s="28">
        <f t="shared" si="1"/>
        <v>42.829793743451589</v>
      </c>
      <c r="P26" s="28">
        <f t="shared" si="2"/>
        <v>4.4081078273075953E-2</v>
      </c>
      <c r="Q26" s="37">
        <f t="shared" si="8"/>
        <v>0.35917776779923172</v>
      </c>
      <c r="R26" s="37"/>
      <c r="S26" s="37"/>
      <c r="T26" s="35">
        <f t="shared" si="3"/>
        <v>0.85914421838412725</v>
      </c>
      <c r="U26" s="36">
        <f t="shared" si="4"/>
        <v>4.4081078273075953E-2</v>
      </c>
      <c r="Y26" s="34"/>
      <c r="Z26" s="34"/>
      <c r="AA26" s="34"/>
      <c r="AC26" s="34"/>
      <c r="AD26" s="34"/>
      <c r="AF26" s="70"/>
      <c r="AG26" s="70"/>
    </row>
    <row r="27" spans="1:47" ht="15.4" x14ac:dyDescent="0.4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29">
        <v>2.4</v>
      </c>
      <c r="L27" s="27">
        <f t="shared" si="5"/>
        <v>4.8000000000000001E-2</v>
      </c>
      <c r="M27" s="27">
        <f t="shared" si="6"/>
        <v>38.217065333809352</v>
      </c>
      <c r="N27" s="27">
        <f t="shared" si="0"/>
        <v>4.6883585898850458E-2</v>
      </c>
      <c r="O27" s="28">
        <f t="shared" si="1"/>
        <v>40.051484469832204</v>
      </c>
      <c r="P27" s="28">
        <f t="shared" si="2"/>
        <v>4.6049179972395618E-2</v>
      </c>
      <c r="Q27" s="37">
        <f t="shared" si="8"/>
        <v>0.33523741520885397</v>
      </c>
      <c r="R27" s="37"/>
      <c r="S27" s="37"/>
      <c r="T27" s="35">
        <f t="shared" si="3"/>
        <v>0.86659310404393897</v>
      </c>
      <c r="U27" s="36">
        <f t="shared" si="4"/>
        <v>4.6049179972395618E-2</v>
      </c>
      <c r="Y27" s="34"/>
      <c r="Z27" s="34"/>
      <c r="AA27" s="34"/>
      <c r="AC27" s="34"/>
      <c r="AD27" s="34"/>
      <c r="AF27" s="70"/>
      <c r="AG27" s="70"/>
    </row>
    <row r="28" spans="1:47" ht="15.4" x14ac:dyDescent="0.4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29">
        <v>2.5</v>
      </c>
      <c r="L28" s="27">
        <f t="shared" si="5"/>
        <v>0.05</v>
      </c>
      <c r="M28" s="27">
        <f t="shared" si="6"/>
        <v>35.789368104312942</v>
      </c>
      <c r="N28" s="27">
        <f t="shared" si="0"/>
        <v>4.8790164169432049E-2</v>
      </c>
      <c r="O28" s="28">
        <f t="shared" si="1"/>
        <v>37.578836509528593</v>
      </c>
      <c r="P28" s="28">
        <f t="shared" si="2"/>
        <v>4.8007271742150207E-2</v>
      </c>
      <c r="Q28" s="37">
        <f t="shared" si="8"/>
        <v>0.31394182547642929</v>
      </c>
      <c r="R28" s="37"/>
      <c r="S28" s="37"/>
      <c r="T28" s="35">
        <f t="shared" si="3"/>
        <v>0.87332675197689891</v>
      </c>
      <c r="U28" s="36">
        <f t="shared" si="4"/>
        <v>4.8007271742150207E-2</v>
      </c>
      <c r="Y28" s="34"/>
      <c r="Z28" s="34"/>
      <c r="AA28" s="34"/>
      <c r="AC28" s="34"/>
      <c r="AD28" s="34"/>
      <c r="AF28" s="70"/>
      <c r="AG28" s="70"/>
    </row>
    <row r="29" spans="1:47" ht="15.4" x14ac:dyDescent="0.4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29">
        <v>2.6</v>
      </c>
      <c r="L29" s="27">
        <f t="shared" si="5"/>
        <v>5.2000000000000005E-2</v>
      </c>
      <c r="M29" s="27">
        <f t="shared" si="6"/>
        <v>33.62078712763644</v>
      </c>
      <c r="N29" s="27">
        <f t="shared" si="0"/>
        <v>5.0693114315518165E-2</v>
      </c>
      <c r="O29" s="28">
        <f t="shared" si="1"/>
        <v>35.369068058273534</v>
      </c>
      <c r="P29" s="28">
        <f t="shared" si="2"/>
        <v>4.9956258730970801E-2</v>
      </c>
      <c r="Q29" s="37">
        <f t="shared" si="8"/>
        <v>0.29491918533014422</v>
      </c>
      <c r="R29" s="27"/>
      <c r="S29" s="27"/>
      <c r="T29" s="35">
        <f t="shared" si="3"/>
        <v>0.87943626234896277</v>
      </c>
      <c r="U29" s="36">
        <f t="shared" si="4"/>
        <v>4.9956258730970801E-2</v>
      </c>
      <c r="Y29" s="34"/>
      <c r="Z29" s="34"/>
      <c r="AA29" s="34"/>
      <c r="AC29" s="34"/>
      <c r="AD29" s="34"/>
      <c r="AF29" s="70"/>
      <c r="AG29" s="70"/>
    </row>
    <row r="30" spans="1:47" ht="15.4" x14ac:dyDescent="0.4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29">
        <v>2.7</v>
      </c>
      <c r="L30" s="27">
        <f t="shared" si="5"/>
        <v>5.4000000000000006E-2</v>
      </c>
      <c r="M30" s="27">
        <f t="shared" si="6"/>
        <v>31.675620581949694</v>
      </c>
      <c r="N30" s="27">
        <f t="shared" si="0"/>
        <v>5.2592450119170631E-2</v>
      </c>
      <c r="O30" s="28">
        <f t="shared" si="1"/>
        <v>33.386104093374982</v>
      </c>
      <c r="P30" s="28">
        <f t="shared" si="2"/>
        <v>5.1896906283891986E-2</v>
      </c>
      <c r="Q30" s="37">
        <f t="shared" si="8"/>
        <v>0.27785632089429557</v>
      </c>
      <c r="R30" s="27"/>
      <c r="S30" s="27"/>
      <c r="T30" s="35">
        <f t="shared" si="3"/>
        <v>0.88499928222252278</v>
      </c>
      <c r="U30" s="36">
        <f t="shared" si="4"/>
        <v>5.1896906283891986E-2</v>
      </c>
      <c r="Y30" s="34"/>
      <c r="Z30" s="34"/>
      <c r="AA30" s="34"/>
      <c r="AC30" s="34"/>
      <c r="AD30" s="34"/>
      <c r="AF30" s="70"/>
      <c r="AG30" s="70"/>
    </row>
    <row r="31" spans="1:47" ht="15.4" x14ac:dyDescent="0.4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29">
        <v>2.8</v>
      </c>
      <c r="L31" s="27">
        <f t="shared" si="5"/>
        <v>5.5999999999999994E-2</v>
      </c>
      <c r="M31" s="27">
        <f t="shared" si="6"/>
        <v>29.923804959865823</v>
      </c>
      <c r="N31" s="27">
        <f t="shared" si="0"/>
        <v>5.4488185284069776E-2</v>
      </c>
      <c r="O31" s="28">
        <f t="shared" si="1"/>
        <v>31.599538037618309</v>
      </c>
      <c r="P31" s="28">
        <f t="shared" si="2"/>
        <v>5.3829861574952731E-2</v>
      </c>
      <c r="Q31" s="37">
        <f t="shared" si="8"/>
        <v>0.26248951719180547</v>
      </c>
      <c r="R31" s="27"/>
      <c r="S31" s="27"/>
      <c r="T31" s="35">
        <f t="shared" si="3"/>
        <v>0.89008206113775445</v>
      </c>
      <c r="U31" s="36">
        <f t="shared" si="4"/>
        <v>5.3829861574952731E-2</v>
      </c>
      <c r="Y31" s="34"/>
      <c r="Z31" s="34"/>
      <c r="AA31" s="34"/>
      <c r="AC31" s="34"/>
      <c r="AD31" s="34"/>
      <c r="AF31" s="70"/>
      <c r="AG31" s="70"/>
    </row>
    <row r="32" spans="1:47" ht="15.4" x14ac:dyDescent="0.4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29">
        <v>2.9</v>
      </c>
      <c r="L32" s="27">
        <f t="shared" si="5"/>
        <v>5.7999999999999996E-2</v>
      </c>
      <c r="M32" s="27">
        <f t="shared" si="6"/>
        <v>28.339988497247553</v>
      </c>
      <c r="N32" s="27">
        <f t="shared" si="0"/>
        <v>5.6380333436107689E-2</v>
      </c>
      <c r="O32" s="28">
        <f t="shared" si="1"/>
        <v>29.983707830087912</v>
      </c>
      <c r="P32" s="28">
        <f t="shared" si="2"/>
        <v>5.5755672856314192E-2</v>
      </c>
      <c r="Q32" s="37">
        <f t="shared" si="8"/>
        <v>0.24859639032673292</v>
      </c>
      <c r="R32" s="27"/>
      <c r="S32" s="27"/>
      <c r="T32" s="35">
        <f t="shared" si="3"/>
        <v>0.89474124473075578</v>
      </c>
      <c r="U32" s="36">
        <f t="shared" si="4"/>
        <v>5.5755672856314192E-2</v>
      </c>
      <c r="Y32" s="34"/>
      <c r="Z32" s="34"/>
      <c r="AA32" s="34"/>
      <c r="AC32" s="34"/>
      <c r="AD32" s="34"/>
      <c r="AF32" s="70"/>
      <c r="AG32" s="70"/>
    </row>
    <row r="33" spans="1:33" ht="15.4" x14ac:dyDescent="0.4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29">
        <v>3</v>
      </c>
      <c r="L33" s="27">
        <f t="shared" si="5"/>
        <v>0.06</v>
      </c>
      <c r="M33" s="27">
        <f t="shared" si="6"/>
        <v>26.902739381754209</v>
      </c>
      <c r="N33" s="27">
        <f t="shared" si="0"/>
        <v>5.8268908123975824E-2</v>
      </c>
      <c r="O33" s="28">
        <f t="shared" si="1"/>
        <v>28.516903744659462</v>
      </c>
      <c r="P33" s="28">
        <f t="shared" si="2"/>
        <v>5.767480596262875E-2</v>
      </c>
      <c r="Q33" s="37">
        <f t="shared" si="8"/>
        <v>0.23598894194521236</v>
      </c>
      <c r="R33" s="27"/>
      <c r="S33" s="27"/>
      <c r="T33" s="35">
        <f t="shared" si="3"/>
        <v>0.8990254035610854</v>
      </c>
      <c r="U33" s="36">
        <f t="shared" si="4"/>
        <v>5.767480596262875E-2</v>
      </c>
      <c r="Y33" s="34"/>
      <c r="Z33" s="34"/>
      <c r="AA33" s="34"/>
      <c r="AC33" s="34"/>
      <c r="AD33" s="34"/>
      <c r="AF33" s="70"/>
      <c r="AG33" s="70"/>
    </row>
    <row r="34" spans="1:33" ht="15.4" x14ac:dyDescent="0.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29">
        <v>3.1</v>
      </c>
      <c r="L34" s="27">
        <f t="shared" si="5"/>
        <v>6.2000000000000006E-2</v>
      </c>
      <c r="M34" s="27">
        <f t="shared" si="6"/>
        <v>25.593882320275807</v>
      </c>
      <c r="N34" s="27">
        <f t="shared" si="0"/>
        <v>6.0153922819747144E-2</v>
      </c>
      <c r="O34" s="28">
        <f t="shared" si="1"/>
        <v>27.180703024132907</v>
      </c>
      <c r="P34" s="28">
        <f t="shared" si="2"/>
        <v>5.9587658173411044E-2</v>
      </c>
      <c r="Q34" s="37">
        <f t="shared" si="8"/>
        <v>0.22450773965154217</v>
      </c>
      <c r="R34" s="27"/>
      <c r="S34" s="27"/>
      <c r="T34" s="35">
        <f t="shared" si="3"/>
        <v>0.90297631910174014</v>
      </c>
      <c r="U34" s="36">
        <f t="shared" si="4"/>
        <v>5.9587658173411044E-2</v>
      </c>
      <c r="Y34" s="34"/>
      <c r="Z34" s="34"/>
      <c r="AA34" s="34"/>
      <c r="AC34" s="34"/>
      <c r="AD34" s="34"/>
      <c r="AF34" s="70"/>
      <c r="AG34" s="70"/>
    </row>
    <row r="35" spans="1:33" ht="15.4" x14ac:dyDescent="0.4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29">
        <v>3.2</v>
      </c>
      <c r="L35" s="27">
        <f t="shared" si="5"/>
        <v>6.4000000000000001E-2</v>
      </c>
      <c r="M35" s="27">
        <f t="shared" si="6"/>
        <v>24.397948717948719</v>
      </c>
      <c r="N35" s="27">
        <f t="shared" si="0"/>
        <v>6.2035390919452697E-2</v>
      </c>
      <c r="O35" s="28">
        <f t="shared" si="1"/>
        <v>25.959417435897439</v>
      </c>
      <c r="P35" s="28">
        <f t="shared" si="2"/>
        <v>6.1494569722871498E-2</v>
      </c>
      <c r="Q35" s="37">
        <f t="shared" si="8"/>
        <v>0.21401709401709401</v>
      </c>
      <c r="R35" s="27"/>
      <c r="S35" s="27"/>
      <c r="T35" s="35">
        <f t="shared" si="3"/>
        <v>0.90663005763995763</v>
      </c>
      <c r="U35" s="36">
        <f t="shared" si="4"/>
        <v>6.1494569722871498E-2</v>
      </c>
      <c r="Y35" s="34"/>
      <c r="Z35" s="34"/>
      <c r="AA35" s="34"/>
      <c r="AC35" s="34"/>
      <c r="AD35" s="34"/>
      <c r="AF35" s="70"/>
      <c r="AG35" s="70"/>
    </row>
    <row r="36" spans="1:33" ht="15.4" x14ac:dyDescent="0.4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29">
        <v>3.3</v>
      </c>
      <c r="L36" s="27">
        <f t="shared" si="5"/>
        <v>6.6000000000000003E-2</v>
      </c>
      <c r="M36" s="27">
        <f t="shared" si="6"/>
        <v>23.301723626145293</v>
      </c>
      <c r="N36" s="27">
        <f t="shared" si="0"/>
        <v>6.3913325743652855E-2</v>
      </c>
      <c r="O36" s="28">
        <f t="shared" si="1"/>
        <v>24.839637385470883</v>
      </c>
      <c r="P36" s="28">
        <f t="shared" si="2"/>
        <v>6.3395833298122206E-2</v>
      </c>
      <c r="Q36" s="37">
        <f t="shared" si="8"/>
        <v>0.20440108443987098</v>
      </c>
      <c r="R36" s="27"/>
      <c r="S36" s="27"/>
      <c r="T36" s="35">
        <f t="shared" si="3"/>
        <v>0.91001786389670847</v>
      </c>
      <c r="U36" s="36">
        <f t="shared" si="4"/>
        <v>6.3395833298122206E-2</v>
      </c>
      <c r="Y36" s="34"/>
      <c r="Z36" s="34"/>
      <c r="AA36" s="34"/>
      <c r="AC36" s="34"/>
      <c r="AD36" s="34"/>
      <c r="AF36" s="70"/>
      <c r="AG36" s="70"/>
    </row>
    <row r="37" spans="1:33" ht="15.4" x14ac:dyDescent="0.4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29">
        <v>3.4</v>
      </c>
      <c r="L37" s="27">
        <f t="shared" si="5"/>
        <v>6.8000000000000005E-2</v>
      </c>
      <c r="M37" s="27">
        <f t="shared" si="6"/>
        <v>22.293873350729541</v>
      </c>
      <c r="N37" s="27">
        <f t="shared" si="0"/>
        <v>6.5787740538003153E-2</v>
      </c>
      <c r="O37" s="28">
        <f t="shared" si="1"/>
        <v>23.80985673857915</v>
      </c>
      <c r="P37" s="28">
        <f t="shared" si="2"/>
        <v>6.5291701855949416E-2</v>
      </c>
      <c r="Q37" s="37">
        <f t="shared" si="8"/>
        <v>0.19556029255025914</v>
      </c>
      <c r="R37" s="27"/>
      <c r="S37" s="27"/>
      <c r="T37" s="35">
        <f t="shared" si="3"/>
        <v>0.91316690377923726</v>
      </c>
      <c r="U37" s="36">
        <f t="shared" si="4"/>
        <v>6.5291701855949416E-2</v>
      </c>
      <c r="Y37" s="34"/>
      <c r="Z37" s="34"/>
      <c r="AA37" s="34"/>
      <c r="AC37" s="34"/>
      <c r="AD37" s="34"/>
      <c r="AF37" s="70"/>
      <c r="AG37" s="70"/>
    </row>
    <row r="38" spans="1:33" ht="15.4" x14ac:dyDescent="0.4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29">
        <v>3.5</v>
      </c>
      <c r="L38" s="27">
        <f t="shared" si="5"/>
        <v>7.0000000000000007E-2</v>
      </c>
      <c r="M38" s="27">
        <f t="shared" si="6"/>
        <v>21.36463946625609</v>
      </c>
      <c r="N38" s="27">
        <f t="shared" si="0"/>
        <v>6.7658648473814864E-2</v>
      </c>
      <c r="O38" s="28">
        <f t="shared" si="1"/>
        <v>22.860164228894018</v>
      </c>
      <c r="P38" s="28">
        <f t="shared" si="2"/>
        <v>6.7182395052379579E-2</v>
      </c>
      <c r="Q38" s="37">
        <f t="shared" si="8"/>
        <v>0.18740911812505343</v>
      </c>
      <c r="R38" s="27"/>
      <c r="S38" s="27"/>
      <c r="T38" s="35">
        <f t="shared" si="3"/>
        <v>0.91610088200773299</v>
      </c>
      <c r="U38" s="36">
        <f t="shared" si="4"/>
        <v>6.7182395052379579E-2</v>
      </c>
      <c r="Y38" s="34"/>
      <c r="Z38" s="34"/>
      <c r="AA38" s="34"/>
      <c r="AC38" s="34"/>
      <c r="AD38" s="34"/>
      <c r="AF38" s="70"/>
      <c r="AG38" s="70"/>
    </row>
    <row r="39" spans="1:33" ht="15.4" x14ac:dyDescent="0.4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29">
        <v>3.6</v>
      </c>
      <c r="L39" s="27">
        <f t="shared" si="5"/>
        <v>7.2000000000000008E-2</v>
      </c>
      <c r="M39" s="27">
        <f t="shared" si="6"/>
        <v>20.505587127258792</v>
      </c>
      <c r="N39" s="27">
        <f t="shared" si="0"/>
        <v>6.9526062648610304E-2</v>
      </c>
      <c r="O39" s="28">
        <f t="shared" si="1"/>
        <v>21.981989400421426</v>
      </c>
      <c r="P39" s="28">
        <f t="shared" si="2"/>
        <v>6.9068104536101529E-2</v>
      </c>
      <c r="Q39" s="37">
        <f t="shared" si="8"/>
        <v>0.17987357129174378</v>
      </c>
      <c r="R39" s="27"/>
      <c r="S39" s="27"/>
      <c r="T39" s="35">
        <f t="shared" si="3"/>
        <v>0.9188405564642913</v>
      </c>
      <c r="U39" s="36">
        <f t="shared" si="4"/>
        <v>6.9068104536101529E-2</v>
      </c>
      <c r="Y39" s="34"/>
      <c r="Z39" s="34"/>
      <c r="AA39" s="34"/>
      <c r="AC39" s="34"/>
      <c r="AD39" s="34"/>
      <c r="AF39" s="70"/>
      <c r="AG39" s="70"/>
    </row>
    <row r="40" spans="1:33" ht="15.4" x14ac:dyDescent="0.4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29">
        <v>3.7</v>
      </c>
      <c r="L40" s="27">
        <f t="shared" si="5"/>
        <v>7.400000000000001E-2</v>
      </c>
      <c r="M40" s="27">
        <f t="shared" si="6"/>
        <v>19.709397626334255</v>
      </c>
      <c r="N40" s="27">
        <f t="shared" si="0"/>
        <v>7.1389996086672999E-2</v>
      </c>
      <c r="O40" s="28">
        <f t="shared" si="1"/>
        <v>21.167893050682991</v>
      </c>
      <c r="P40" s="28">
        <f t="shared" si="2"/>
        <v>7.0948998314783768E-2</v>
      </c>
      <c r="Q40" s="37">
        <f t="shared" si="8"/>
        <v>0.17288945286258117</v>
      </c>
      <c r="R40" s="27"/>
      <c r="S40" s="27"/>
      <c r="T40" s="35">
        <f t="shared" si="3"/>
        <v>0.9214041674799297</v>
      </c>
      <c r="U40" s="36">
        <f t="shared" si="4"/>
        <v>7.0948998314783768E-2</v>
      </c>
      <c r="Y40" s="34"/>
      <c r="Z40" s="34"/>
      <c r="AA40" s="34"/>
      <c r="AC40" s="34"/>
      <c r="AD40" s="34"/>
      <c r="AF40" s="70"/>
      <c r="AG40" s="70"/>
    </row>
    <row r="41" spans="1:33" ht="15.4" x14ac:dyDescent="0.4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29">
        <v>3.8</v>
      </c>
      <c r="L41" s="27">
        <f t="shared" si="5"/>
        <v>7.5999999999999998E-2</v>
      </c>
      <c r="M41" s="27">
        <f t="shared" si="6"/>
        <v>18.969696969696972</v>
      </c>
      <c r="N41" s="27">
        <f t="shared" si="0"/>
        <v>7.3250461739592737E-2</v>
      </c>
      <c r="O41" s="28">
        <f t="shared" si="1"/>
        <v>20.411393939393943</v>
      </c>
      <c r="P41" s="28">
        <f t="shared" si="2"/>
        <v>7.2825224365855368E-2</v>
      </c>
      <c r="Q41" s="37">
        <f t="shared" si="8"/>
        <v>0.16640085061137694</v>
      </c>
      <c r="R41" s="27"/>
      <c r="S41" s="27"/>
      <c r="T41" s="35">
        <f t="shared" si="3"/>
        <v>0.92380779708781668</v>
      </c>
      <c r="U41" s="36">
        <f t="shared" si="4"/>
        <v>7.2825224365855368E-2</v>
      </c>
      <c r="Y41" s="34"/>
      <c r="Z41" s="34"/>
      <c r="AA41" s="34"/>
      <c r="AC41" s="34"/>
      <c r="AD41" s="34"/>
      <c r="AF41" s="70"/>
      <c r="AG41" s="70"/>
    </row>
    <row r="42" spans="1:33" ht="15.4" x14ac:dyDescent="0.4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29">
        <v>3.9</v>
      </c>
      <c r="L42" s="27">
        <f t="shared" si="5"/>
        <v>7.8E-2</v>
      </c>
      <c r="M42" s="27">
        <f t="shared" si="6"/>
        <v>18.280913784270194</v>
      </c>
      <c r="N42" s="27">
        <f t="shared" si="0"/>
        <v>7.5107472486805479E-2</v>
      </c>
      <c r="O42" s="28">
        <f t="shared" si="1"/>
        <v>19.706825059443268</v>
      </c>
      <c r="P42" s="28">
        <f t="shared" si="2"/>
        <v>7.4696913631400408E-2</v>
      </c>
      <c r="Q42" s="37">
        <f t="shared" si="8"/>
        <v>0.16035889284447538</v>
      </c>
      <c r="R42" s="27"/>
      <c r="S42" s="27"/>
      <c r="T42" s="35">
        <f t="shared" si="3"/>
        <v>0.92606567056681144</v>
      </c>
      <c r="U42" s="36">
        <f t="shared" si="4"/>
        <v>7.4696913631400408E-2</v>
      </c>
      <c r="Y42" s="34"/>
      <c r="Z42" s="34"/>
      <c r="AA42" s="34"/>
      <c r="AC42" s="34"/>
      <c r="AD42" s="34"/>
      <c r="AF42" s="70"/>
      <c r="AG42" s="70"/>
    </row>
    <row r="43" spans="1:33" ht="15.4" x14ac:dyDescent="0.4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29">
        <v>4</v>
      </c>
      <c r="L43" s="27">
        <f t="shared" si="5"/>
        <v>0.08</v>
      </c>
      <c r="M43" s="27">
        <f t="shared" si="6"/>
        <v>17.638161146811669</v>
      </c>
      <c r="N43" s="27">
        <f t="shared" si="0"/>
        <v>7.6961041136128394E-2</v>
      </c>
      <c r="O43" s="28">
        <f t="shared" si="1"/>
        <v>19.049214038556602</v>
      </c>
      <c r="P43" s="28">
        <f t="shared" si="2"/>
        <v>7.6564182510325138E-2</v>
      </c>
      <c r="Q43" s="37">
        <f t="shared" si="8"/>
        <v>0.15472071181413743</v>
      </c>
      <c r="R43" s="27"/>
      <c r="S43" s="27"/>
      <c r="T43" s="35">
        <f t="shared" si="3"/>
        <v>0.9281904103508638</v>
      </c>
      <c r="U43" s="36">
        <f t="shared" si="4"/>
        <v>7.6564182510325138E-2</v>
      </c>
      <c r="Y43" s="34"/>
      <c r="Z43" s="34"/>
      <c r="AA43" s="34"/>
      <c r="AC43" s="34"/>
      <c r="AD43" s="34"/>
      <c r="AF43" s="70"/>
      <c r="AG43" s="70"/>
    </row>
    <row r="44" spans="1:33" ht="15.4" x14ac:dyDescent="0.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29">
        <v>4.0999999999999996</v>
      </c>
      <c r="L44" s="27">
        <f t="shared" si="5"/>
        <v>8.199999999999999E-2</v>
      </c>
      <c r="M44" s="27">
        <f t="shared" si="6"/>
        <v>17.037137965971425</v>
      </c>
      <c r="N44" s="27">
        <f t="shared" si="0"/>
        <v>7.8811180424289848E-2</v>
      </c>
      <c r="O44" s="28">
        <f t="shared" si="1"/>
        <v>18.434183279181084</v>
      </c>
      <c r="P44" s="28">
        <f t="shared" si="2"/>
        <v>7.8427134939306906E-2</v>
      </c>
      <c r="Q44" s="37">
        <f t="shared" si="8"/>
        <v>0.14944857864887215</v>
      </c>
      <c r="R44" s="27"/>
      <c r="S44" s="27"/>
      <c r="T44" s="35">
        <f t="shared" si="3"/>
        <v>0.9301932505323558</v>
      </c>
      <c r="U44" s="36">
        <f t="shared" si="4"/>
        <v>7.8427134939306906E-2</v>
      </c>
      <c r="Y44" s="34"/>
      <c r="Z44" s="34"/>
      <c r="AA44" s="34"/>
      <c r="AC44" s="34"/>
      <c r="AD44" s="34"/>
      <c r="AF44" s="70"/>
      <c r="AG44" s="70"/>
    </row>
    <row r="45" spans="1:33" ht="15.4" x14ac:dyDescent="0.4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29">
        <v>4.2</v>
      </c>
      <c r="L45" s="27">
        <f t="shared" si="5"/>
        <v>8.4000000000000005E-2</v>
      </c>
      <c r="M45" s="27">
        <f t="shared" si="6"/>
        <v>16.474046388919422</v>
      </c>
      <c r="N45" s="27">
        <f t="shared" si="0"/>
        <v>8.0657903017454541E-2</v>
      </c>
      <c r="O45" s="28">
        <f t="shared" si="1"/>
        <v>17.857866285588656</v>
      </c>
      <c r="P45" s="28">
        <f t="shared" si="2"/>
        <v>8.0285864136504778E-2</v>
      </c>
      <c r="Q45" s="37">
        <f t="shared" si="8"/>
        <v>0.14450917885017037</v>
      </c>
      <c r="R45" s="27"/>
      <c r="S45" s="27"/>
      <c r="T45" s="35">
        <f t="shared" si="3"/>
        <v>0.93208421868030789</v>
      </c>
      <c r="U45" s="36">
        <f t="shared" si="4"/>
        <v>8.0285864136504778E-2</v>
      </c>
      <c r="Y45" s="34"/>
      <c r="Z45" s="34"/>
      <c r="AA45" s="34"/>
      <c r="AC45" s="34"/>
      <c r="AD45" s="34"/>
      <c r="AF45" s="70"/>
      <c r="AG45" s="70"/>
    </row>
    <row r="46" spans="1:33" ht="15.4" x14ac:dyDescent="0.4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29">
        <v>4.3</v>
      </c>
      <c r="L46" s="27">
        <f t="shared" si="5"/>
        <v>8.5999999999999993E-2</v>
      </c>
      <c r="M46" s="27">
        <f t="shared" si="6"/>
        <v>15.945522380304089</v>
      </c>
      <c r="N46" s="27">
        <f t="shared" si="0"/>
        <v>8.2501221511743772E-2</v>
      </c>
      <c r="O46" s="28">
        <f t="shared" si="1"/>
        <v>17.316837305010242</v>
      </c>
      <c r="P46" s="28">
        <f t="shared" si="2"/>
        <v>8.214045406788939E-2</v>
      </c>
      <c r="Q46" s="37">
        <f t="shared" si="8"/>
        <v>0.13987300333600078</v>
      </c>
      <c r="R46" s="27"/>
      <c r="S46" s="27"/>
      <c r="T46" s="35">
        <f t="shared" si="3"/>
        <v>0.93387229046967557</v>
      </c>
      <c r="U46" s="36">
        <f t="shared" si="4"/>
        <v>8.214045406788939E-2</v>
      </c>
      <c r="Y46" s="34"/>
      <c r="Z46" s="34"/>
      <c r="AA46" s="34"/>
      <c r="AC46" s="34"/>
      <c r="AD46" s="34"/>
      <c r="AF46" s="70"/>
      <c r="AG46" s="70"/>
    </row>
    <row r="47" spans="1:33" ht="15.4" x14ac:dyDescent="0.4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29">
        <v>4.4000000000000004</v>
      </c>
      <c r="L47" s="27">
        <f t="shared" si="5"/>
        <v>8.8000000000000009E-2</v>
      </c>
      <c r="M47" s="27">
        <f t="shared" si="6"/>
        <v>15.448577163773761</v>
      </c>
      <c r="N47" s="27">
        <f t="shared" si="0"/>
        <v>8.4341148433750956E-2</v>
      </c>
      <c r="O47" s="28">
        <f t="shared" si="1"/>
        <v>16.808051954185853</v>
      </c>
      <c r="P47" s="28">
        <f t="shared" si="2"/>
        <v>8.3990980684705424E-2</v>
      </c>
      <c r="Q47" s="37">
        <f t="shared" si="8"/>
        <v>0.13551383476994527</v>
      </c>
      <c r="R47" s="27"/>
      <c r="S47" s="27"/>
      <c r="T47" s="35">
        <f t="shared" si="3"/>
        <v>0.93556552162460305</v>
      </c>
      <c r="U47" s="36">
        <f t="shared" si="4"/>
        <v>8.3990980684705424E-2</v>
      </c>
      <c r="Z47" s="34"/>
      <c r="AA47" s="34"/>
      <c r="AC47" s="34"/>
      <c r="AD47" s="34"/>
      <c r="AF47" s="70"/>
      <c r="AG47" s="70"/>
    </row>
    <row r="48" spans="1:33" ht="15.4" x14ac:dyDescent="0.4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29">
        <v>4.5</v>
      </c>
      <c r="L48" s="27">
        <f t="shared" si="5"/>
        <v>0.09</v>
      </c>
      <c r="M48" s="27">
        <f t="shared" si="6"/>
        <v>14.980547651257172</v>
      </c>
      <c r="N48" s="27">
        <f t="shared" si="0"/>
        <v>8.6177696241052412E-2</v>
      </c>
      <c r="O48" s="28">
        <f t="shared" si="1"/>
        <v>16.328796939870319</v>
      </c>
      <c r="P48" s="28">
        <f t="shared" si="2"/>
        <v>8.5837512971471783E-2</v>
      </c>
      <c r="Q48" s="37">
        <f t="shared" si="8"/>
        <v>0.13140831273032608</v>
      </c>
      <c r="R48" s="27"/>
      <c r="S48" s="27"/>
      <c r="T48" s="35">
        <f t="shared" si="3"/>
        <v>0.9371711608730724</v>
      </c>
      <c r="U48" s="36">
        <f t="shared" si="4"/>
        <v>8.5837512971471783E-2</v>
      </c>
      <c r="Z48" s="34"/>
      <c r="AA48" s="34"/>
      <c r="AC48" s="34"/>
      <c r="AD48" s="34"/>
      <c r="AF48" s="70"/>
      <c r="AG48" s="70"/>
    </row>
    <row r="49" spans="1:33" ht="15.4" x14ac:dyDescent="0.4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29">
        <v>4.5999999999999996</v>
      </c>
      <c r="L49" s="27">
        <f t="shared" si="5"/>
        <v>9.1999999999999998E-2</v>
      </c>
      <c r="M49" s="27">
        <f t="shared" si="6"/>
        <v>14.539054334154166</v>
      </c>
      <c r="N49" s="27">
        <f t="shared" si="0"/>
        <v>8.8010877322713371E-2</v>
      </c>
      <c r="O49" s="28">
        <f t="shared" si="1"/>
        <v>15.876647332896351</v>
      </c>
      <c r="P49" s="28">
        <f t="shared" si="2"/>
        <v>8.7680113836611367E-2</v>
      </c>
      <c r="Q49" s="37">
        <f t="shared" si="8"/>
        <v>0.12753556433468566</v>
      </c>
      <c r="R49" s="27"/>
      <c r="S49" s="27"/>
      <c r="T49" s="35">
        <f t="shared" si="3"/>
        <v>0.93869574695688496</v>
      </c>
      <c r="U49" s="36">
        <f t="shared" si="4"/>
        <v>8.7680113836611367E-2</v>
      </c>
      <c r="Z49" s="34"/>
      <c r="AA49" s="34"/>
      <c r="AC49" s="34"/>
      <c r="AD49" s="34"/>
      <c r="AF49" s="70"/>
      <c r="AG49" s="70"/>
    </row>
    <row r="50" spans="1:33" ht="15.4" x14ac:dyDescent="0.4">
      <c r="A50" s="142"/>
      <c r="B50" s="142"/>
      <c r="C50" s="142"/>
      <c r="D50" s="142"/>
      <c r="E50" s="142"/>
      <c r="F50" s="45"/>
      <c r="G50" s="45"/>
      <c r="H50" s="45"/>
      <c r="I50" s="45"/>
      <c r="J50" s="45"/>
      <c r="K50" s="29">
        <v>4.7</v>
      </c>
      <c r="L50" s="27">
        <f t="shared" si="5"/>
        <v>9.4E-2</v>
      </c>
      <c r="M50" s="27">
        <f t="shared" si="6"/>
        <v>14.121965390930905</v>
      </c>
      <c r="N50" s="27">
        <f t="shared" si="0"/>
        <v>8.9840703999789537E-2</v>
      </c>
      <c r="O50" s="28">
        <f t="shared" si="1"/>
        <v>15.44943013767841</v>
      </c>
      <c r="P50" s="28">
        <f t="shared" si="2"/>
        <v>8.9518840871921232E-2</v>
      </c>
      <c r="Q50" s="37">
        <f t="shared" si="8"/>
        <v>0.12387688939413075</v>
      </c>
      <c r="R50" s="27"/>
      <c r="S50" s="27"/>
      <c r="T50" s="35">
        <f t="shared" si="3"/>
        <v>0.94014519220994996</v>
      </c>
      <c r="U50" s="36">
        <f t="shared" si="4"/>
        <v>8.9518840871921232E-2</v>
      </c>
      <c r="Z50" s="34"/>
      <c r="AA50" s="34"/>
      <c r="AC50" s="34"/>
      <c r="AD50" s="34"/>
      <c r="AF50" s="70"/>
      <c r="AG50" s="70"/>
    </row>
    <row r="51" spans="1:33" ht="15.4" x14ac:dyDescent="0.4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29">
        <v>4.8</v>
      </c>
      <c r="L51" s="27">
        <f t="shared" si="5"/>
        <v>9.6000000000000002E-2</v>
      </c>
      <c r="M51" s="27">
        <f t="shared" si="6"/>
        <v>13.727365991279816</v>
      </c>
      <c r="N51" s="27">
        <f t="shared" si="0"/>
        <v>9.1667188525823867E-2</v>
      </c>
      <c r="O51" s="28">
        <f t="shared" si="1"/>
        <v>15.04519312644268</v>
      </c>
      <c r="P51" s="28">
        <f t="shared" si="2"/>
        <v>9.1353747002356309E-2</v>
      </c>
      <c r="Q51" s="37">
        <f t="shared" si="8"/>
        <v>0.12041549115157733</v>
      </c>
      <c r="R51" s="27"/>
      <c r="S51" s="27"/>
      <c r="T51" s="35">
        <f t="shared" si="3"/>
        <v>0.94152485478561576</v>
      </c>
      <c r="U51" s="36">
        <f t="shared" si="4"/>
        <v>9.1353747002356309E-2</v>
      </c>
      <c r="Z51" s="34"/>
      <c r="AA51" s="34"/>
      <c r="AC51" s="34"/>
      <c r="AD51" s="34"/>
      <c r="AF51" s="70"/>
      <c r="AG51" s="70"/>
    </row>
    <row r="52" spans="1:33" ht="15.4" x14ac:dyDescent="0.4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29">
        <v>4.9000000000000004</v>
      </c>
      <c r="L52" s="27">
        <f t="shared" si="5"/>
        <v>9.8000000000000004E-2</v>
      </c>
      <c r="M52" s="27">
        <f t="shared" si="6"/>
        <v>13.353531959093582</v>
      </c>
      <c r="N52" s="27">
        <f t="shared" si="0"/>
        <v>9.3490343087338973E-2</v>
      </c>
      <c r="O52" s="28">
        <f t="shared" si="1"/>
        <v>14.662178091084753</v>
      </c>
      <c r="P52" s="28">
        <f t="shared" si="2"/>
        <v>9.3184881043774703E-2</v>
      </c>
      <c r="Q52" s="37">
        <f t="shared" si="8"/>
        <v>0.11713624525520686</v>
      </c>
      <c r="R52" s="27"/>
      <c r="S52" s="27"/>
      <c r="T52" s="35">
        <f t="shared" si="3"/>
        <v>0.94283960126110589</v>
      </c>
      <c r="U52" s="36">
        <f t="shared" si="4"/>
        <v>9.3184881043774703E-2</v>
      </c>
      <c r="Z52" s="34"/>
      <c r="AA52" s="34"/>
      <c r="AC52" s="34"/>
      <c r="AD52" s="34"/>
      <c r="AF52" s="70"/>
      <c r="AG52" s="70"/>
    </row>
    <row r="53" spans="1:33" ht="15.4" x14ac:dyDescent="0.4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29">
        <v>5</v>
      </c>
      <c r="L53" s="27">
        <f t="shared" si="5"/>
        <v>0.1</v>
      </c>
      <c r="M53" s="27">
        <f t="shared" si="6"/>
        <v>12.998907103825136</v>
      </c>
      <c r="N53" s="27">
        <f t="shared" si="0"/>
        <v>9.5310179804324935E-2</v>
      </c>
      <c r="O53" s="28">
        <f t="shared" si="1"/>
        <v>14.298797814207651</v>
      </c>
      <c r="P53" s="28">
        <f t="shared" si="2"/>
        <v>9.5012288183195612E-2</v>
      </c>
      <c r="Q53" s="37">
        <f t="shared" si="8"/>
        <v>0.11402550091074681</v>
      </c>
      <c r="R53" s="27"/>
      <c r="S53" s="27"/>
      <c r="T53" s="35">
        <f t="shared" si="3"/>
        <v>0.94409386105863657</v>
      </c>
      <c r="U53" s="36">
        <f t="shared" si="4"/>
        <v>9.5012288183195612E-2</v>
      </c>
      <c r="Z53" s="34"/>
      <c r="AA53" s="34"/>
      <c r="AC53" s="34"/>
      <c r="AD53" s="34"/>
      <c r="AF53" s="70"/>
      <c r="AG53" s="70"/>
    </row>
    <row r="54" spans="1:33" ht="15.4" x14ac:dyDescent="0.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29">
        <v>5.0999999999999996</v>
      </c>
      <c r="L54" s="27">
        <f t="shared" si="5"/>
        <v>0.10199999999999999</v>
      </c>
      <c r="M54" s="27">
        <f t="shared" si="6"/>
        <v>12.662083649343511</v>
      </c>
      <c r="N54" s="27">
        <f t="shared" si="0"/>
        <v>9.7126710730722821E-2</v>
      </c>
      <c r="O54" s="28">
        <f t="shared" si="1"/>
        <v>13.953616181576551</v>
      </c>
      <c r="P54" s="28">
        <f t="shared" si="2"/>
        <v>9.6836010393606647E-2</v>
      </c>
      <c r="Q54" s="37">
        <f t="shared" si="8"/>
        <v>0.11107090920476764</v>
      </c>
      <c r="R54" s="27"/>
      <c r="S54" s="27"/>
      <c r="T54" s="35">
        <f t="shared" si="3"/>
        <v>0.94529167388616542</v>
      </c>
      <c r="U54" s="36">
        <f t="shared" si="4"/>
        <v>9.6836010393606647E-2</v>
      </c>
      <c r="Z54" s="34"/>
      <c r="AA54" s="34"/>
      <c r="AC54" s="34"/>
      <c r="AD54" s="34"/>
      <c r="AF54" s="70"/>
      <c r="AG54" s="70"/>
    </row>
    <row r="55" spans="1:33" ht="15.4" x14ac:dyDescent="0.4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29">
        <v>5.2</v>
      </c>
      <c r="L55" s="27">
        <f t="shared" si="5"/>
        <v>0.10400000000000001</v>
      </c>
      <c r="M55" s="27">
        <f t="shared" si="6"/>
        <v>12.341785286683518</v>
      </c>
      <c r="N55" s="27">
        <f t="shared" si="0"/>
        <v>9.8939947854903648E-2</v>
      </c>
      <c r="O55" s="28">
        <f t="shared" si="1"/>
        <v>13.625330956498605</v>
      </c>
      <c r="P55" s="28">
        <f t="shared" si="2"/>
        <v>9.8656086793309922E-2</v>
      </c>
      <c r="Q55" s="37">
        <f t="shared" si="8"/>
        <v>0.10826127444459226</v>
      </c>
      <c r="R55" s="27"/>
      <c r="S55" s="27"/>
      <c r="T55" s="35">
        <f t="shared" si="3"/>
        <v>0.94643673120608074</v>
      </c>
      <c r="U55" s="36">
        <f t="shared" si="4"/>
        <v>9.8656086793309922E-2</v>
      </c>
      <c r="Z55" s="34"/>
      <c r="AA55" s="34"/>
      <c r="AC55" s="34"/>
      <c r="AD55" s="34"/>
      <c r="AF55" s="70"/>
      <c r="AG55" s="70"/>
    </row>
    <row r="56" spans="1:33" ht="15.4" x14ac:dyDescent="0.4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29">
        <v>5.3</v>
      </c>
      <c r="L56" s="27">
        <f t="shared" si="5"/>
        <v>0.106</v>
      </c>
      <c r="M56" s="27">
        <f t="shared" si="6"/>
        <v>12.036852456512195</v>
      </c>
      <c r="N56" s="27">
        <f t="shared" si="0"/>
        <v>0.10074990310014315</v>
      </c>
      <c r="O56" s="28">
        <f t="shared" si="1"/>
        <v>13.312758816902489</v>
      </c>
      <c r="P56" s="28">
        <f t="shared" si="2"/>
        <v>0.10047255395812435</v>
      </c>
      <c r="Q56" s="37">
        <f t="shared" si="8"/>
        <v>0.10558642505712451</v>
      </c>
      <c r="R56" s="27"/>
      <c r="S56" s="27"/>
      <c r="T56" s="35">
        <f t="shared" si="3"/>
        <v>0.94753241257956844</v>
      </c>
      <c r="U56" s="36">
        <f t="shared" si="4"/>
        <v>0.10047255395812435</v>
      </c>
      <c r="Z56" s="34"/>
      <c r="AA56" s="34"/>
      <c r="AC56" s="34"/>
      <c r="AD56" s="34"/>
      <c r="AF56" s="70"/>
      <c r="AG56" s="70"/>
    </row>
    <row r="57" spans="1:33" ht="15.4" x14ac:dyDescent="0.4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29">
        <v>5.4</v>
      </c>
      <c r="L57" s="27">
        <f t="shared" si="5"/>
        <v>0.10800000000000001</v>
      </c>
      <c r="M57" s="27">
        <f t="shared" si="6"/>
        <v>11.746229532181568</v>
      </c>
      <c r="N57" s="27">
        <f t="shared" si="0"/>
        <v>0.10255658832509215</v>
      </c>
      <c r="O57" s="28">
        <f t="shared" si="1"/>
        <v>13.014822321657178</v>
      </c>
      <c r="P57" s="28">
        <f t="shared" si="2"/>
        <v>0.10228544619339096</v>
      </c>
      <c r="Q57" s="37">
        <f t="shared" si="8"/>
        <v>0.10303710115948743</v>
      </c>
      <c r="R57" s="27"/>
      <c r="S57" s="27"/>
      <c r="T57" s="35">
        <f t="shared" si="3"/>
        <v>0.94858181760154103</v>
      </c>
      <c r="U57" s="36">
        <f t="shared" si="4"/>
        <v>0.10228544619339096</v>
      </c>
      <c r="Z57" s="34"/>
      <c r="AA57" s="34"/>
      <c r="AC57" s="34"/>
      <c r="AD57" s="34"/>
      <c r="AF57" s="70"/>
      <c r="AG57" s="70"/>
    </row>
    <row r="58" spans="1:33" ht="15.4" x14ac:dyDescent="0.4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29">
        <v>5.5</v>
      </c>
      <c r="L58" s="27">
        <f t="shared" si="5"/>
        <v>0.11</v>
      </c>
      <c r="M58" s="27">
        <f t="shared" si="6"/>
        <v>11.468953627677292</v>
      </c>
      <c r="N58" s="27">
        <f t="shared" si="0"/>
        <v>0.10436001532424286</v>
      </c>
      <c r="O58" s="28">
        <f t="shared" si="1"/>
        <v>12.730538526721796</v>
      </c>
      <c r="P58" s="28">
        <f t="shared" si="2"/>
        <v>0.10409479577160281</v>
      </c>
      <c r="Q58" s="37">
        <f t="shared" si="8"/>
        <v>0.10060485638313414</v>
      </c>
      <c r="R58" s="27"/>
      <c r="S58" s="27"/>
      <c r="T58" s="35">
        <f t="shared" si="3"/>
        <v>0.94958779403075455</v>
      </c>
      <c r="U58" s="36">
        <f t="shared" si="4"/>
        <v>0.10409479577160281</v>
      </c>
      <c r="Z58" s="34"/>
      <c r="AA58" s="34"/>
      <c r="AC58" s="34"/>
      <c r="AD58" s="34"/>
      <c r="AF58" s="70"/>
      <c r="AG58" s="70"/>
    </row>
    <row r="59" spans="1:33" ht="15.4" x14ac:dyDescent="0.4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29">
        <v>5.6</v>
      </c>
      <c r="L59" s="27">
        <f t="shared" si="5"/>
        <v>0.11199999999999999</v>
      </c>
      <c r="M59" s="27">
        <f t="shared" si="6"/>
        <v>11.204144798815772</v>
      </c>
      <c r="N59" s="27">
        <f t="shared" si="0"/>
        <v>0.10616019582839072</v>
      </c>
      <c r="O59" s="28">
        <f t="shared" si="1"/>
        <v>12.45900901628314</v>
      </c>
      <c r="P59" s="28">
        <f t="shared" si="2"/>
        <v>0.10590063314055148</v>
      </c>
      <c r="Q59" s="37">
        <f t="shared" si="8"/>
        <v>9.8281971919436592E-2</v>
      </c>
      <c r="R59" s="27"/>
      <c r="S59" s="27"/>
      <c r="T59" s="35">
        <f t="shared" si="3"/>
        <v>0.95055296262798361</v>
      </c>
      <c r="U59" s="36">
        <f t="shared" si="4"/>
        <v>0.10590063314055148</v>
      </c>
      <c r="Z59" s="34"/>
      <c r="AA59" s="34"/>
      <c r="AC59" s="34"/>
      <c r="AD59" s="34"/>
      <c r="AF59" s="70"/>
      <c r="AG59" s="70"/>
    </row>
    <row r="60" spans="1:33" ht="15.4" x14ac:dyDescent="0.4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29">
        <v>5.7</v>
      </c>
      <c r="L60" s="27">
        <f t="shared" si="5"/>
        <v>0.114</v>
      </c>
      <c r="M60" s="27">
        <f t="shared" si="6"/>
        <v>10.950997442455243</v>
      </c>
      <c r="N60" s="27">
        <f t="shared" si="0"/>
        <v>0.10795714150509236</v>
      </c>
      <c r="O60" s="28">
        <f t="shared" si="1"/>
        <v>12.199411150895141</v>
      </c>
      <c r="P60" s="28">
        <f t="shared" si="2"/>
        <v>0.10770298710611538</v>
      </c>
      <c r="Q60" s="37">
        <f t="shared" si="8"/>
        <v>9.6061381074168797E-2</v>
      </c>
      <c r="R60" s="40"/>
      <c r="S60" s="40"/>
      <c r="T60" s="35">
        <f t="shared" si="3"/>
        <v>0.95147973913851625</v>
      </c>
      <c r="U60" s="36">
        <f t="shared" si="4"/>
        <v>0.10770298710611538</v>
      </c>
      <c r="Z60" s="34"/>
      <c r="AA60" s="34"/>
      <c r="AC60" s="34"/>
      <c r="AD60" s="34"/>
      <c r="AF60" s="70"/>
      <c r="AG60" s="70"/>
    </row>
    <row r="61" spans="1:33" ht="15.4" x14ac:dyDescent="0.4"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Z61" s="34"/>
      <c r="AA61" s="34"/>
      <c r="AF61" s="71"/>
      <c r="AG61" s="71"/>
    </row>
    <row r="62" spans="1:33" ht="15.4" x14ac:dyDescent="0.4"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Z62" s="34"/>
      <c r="AA62" s="34"/>
      <c r="AF62" s="71"/>
      <c r="AG62" s="71"/>
    </row>
    <row r="63" spans="1:33" ht="15.4" x14ac:dyDescent="0.4"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Z63" s="34"/>
      <c r="AA63" s="34"/>
      <c r="AF63" s="71"/>
      <c r="AG63" s="71"/>
    </row>
    <row r="64" spans="1:33" ht="15.4" x14ac:dyDescent="0.4"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Z64" s="34"/>
      <c r="AA64" s="34"/>
      <c r="AF64" s="71"/>
      <c r="AG64" s="71"/>
    </row>
    <row r="65" spans="7:34" ht="15.4" x14ac:dyDescent="0.4"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7"/>
      <c r="W65" s="77"/>
      <c r="X65" s="77"/>
      <c r="Y65" s="77"/>
      <c r="Z65" s="83"/>
      <c r="AA65" s="83"/>
      <c r="AB65" s="77"/>
      <c r="AC65" s="77"/>
      <c r="AD65" s="77"/>
      <c r="AE65" s="77"/>
      <c r="AF65" s="85"/>
      <c r="AG65" s="85"/>
    </row>
    <row r="66" spans="7:34" ht="25.15" x14ac:dyDescent="0.4">
      <c r="K66" s="77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77"/>
      <c r="W66" s="77"/>
      <c r="X66" s="77"/>
      <c r="Y66" s="77"/>
      <c r="Z66" s="83"/>
      <c r="AA66" s="83"/>
      <c r="AB66" s="77"/>
      <c r="AC66" s="77"/>
      <c r="AD66" s="77"/>
      <c r="AE66" s="77"/>
      <c r="AF66" s="85"/>
      <c r="AG66" s="85"/>
    </row>
    <row r="67" spans="7:34" ht="15.75" x14ac:dyDescent="0.4">
      <c r="K67" s="77"/>
      <c r="L67" s="76"/>
      <c r="M67" s="76"/>
      <c r="N67" s="78"/>
      <c r="O67" s="79"/>
      <c r="P67" s="76"/>
      <c r="Q67" s="82"/>
      <c r="R67" s="79"/>
      <c r="S67" s="82"/>
      <c r="T67" s="79"/>
      <c r="U67" s="82"/>
      <c r="V67" s="77"/>
      <c r="W67" s="77"/>
      <c r="X67" s="77"/>
      <c r="Y67" s="77"/>
      <c r="Z67" s="77"/>
      <c r="AA67" s="82"/>
      <c r="AB67" s="77"/>
      <c r="AC67" s="77"/>
      <c r="AD67" s="82"/>
      <c r="AE67" s="77"/>
      <c r="AF67" s="85"/>
      <c r="AG67" s="87"/>
      <c r="AH67" s="41"/>
    </row>
    <row r="68" spans="7:34" ht="15.4" x14ac:dyDescent="0.4">
      <c r="K68" s="77"/>
      <c r="L68" s="76"/>
      <c r="M68" s="76"/>
      <c r="N68" s="76"/>
      <c r="O68" s="76"/>
      <c r="P68" s="76"/>
      <c r="Q68" s="76"/>
      <c r="R68" s="76"/>
      <c r="S68" s="76"/>
      <c r="T68" s="83"/>
      <c r="U68" s="83"/>
      <c r="V68" s="77"/>
      <c r="W68" s="77"/>
      <c r="X68" s="77"/>
      <c r="Y68" s="77"/>
      <c r="Z68" s="77"/>
      <c r="AA68" s="83"/>
      <c r="AB68" s="77"/>
      <c r="AC68" s="83"/>
      <c r="AD68" s="83"/>
      <c r="AE68" s="77"/>
      <c r="AF68" s="86"/>
      <c r="AG68" s="86"/>
      <c r="AH68" s="41"/>
    </row>
    <row r="69" spans="7:34" ht="15.4" x14ac:dyDescent="0.4">
      <c r="K69" s="77"/>
      <c r="L69" s="76"/>
      <c r="M69" s="76"/>
      <c r="N69" s="76"/>
      <c r="O69" s="76"/>
      <c r="P69" s="76"/>
      <c r="Q69" s="76"/>
      <c r="R69" s="76"/>
      <c r="S69" s="76"/>
      <c r="T69" s="83"/>
      <c r="U69" s="83"/>
      <c r="V69" s="77"/>
      <c r="W69" s="77"/>
      <c r="X69" s="77"/>
      <c r="Y69" s="77"/>
      <c r="Z69" s="83"/>
      <c r="AA69" s="83"/>
      <c r="AB69" s="77"/>
      <c r="AC69" s="83"/>
      <c r="AD69" s="83"/>
      <c r="AE69" s="77"/>
      <c r="AF69" s="86"/>
      <c r="AG69" s="86"/>
      <c r="AH69" s="41"/>
    </row>
    <row r="70" spans="7:34" ht="15.4" x14ac:dyDescent="0.4">
      <c r="K70" s="77"/>
      <c r="L70" s="76"/>
      <c r="M70" s="76"/>
      <c r="N70" s="76"/>
      <c r="O70" s="76"/>
      <c r="P70" s="76"/>
      <c r="Q70" s="76"/>
      <c r="R70" s="76"/>
      <c r="S70" s="76"/>
      <c r="T70" s="83"/>
      <c r="U70" s="83"/>
      <c r="V70" s="77"/>
      <c r="W70" s="77"/>
      <c r="X70" s="77"/>
      <c r="Y70" s="77"/>
      <c r="Z70" s="83"/>
      <c r="AA70" s="77"/>
      <c r="AB70" s="77"/>
      <c r="AC70" s="83"/>
      <c r="AD70" s="83"/>
      <c r="AE70" s="77"/>
      <c r="AF70" s="86"/>
      <c r="AG70" s="86"/>
      <c r="AH70" s="41"/>
    </row>
    <row r="71" spans="7:34" ht="15.4" x14ac:dyDescent="0.4">
      <c r="K71" s="77"/>
      <c r="L71" s="76"/>
      <c r="M71" s="76"/>
      <c r="N71" s="76"/>
      <c r="O71" s="76"/>
      <c r="P71" s="76"/>
      <c r="Q71" s="76"/>
      <c r="R71" s="76"/>
      <c r="S71" s="76"/>
      <c r="T71" s="83"/>
      <c r="U71" s="83"/>
      <c r="V71" s="77"/>
      <c r="W71" s="77"/>
      <c r="X71" s="77"/>
      <c r="Y71" s="83"/>
      <c r="Z71" s="83"/>
      <c r="AA71" s="83"/>
      <c r="AB71" s="77"/>
      <c r="AC71" s="83"/>
      <c r="AD71" s="83"/>
      <c r="AE71" s="77"/>
      <c r="AF71" s="86"/>
      <c r="AG71" s="86"/>
      <c r="AH71" s="41"/>
    </row>
    <row r="72" spans="7:34" ht="15.4" x14ac:dyDescent="0.4">
      <c r="K72" s="77"/>
      <c r="L72" s="76"/>
      <c r="M72" s="76"/>
      <c r="N72" s="76"/>
      <c r="O72" s="76"/>
      <c r="P72" s="76"/>
      <c r="Q72" s="76"/>
      <c r="R72" s="76"/>
      <c r="S72" s="76"/>
      <c r="T72" s="83"/>
      <c r="U72" s="83"/>
      <c r="V72" s="77"/>
      <c r="W72" s="77"/>
      <c r="X72" s="77"/>
      <c r="Y72" s="83"/>
      <c r="Z72" s="83"/>
      <c r="AA72" s="83"/>
      <c r="AB72" s="77"/>
      <c r="AC72" s="83"/>
      <c r="AD72" s="83"/>
      <c r="AE72" s="77"/>
      <c r="AF72" s="86"/>
      <c r="AG72" s="86"/>
      <c r="AH72" s="41"/>
    </row>
    <row r="73" spans="7:34" ht="15.4" x14ac:dyDescent="0.4">
      <c r="K73" s="77"/>
      <c r="L73" s="76"/>
      <c r="M73" s="76"/>
      <c r="N73" s="76"/>
      <c r="O73" s="76"/>
      <c r="P73" s="76"/>
      <c r="Q73" s="76"/>
      <c r="R73" s="76"/>
      <c r="S73" s="76"/>
      <c r="T73" s="83"/>
      <c r="U73" s="83"/>
      <c r="V73" s="77"/>
      <c r="W73" s="77"/>
      <c r="X73" s="77"/>
      <c r="Y73" s="83"/>
      <c r="Z73" s="83"/>
      <c r="AA73" s="83"/>
      <c r="AB73" s="77"/>
      <c r="AC73" s="83"/>
      <c r="AD73" s="83"/>
      <c r="AE73" s="77"/>
      <c r="AF73" s="86"/>
      <c r="AG73" s="86"/>
      <c r="AH73" s="41"/>
    </row>
    <row r="74" spans="7:34" ht="15.4" x14ac:dyDescent="0.4">
      <c r="K74" s="77"/>
      <c r="L74" s="76"/>
      <c r="M74" s="76"/>
      <c r="N74" s="76"/>
      <c r="O74" s="76"/>
      <c r="P74" s="76"/>
      <c r="Q74" s="76"/>
      <c r="R74" s="76"/>
      <c r="S74" s="76"/>
      <c r="T74" s="83"/>
      <c r="U74" s="83"/>
      <c r="V74" s="77"/>
      <c r="W74" s="77"/>
      <c r="X74" s="77"/>
      <c r="Y74" s="83"/>
      <c r="Z74" s="83"/>
      <c r="AA74" s="83"/>
      <c r="AB74" s="77"/>
      <c r="AC74" s="83"/>
      <c r="AD74" s="83"/>
      <c r="AE74" s="77"/>
      <c r="AF74" s="86"/>
      <c r="AG74" s="86"/>
      <c r="AH74" s="41"/>
    </row>
    <row r="75" spans="7:34" s="41" customFormat="1" ht="15.4" x14ac:dyDescent="0.4">
      <c r="K75" s="77"/>
      <c r="L75" s="76"/>
      <c r="M75" s="76"/>
      <c r="N75" s="76"/>
      <c r="O75" s="76"/>
      <c r="P75" s="76"/>
      <c r="Q75" s="76"/>
      <c r="R75" s="76"/>
      <c r="S75" s="76"/>
      <c r="T75" s="83"/>
      <c r="U75" s="83"/>
      <c r="V75" s="77"/>
      <c r="W75" s="77"/>
      <c r="X75" s="77"/>
      <c r="Y75" s="83"/>
      <c r="Z75" s="83"/>
      <c r="AA75" s="83"/>
      <c r="AB75" s="77"/>
      <c r="AC75" s="83"/>
      <c r="AD75" s="83"/>
      <c r="AE75" s="77"/>
      <c r="AF75" s="86"/>
      <c r="AG75" s="86"/>
    </row>
    <row r="76" spans="7:34" ht="15.4" x14ac:dyDescent="0.4">
      <c r="K76" s="77"/>
      <c r="L76" s="76"/>
      <c r="M76" s="76"/>
      <c r="N76" s="76"/>
      <c r="O76" s="76"/>
      <c r="P76" s="76"/>
      <c r="Q76" s="76"/>
      <c r="R76" s="76"/>
      <c r="S76" s="76"/>
      <c r="T76" s="83"/>
      <c r="U76" s="83"/>
      <c r="V76" s="77"/>
      <c r="W76" s="77"/>
      <c r="X76" s="77"/>
      <c r="Y76" s="83"/>
      <c r="Z76" s="83"/>
      <c r="AA76" s="83"/>
      <c r="AB76" s="77"/>
      <c r="AC76" s="83"/>
      <c r="AD76" s="83"/>
      <c r="AE76" s="77"/>
      <c r="AF76" s="86"/>
      <c r="AG76" s="86"/>
      <c r="AH76" s="41"/>
    </row>
    <row r="77" spans="7:34" ht="15.4" x14ac:dyDescent="0.4">
      <c r="K77" s="77"/>
      <c r="L77" s="76"/>
      <c r="M77" s="76"/>
      <c r="N77" s="76"/>
      <c r="O77" s="76"/>
      <c r="P77" s="76"/>
      <c r="Q77" s="76"/>
      <c r="R77" s="76"/>
      <c r="S77" s="76"/>
      <c r="T77" s="83"/>
      <c r="U77" s="83"/>
      <c r="V77" s="77"/>
      <c r="W77" s="77"/>
      <c r="X77" s="77"/>
      <c r="Y77" s="83"/>
      <c r="Z77" s="83"/>
      <c r="AA77" s="83"/>
      <c r="AB77" s="77"/>
      <c r="AC77" s="83"/>
      <c r="AD77" s="83"/>
      <c r="AE77" s="77"/>
      <c r="AF77" s="86"/>
      <c r="AG77" s="86"/>
      <c r="AH77" s="41"/>
    </row>
    <row r="78" spans="7:34" ht="15.4" x14ac:dyDescent="0.4">
      <c r="K78" s="77"/>
      <c r="L78" s="76"/>
      <c r="M78" s="76"/>
      <c r="N78" s="76"/>
      <c r="O78" s="76"/>
      <c r="P78" s="76"/>
      <c r="Q78" s="76"/>
      <c r="R78" s="76"/>
      <c r="S78" s="76"/>
      <c r="T78" s="83"/>
      <c r="U78" s="83"/>
      <c r="V78" s="77"/>
      <c r="W78" s="77"/>
      <c r="X78" s="77"/>
      <c r="Y78" s="83"/>
      <c r="Z78" s="83"/>
      <c r="AA78" s="83"/>
      <c r="AB78" s="77"/>
      <c r="AC78" s="83"/>
      <c r="AD78" s="83"/>
      <c r="AE78" s="77"/>
      <c r="AF78" s="86"/>
      <c r="AG78" s="86"/>
      <c r="AH78" s="41"/>
    </row>
    <row r="79" spans="7:34" ht="15.4" x14ac:dyDescent="0.4">
      <c r="H79" s="75">
        <v>0</v>
      </c>
      <c r="I79" s="80">
        <v>0.01</v>
      </c>
      <c r="J79" s="80">
        <v>0.02</v>
      </c>
      <c r="K79" s="80">
        <v>0.03</v>
      </c>
      <c r="L79" s="81">
        <v>0.04</v>
      </c>
      <c r="M79" s="76"/>
      <c r="N79" s="76"/>
      <c r="O79" s="76"/>
      <c r="P79" s="76"/>
      <c r="Q79" s="76"/>
      <c r="R79" s="76"/>
      <c r="S79" s="76"/>
      <c r="T79" s="83"/>
      <c r="U79" s="83"/>
      <c r="V79" s="77"/>
      <c r="W79" s="77"/>
      <c r="X79" s="77"/>
      <c r="Y79" s="83"/>
      <c r="Z79" s="83"/>
      <c r="AA79" s="83"/>
      <c r="AB79" s="77"/>
      <c r="AC79" s="83"/>
      <c r="AD79" s="83"/>
      <c r="AE79" s="77"/>
      <c r="AF79" s="86"/>
      <c r="AG79" s="86"/>
      <c r="AH79" s="41"/>
    </row>
    <row r="80" spans="7:34" ht="15.4" x14ac:dyDescent="0.4">
      <c r="G80" s="43">
        <v>0.1</v>
      </c>
      <c r="H80" s="27">
        <v>0.120016</v>
      </c>
      <c r="I80" s="43">
        <v>0.120016</v>
      </c>
      <c r="J80" s="27">
        <v>0.120016</v>
      </c>
      <c r="K80" s="77">
        <v>0.120016</v>
      </c>
      <c r="L80" s="27">
        <v>0.120016</v>
      </c>
      <c r="M80" s="76"/>
      <c r="N80" s="76"/>
      <c r="O80" s="76"/>
      <c r="P80" s="76"/>
      <c r="Q80" s="76"/>
      <c r="R80" s="76"/>
      <c r="S80" s="76"/>
      <c r="T80" s="83"/>
      <c r="U80" s="83"/>
      <c r="V80" s="77"/>
      <c r="W80" s="77"/>
      <c r="X80" s="77"/>
      <c r="Y80" s="83"/>
      <c r="Z80" s="83"/>
      <c r="AA80" s="83"/>
      <c r="AB80" s="77"/>
      <c r="AC80" s="83"/>
      <c r="AD80" s="83"/>
      <c r="AE80" s="77"/>
      <c r="AF80" s="86"/>
      <c r="AG80" s="86"/>
      <c r="AH80" s="41"/>
    </row>
    <row r="81" spans="7:34" ht="15.4" x14ac:dyDescent="0.4">
      <c r="G81" s="43">
        <v>0.2</v>
      </c>
      <c r="H81" s="27">
        <v>0.24019199999999999</v>
      </c>
      <c r="I81" s="43">
        <v>0.24019199999999999</v>
      </c>
      <c r="J81" s="27">
        <v>0.24019199999999999</v>
      </c>
      <c r="K81" s="77">
        <v>0.24019199999999999</v>
      </c>
      <c r="L81" s="27">
        <v>0.24019199999999999</v>
      </c>
      <c r="M81" s="76"/>
      <c r="N81" s="76"/>
      <c r="O81" s="76"/>
      <c r="P81" s="76"/>
      <c r="Q81" s="76"/>
      <c r="R81" s="76"/>
      <c r="S81" s="76"/>
      <c r="T81" s="83"/>
      <c r="U81" s="83"/>
      <c r="V81" s="77"/>
      <c r="W81" s="77"/>
      <c r="X81" s="77"/>
      <c r="Y81" s="83"/>
      <c r="Z81" s="83"/>
      <c r="AA81" s="83"/>
      <c r="AB81" s="77"/>
      <c r="AC81" s="83"/>
      <c r="AD81" s="83"/>
      <c r="AE81" s="77"/>
      <c r="AF81" s="86"/>
      <c r="AG81" s="86"/>
      <c r="AH81" s="41"/>
    </row>
    <row r="82" spans="7:34" ht="15.4" x14ac:dyDescent="0.4">
      <c r="G82" s="43">
        <v>0.3</v>
      </c>
      <c r="H82" s="27">
        <v>0.36064800000000002</v>
      </c>
      <c r="I82" s="43">
        <v>0.36064800000000002</v>
      </c>
      <c r="J82" s="27">
        <v>0.36064800000000002</v>
      </c>
      <c r="K82" s="77">
        <v>0.36064800000000002</v>
      </c>
      <c r="L82" s="27">
        <v>0.36064800000000002</v>
      </c>
      <c r="M82" s="76"/>
      <c r="N82" s="76"/>
      <c r="O82" s="76"/>
      <c r="P82" s="76"/>
      <c r="Q82" s="84"/>
      <c r="R82" s="76"/>
      <c r="S82" s="76"/>
      <c r="T82" s="83"/>
      <c r="U82" s="83"/>
      <c r="V82" s="77"/>
      <c r="W82" s="77"/>
      <c r="X82" s="77"/>
      <c r="Y82" s="83"/>
      <c r="Z82" s="83"/>
      <c r="AA82" s="83"/>
      <c r="AB82" s="77"/>
      <c r="AC82" s="83"/>
      <c r="AD82" s="83"/>
      <c r="AE82" s="77"/>
      <c r="AF82" s="86"/>
      <c r="AG82" s="86"/>
      <c r="AH82" s="41"/>
    </row>
    <row r="83" spans="7:34" ht="15.4" x14ac:dyDescent="0.4">
      <c r="G83" s="43">
        <v>0.4</v>
      </c>
      <c r="H83" s="27">
        <v>0.48102400000000001</v>
      </c>
      <c r="I83" s="43">
        <v>0.48102400000000001</v>
      </c>
      <c r="J83" s="27">
        <v>0.48102400000000001</v>
      </c>
      <c r="K83" s="77">
        <v>0.48102400000000001</v>
      </c>
      <c r="L83" s="27">
        <v>0.48102400000000001</v>
      </c>
      <c r="M83" s="76"/>
      <c r="N83" s="76"/>
      <c r="O83" s="76"/>
      <c r="P83" s="76"/>
      <c r="Q83" s="76"/>
      <c r="R83" s="76"/>
      <c r="S83" s="76"/>
      <c r="T83" s="83"/>
      <c r="U83" s="83"/>
      <c r="V83" s="77"/>
      <c r="W83" s="77"/>
      <c r="X83" s="77"/>
      <c r="Y83" s="83"/>
      <c r="Z83" s="83"/>
      <c r="AA83" s="83"/>
      <c r="AB83" s="77"/>
      <c r="AC83" s="83"/>
      <c r="AD83" s="83"/>
      <c r="AE83" s="77"/>
      <c r="AF83" s="86"/>
      <c r="AG83" s="86"/>
      <c r="AH83" s="41"/>
    </row>
    <row r="84" spans="7:34" ht="15.4" x14ac:dyDescent="0.4">
      <c r="G84" s="43">
        <v>0.5</v>
      </c>
      <c r="H84" s="27">
        <v>0.6</v>
      </c>
      <c r="I84" s="43">
        <v>0.6</v>
      </c>
      <c r="J84" s="27">
        <v>0.6</v>
      </c>
      <c r="K84" s="77">
        <v>0.6</v>
      </c>
      <c r="L84" s="27">
        <v>0.6</v>
      </c>
      <c r="M84" s="76"/>
      <c r="N84" s="76"/>
      <c r="O84" s="76"/>
      <c r="P84" s="76"/>
      <c r="Q84" s="76"/>
      <c r="R84" s="76"/>
      <c r="S84" s="76"/>
      <c r="T84" s="83"/>
      <c r="U84" s="83"/>
      <c r="V84" s="77"/>
      <c r="W84" s="77"/>
      <c r="X84" s="77"/>
      <c r="Y84" s="83"/>
      <c r="Z84" s="83"/>
      <c r="AA84" s="83"/>
      <c r="AB84" s="77"/>
      <c r="AC84" s="83"/>
      <c r="AD84" s="83"/>
      <c r="AE84" s="77"/>
      <c r="AF84" s="86"/>
      <c r="AG84" s="86"/>
      <c r="AH84" s="41"/>
    </row>
    <row r="85" spans="7:34" ht="15.4" x14ac:dyDescent="0.4">
      <c r="G85" s="43">
        <v>0.6</v>
      </c>
      <c r="H85" s="27">
        <v>0.71481600000000001</v>
      </c>
      <c r="I85" s="43">
        <v>0.71481600000000001</v>
      </c>
      <c r="J85" s="27">
        <v>0.71481600000000001</v>
      </c>
      <c r="K85" s="77">
        <v>0.71481600000000001</v>
      </c>
      <c r="L85" s="27">
        <v>0.71481600000000001</v>
      </c>
      <c r="M85" s="76"/>
      <c r="N85" s="76"/>
      <c r="O85" s="76"/>
      <c r="P85" s="76"/>
      <c r="Q85" s="76"/>
      <c r="R85" s="76"/>
      <c r="S85" s="76"/>
      <c r="T85" s="83"/>
      <c r="U85" s="83"/>
      <c r="V85" s="77"/>
      <c r="W85" s="77"/>
      <c r="X85" s="77"/>
      <c r="Y85" s="83"/>
      <c r="Z85" s="83"/>
      <c r="AA85" s="83"/>
      <c r="AB85" s="77"/>
      <c r="AC85" s="83"/>
      <c r="AD85" s="83"/>
      <c r="AE85" s="77"/>
      <c r="AF85" s="86"/>
      <c r="AG85" s="86"/>
      <c r="AH85" s="41"/>
    </row>
    <row r="86" spans="7:34" ht="15.4" x14ac:dyDescent="0.4">
      <c r="G86" s="43">
        <v>0.7</v>
      </c>
      <c r="H86" s="27">
        <v>0.82079199999999997</v>
      </c>
      <c r="I86" s="43">
        <v>0.82079199999999997</v>
      </c>
      <c r="J86" s="27">
        <v>0.82079199999999997</v>
      </c>
      <c r="K86" s="77">
        <v>0.82079199999999997</v>
      </c>
      <c r="L86" s="27">
        <v>0.82079199999999997</v>
      </c>
      <c r="M86" s="76"/>
      <c r="N86" s="76"/>
      <c r="O86" s="76"/>
      <c r="P86" s="76"/>
      <c r="Q86" s="76"/>
      <c r="R86" s="76"/>
      <c r="S86" s="76"/>
      <c r="T86" s="83"/>
      <c r="U86" s="83"/>
      <c r="V86" s="77"/>
      <c r="W86" s="77"/>
      <c r="X86" s="77"/>
      <c r="Y86" s="83"/>
      <c r="Z86" s="83"/>
      <c r="AA86" s="83"/>
      <c r="AB86" s="77"/>
      <c r="AC86" s="83"/>
      <c r="AD86" s="83"/>
      <c r="AE86" s="77"/>
      <c r="AF86" s="86"/>
      <c r="AG86" s="86"/>
      <c r="AH86" s="41"/>
    </row>
    <row r="87" spans="7:34" s="41" customFormat="1" ht="15.4" x14ac:dyDescent="0.4">
      <c r="G87" s="41">
        <v>0.8</v>
      </c>
      <c r="H87" s="27">
        <v>0.91084799999999999</v>
      </c>
      <c r="I87" s="41">
        <v>0.91084799999999999</v>
      </c>
      <c r="J87" s="27">
        <v>0.91084799999999999</v>
      </c>
      <c r="K87" s="77">
        <v>0.91084799999999999</v>
      </c>
      <c r="L87" s="27">
        <v>0.91084799999999999</v>
      </c>
      <c r="M87" s="76"/>
      <c r="N87" s="76"/>
      <c r="O87" s="76"/>
      <c r="P87" s="76"/>
      <c r="Q87" s="76"/>
      <c r="R87" s="76"/>
      <c r="S87" s="76"/>
      <c r="T87" s="83"/>
      <c r="U87" s="83"/>
      <c r="V87" s="77"/>
      <c r="W87" s="77"/>
      <c r="X87" s="77"/>
      <c r="Y87" s="83"/>
      <c r="Z87" s="83"/>
      <c r="AA87" s="83"/>
      <c r="AB87" s="77"/>
      <c r="AC87" s="83"/>
      <c r="AD87" s="83"/>
      <c r="AE87" s="77"/>
      <c r="AF87" s="86"/>
      <c r="AG87" s="86"/>
    </row>
    <row r="88" spans="7:34" ht="15.4" x14ac:dyDescent="0.4">
      <c r="G88" s="43">
        <v>0.9</v>
      </c>
      <c r="H88" s="27">
        <v>0.975024</v>
      </c>
      <c r="I88" s="43">
        <v>0.975024</v>
      </c>
      <c r="J88" s="27">
        <v>0.975024</v>
      </c>
      <c r="K88" s="77">
        <v>0.975024</v>
      </c>
      <c r="L88" s="27">
        <v>0.975024</v>
      </c>
      <c r="M88" s="76"/>
      <c r="N88" s="76"/>
      <c r="O88" s="76"/>
      <c r="P88" s="76"/>
      <c r="Q88" s="76"/>
      <c r="R88" s="76"/>
      <c r="S88" s="76"/>
      <c r="T88" s="83"/>
      <c r="U88" s="83"/>
      <c r="V88" s="77"/>
      <c r="W88" s="77"/>
      <c r="X88" s="77"/>
      <c r="Y88" s="83"/>
      <c r="Z88" s="83"/>
      <c r="AA88" s="83"/>
      <c r="AB88" s="77"/>
      <c r="AC88" s="83"/>
      <c r="AD88" s="83"/>
      <c r="AE88" s="77"/>
      <c r="AF88" s="86"/>
      <c r="AG88" s="86"/>
      <c r="AH88" s="41"/>
    </row>
    <row r="89" spans="7:34" ht="15.4" x14ac:dyDescent="0.4">
      <c r="G89" s="43">
        <v>1</v>
      </c>
      <c r="H89" s="27">
        <v>1</v>
      </c>
      <c r="I89" s="43">
        <v>1</v>
      </c>
      <c r="J89" s="27">
        <v>1</v>
      </c>
      <c r="K89" s="77">
        <v>1</v>
      </c>
      <c r="L89" s="27">
        <v>1</v>
      </c>
      <c r="M89" s="76"/>
      <c r="N89" s="76"/>
      <c r="O89" s="76"/>
      <c r="P89" s="76"/>
      <c r="Q89" s="76"/>
      <c r="R89" s="76"/>
      <c r="S89" s="76"/>
      <c r="T89" s="83"/>
      <c r="U89" s="83"/>
      <c r="V89" s="77"/>
      <c r="W89" s="77"/>
      <c r="X89" s="77"/>
      <c r="Y89" s="83"/>
      <c r="Z89" s="83"/>
      <c r="AA89" s="83"/>
      <c r="AB89" s="77"/>
      <c r="AC89" s="83"/>
      <c r="AD89" s="83"/>
      <c r="AE89" s="77"/>
      <c r="AF89" s="86"/>
      <c r="AG89" s="86"/>
      <c r="AH89" s="41"/>
    </row>
    <row r="90" spans="7:34" ht="15.4" x14ac:dyDescent="0.4">
      <c r="G90" s="43">
        <v>1.1000000000000001</v>
      </c>
      <c r="H90" s="27">
        <v>0.65296803652968005</v>
      </c>
      <c r="I90" s="43">
        <v>0.94238059135708896</v>
      </c>
      <c r="J90" s="27">
        <v>0.96858205870194303</v>
      </c>
      <c r="K90" s="77">
        <v>0.97840295538505295</v>
      </c>
      <c r="L90" s="27">
        <v>0.98354622212600096</v>
      </c>
      <c r="M90" s="76"/>
      <c r="N90" s="76"/>
      <c r="O90" s="76"/>
      <c r="P90" s="76"/>
      <c r="Q90" s="84"/>
      <c r="R90" s="76"/>
      <c r="S90" s="76"/>
      <c r="T90" s="83"/>
      <c r="U90" s="83"/>
      <c r="V90" s="77"/>
      <c r="W90" s="77"/>
      <c r="X90" s="77"/>
      <c r="Y90" s="83"/>
      <c r="Z90" s="83"/>
      <c r="AA90" s="83"/>
      <c r="AB90" s="77"/>
      <c r="AC90" s="83"/>
      <c r="AD90" s="83"/>
      <c r="AE90" s="77"/>
      <c r="AF90" s="86"/>
      <c r="AG90" s="86"/>
      <c r="AH90" s="41"/>
    </row>
    <row r="91" spans="7:34" ht="15.4" x14ac:dyDescent="0.4">
      <c r="G91" s="43">
        <v>1.2</v>
      </c>
      <c r="H91" s="27">
        <v>0.33913043478260901</v>
      </c>
      <c r="I91" s="43">
        <v>0.81686746987951797</v>
      </c>
      <c r="J91" s="27">
        <v>0.89370629370629395</v>
      </c>
      <c r="K91" s="77">
        <v>0.92512315270935996</v>
      </c>
      <c r="L91" s="27">
        <v>0.94220532319391603</v>
      </c>
      <c r="M91" s="76"/>
      <c r="N91" s="76"/>
      <c r="O91" s="76"/>
      <c r="P91" s="76"/>
      <c r="Q91" s="84"/>
      <c r="R91" s="76"/>
      <c r="S91" s="76"/>
      <c r="T91" s="83"/>
      <c r="U91" s="83"/>
      <c r="V91" s="77"/>
      <c r="W91" s="77"/>
      <c r="X91" s="77"/>
      <c r="Y91" s="83"/>
      <c r="Z91" s="83"/>
      <c r="AA91" s="83"/>
      <c r="AB91" s="77"/>
      <c r="AC91" s="83"/>
      <c r="AD91" s="83"/>
      <c r="AE91" s="77"/>
      <c r="AF91" s="86"/>
      <c r="AG91" s="86"/>
      <c r="AH91" s="41"/>
    </row>
    <row r="92" spans="7:34" ht="15.4" x14ac:dyDescent="0.4">
      <c r="G92" s="43">
        <v>1.3</v>
      </c>
      <c r="H92" s="27">
        <v>0.19812426729191099</v>
      </c>
      <c r="I92" s="43">
        <v>0.68230376219229005</v>
      </c>
      <c r="J92" s="27">
        <v>0.80191138140747198</v>
      </c>
      <c r="K92" s="77">
        <v>0.85609088996423299</v>
      </c>
      <c r="L92" s="27">
        <v>0.88699818271931297</v>
      </c>
      <c r="M92" s="76"/>
      <c r="N92" s="76"/>
      <c r="O92" s="76"/>
      <c r="P92" s="76"/>
      <c r="Q92" s="84"/>
      <c r="R92" s="76"/>
      <c r="S92" s="76"/>
      <c r="T92" s="83"/>
      <c r="U92" s="83"/>
      <c r="V92" s="77"/>
      <c r="W92" s="77"/>
      <c r="X92" s="77"/>
      <c r="Y92" s="83"/>
      <c r="Z92" s="83"/>
      <c r="AA92" s="83"/>
      <c r="AB92" s="77"/>
      <c r="AC92" s="83"/>
      <c r="AD92" s="83"/>
      <c r="AE92" s="77"/>
      <c r="AF92" s="86"/>
      <c r="AG92" s="86"/>
      <c r="AH92" s="41"/>
    </row>
    <row r="93" spans="7:34" ht="15.4" x14ac:dyDescent="0.4">
      <c r="G93" s="43">
        <v>1.4</v>
      </c>
      <c r="H93" s="27">
        <v>0.13018597997138801</v>
      </c>
      <c r="I93" s="43">
        <v>0.56540385989992903</v>
      </c>
      <c r="J93" s="27">
        <v>0.71033825631253</v>
      </c>
      <c r="K93" s="77">
        <v>0.78277956413004601</v>
      </c>
      <c r="L93" s="27">
        <v>0.82623606744784195</v>
      </c>
      <c r="M93" s="76"/>
      <c r="N93" s="76"/>
      <c r="O93" s="76"/>
      <c r="P93" s="76"/>
      <c r="Q93" s="76"/>
      <c r="R93" s="76"/>
      <c r="S93" s="76"/>
      <c r="T93" s="83"/>
      <c r="U93" s="83"/>
      <c r="V93" s="77"/>
      <c r="W93" s="77"/>
      <c r="X93" s="77"/>
      <c r="Y93" s="83"/>
      <c r="Z93" s="83"/>
      <c r="AA93" s="83"/>
      <c r="AB93" s="77"/>
      <c r="AC93" s="83"/>
      <c r="AD93" s="83"/>
      <c r="AE93" s="77"/>
      <c r="AF93" s="86"/>
      <c r="AG93" s="86"/>
      <c r="AH93" s="41"/>
    </row>
    <row r="94" spans="7:34" ht="15.4" x14ac:dyDescent="0.4">
      <c r="G94" s="43">
        <v>1.5</v>
      </c>
      <c r="H94" s="27">
        <v>9.3078758949880699E-2</v>
      </c>
      <c r="I94" s="43">
        <v>0.47148817802503501</v>
      </c>
      <c r="J94" s="27">
        <v>0.62708537782139395</v>
      </c>
      <c r="K94" s="77">
        <v>0.71190295678544302</v>
      </c>
      <c r="L94" s="27">
        <v>0.76528721432983304</v>
      </c>
      <c r="M94" s="76"/>
      <c r="N94" s="76"/>
      <c r="O94" s="76"/>
      <c r="P94" s="76"/>
      <c r="Q94" s="76"/>
      <c r="R94" s="76"/>
      <c r="S94" s="76"/>
      <c r="T94" s="83"/>
      <c r="U94" s="83"/>
      <c r="V94" s="77"/>
      <c r="W94" s="77"/>
      <c r="X94" s="77"/>
      <c r="Y94" s="83"/>
      <c r="Z94" s="83"/>
      <c r="AA94" s="83"/>
      <c r="AB94" s="77"/>
      <c r="AC94" s="83"/>
      <c r="AD94" s="83"/>
      <c r="AE94" s="77"/>
      <c r="AF94" s="86"/>
      <c r="AG94" s="86"/>
      <c r="AH94" s="41"/>
    </row>
    <row r="95" spans="7:34" ht="15.4" x14ac:dyDescent="0.4">
      <c r="G95" s="43">
        <v>1.6</v>
      </c>
      <c r="H95" s="27">
        <v>7.0652173913043501E-2</v>
      </c>
      <c r="I95" s="43">
        <v>0.397887323943662</v>
      </c>
      <c r="J95" s="27">
        <v>0.5546875</v>
      </c>
      <c r="K95" s="77">
        <v>0.64669421487603296</v>
      </c>
      <c r="L95" s="27">
        <v>0.70719178082191803</v>
      </c>
      <c r="M95" s="76"/>
      <c r="N95" s="76"/>
      <c r="O95" s="76"/>
      <c r="P95" s="76"/>
      <c r="Q95" s="76"/>
      <c r="R95" s="76"/>
      <c r="S95" s="76"/>
      <c r="T95" s="83"/>
      <c r="U95" s="83"/>
      <c r="V95" s="77"/>
      <c r="W95" s="77"/>
      <c r="X95" s="77"/>
      <c r="Y95" s="83"/>
      <c r="Z95" s="83"/>
      <c r="AA95" s="83"/>
      <c r="AB95" s="77"/>
      <c r="AC95" s="83"/>
      <c r="AD95" s="83"/>
      <c r="AE95" s="77"/>
      <c r="AF95" s="86"/>
      <c r="AG95" s="86"/>
      <c r="AH95" s="41"/>
    </row>
    <row r="96" spans="7:34" ht="15.4" x14ac:dyDescent="0.4">
      <c r="G96" s="43">
        <v>1.7</v>
      </c>
      <c r="H96" s="27">
        <v>5.6020278833967103E-2</v>
      </c>
      <c r="I96" s="43">
        <v>0.34030115146147</v>
      </c>
      <c r="J96" s="27">
        <v>0.49298842750170202</v>
      </c>
      <c r="K96" s="77">
        <v>0.58828081813156496</v>
      </c>
      <c r="L96" s="27">
        <v>0.65342019543973995</v>
      </c>
      <c r="M96" s="76"/>
      <c r="N96" s="76"/>
      <c r="O96" s="76"/>
      <c r="P96" s="76"/>
      <c r="Q96" s="76"/>
      <c r="R96" s="76"/>
      <c r="S96" s="76"/>
      <c r="T96" s="83"/>
      <c r="U96" s="83"/>
      <c r="V96" s="77"/>
      <c r="W96" s="77"/>
      <c r="X96" s="77"/>
      <c r="Y96" s="83"/>
      <c r="Z96" s="83"/>
      <c r="AA96" s="83"/>
      <c r="AB96" s="77"/>
      <c r="AC96" s="83"/>
      <c r="AD96" s="83"/>
      <c r="AE96" s="77"/>
      <c r="AF96" s="86"/>
      <c r="AG96" s="86"/>
      <c r="AH96" s="41"/>
    </row>
    <row r="97" spans="7:34" ht="15.4" x14ac:dyDescent="0.4">
      <c r="G97" s="43">
        <v>1.8</v>
      </c>
      <c r="H97" s="27">
        <v>4.5900353079639099E-2</v>
      </c>
      <c r="I97" s="43">
        <v>0.29486807770368201</v>
      </c>
      <c r="J97" s="27">
        <v>0.44079098643366299</v>
      </c>
      <c r="K97" s="77">
        <v>0.53667365212421403</v>
      </c>
      <c r="L97" s="27">
        <v>0.60448853472109298</v>
      </c>
      <c r="M97" s="76"/>
      <c r="N97" s="76"/>
      <c r="O97" s="76"/>
      <c r="P97" s="76"/>
      <c r="Q97" s="76"/>
      <c r="R97" s="76"/>
      <c r="S97" s="76"/>
      <c r="T97" s="83"/>
      <c r="U97" s="83"/>
      <c r="V97" s="77"/>
      <c r="W97" s="77"/>
      <c r="X97" s="77"/>
      <c r="Y97" s="83"/>
      <c r="Z97" s="83"/>
      <c r="AA97" s="83"/>
      <c r="AB97" s="77"/>
      <c r="AC97" s="83"/>
      <c r="AD97" s="83"/>
      <c r="AE97" s="77"/>
      <c r="AF97" s="86"/>
      <c r="AG97" s="86"/>
      <c r="AH97" s="41"/>
    </row>
    <row r="98" spans="7:34" ht="15.4" x14ac:dyDescent="0.4">
      <c r="G98" s="43">
        <v>1.9</v>
      </c>
      <c r="H98" s="27">
        <v>3.8575667655786398E-2</v>
      </c>
      <c r="I98" s="43">
        <v>0.258581235697941</v>
      </c>
      <c r="J98" s="27">
        <v>0.39664804469273701</v>
      </c>
      <c r="K98" s="77">
        <v>0.49136577708006302</v>
      </c>
      <c r="L98" s="27">
        <v>0.56037991858887404</v>
      </c>
      <c r="M98" s="76"/>
      <c r="N98" s="76"/>
      <c r="O98" s="76"/>
      <c r="P98" s="76"/>
      <c r="Q98" s="76"/>
      <c r="R98" s="76"/>
      <c r="S98" s="76"/>
      <c r="T98" s="83"/>
      <c r="U98" s="83"/>
      <c r="V98" s="77"/>
      <c r="W98" s="77"/>
      <c r="X98" s="77"/>
      <c r="Y98" s="83"/>
      <c r="Z98" s="83"/>
      <c r="AA98" s="83"/>
      <c r="AB98" s="77"/>
      <c r="AC98" s="83"/>
      <c r="AD98" s="83"/>
      <c r="AE98" s="77"/>
      <c r="AF98" s="86"/>
      <c r="AG98" s="86"/>
      <c r="AH98" s="41"/>
    </row>
    <row r="99" spans="7:34" ht="15.4" x14ac:dyDescent="0.4">
      <c r="G99" s="43">
        <v>2</v>
      </c>
      <c r="H99" s="27">
        <v>3.30788804071247E-2</v>
      </c>
      <c r="I99" s="43">
        <v>0.22920892494928999</v>
      </c>
      <c r="J99" s="27">
        <v>0.359190556492411</v>
      </c>
      <c r="K99" s="77">
        <v>0.45165945165945198</v>
      </c>
      <c r="L99" s="27">
        <v>0.52080706179066805</v>
      </c>
      <c r="M99" s="76"/>
      <c r="N99" s="76"/>
      <c r="O99" s="76"/>
      <c r="P99" s="76"/>
      <c r="Q99" s="76"/>
      <c r="R99" s="76"/>
      <c r="S99" s="76"/>
      <c r="T99" s="83"/>
      <c r="U99" s="83"/>
      <c r="V99" s="77"/>
      <c r="W99" s="77"/>
      <c r="X99" s="77"/>
      <c r="Y99" s="83"/>
      <c r="Z99" s="83"/>
      <c r="AA99" s="83"/>
      <c r="AB99" s="77"/>
      <c r="AC99" s="83"/>
      <c r="AD99" s="83"/>
      <c r="AE99" s="77"/>
      <c r="AF99" s="86"/>
      <c r="AG99" s="86"/>
      <c r="AH99" s="41"/>
    </row>
    <row r="100" spans="7:34" ht="15.4" x14ac:dyDescent="0.4">
      <c r="G100" s="43">
        <v>2.1</v>
      </c>
      <c r="H100" s="27">
        <v>2.88309219558559E-2</v>
      </c>
      <c r="I100" s="43">
        <v>0.20511712334687501</v>
      </c>
      <c r="J100" s="27">
        <v>0.32723681322700998</v>
      </c>
      <c r="K100" s="77">
        <v>0.41683049020229601</v>
      </c>
      <c r="L100" s="27">
        <v>0.485365717163803</v>
      </c>
      <c r="M100" s="76"/>
      <c r="N100" s="76"/>
      <c r="O100" s="76"/>
      <c r="P100" s="76"/>
      <c r="Q100" s="76"/>
      <c r="R100" s="76"/>
      <c r="S100" s="76"/>
      <c r="T100" s="83"/>
      <c r="U100" s="83"/>
      <c r="V100" s="77"/>
      <c r="W100" s="77"/>
      <c r="X100" s="77"/>
      <c r="Y100" s="83"/>
      <c r="Z100" s="83"/>
      <c r="AA100" s="83"/>
      <c r="AB100" s="77"/>
      <c r="AC100" s="83"/>
      <c r="AD100" s="83"/>
      <c r="AE100" s="77"/>
      <c r="AF100" s="86"/>
      <c r="AG100" s="86"/>
      <c r="AH100" s="41"/>
    </row>
    <row r="101" spans="7:34" ht="15.4" x14ac:dyDescent="0.4">
      <c r="G101" s="43">
        <v>2.2000000000000002</v>
      </c>
      <c r="H101" s="27">
        <v>2.54674977738201E-2</v>
      </c>
      <c r="I101" s="43">
        <v>0.18510796723752801</v>
      </c>
      <c r="J101" s="27">
        <v>0.299808061420345</v>
      </c>
      <c r="K101" s="77">
        <v>0.38620302860347699</v>
      </c>
      <c r="L101" s="27">
        <v>0.45361957064403402</v>
      </c>
      <c r="M101" s="76"/>
      <c r="N101" s="76"/>
      <c r="O101" s="76"/>
      <c r="P101" s="76"/>
      <c r="Q101" s="76"/>
      <c r="R101" s="76"/>
      <c r="S101" s="76"/>
      <c r="T101" s="83"/>
      <c r="U101" s="83"/>
      <c r="V101" s="77"/>
      <c r="W101" s="77"/>
      <c r="X101" s="77"/>
      <c r="Y101" s="83"/>
      <c r="Z101" s="83"/>
      <c r="AA101" s="83"/>
      <c r="AB101" s="77"/>
      <c r="AC101" s="83"/>
      <c r="AD101" s="83"/>
      <c r="AE101" s="77"/>
      <c r="AF101" s="86"/>
      <c r="AG101" s="86"/>
      <c r="AH101" s="41"/>
    </row>
    <row r="102" spans="7:34" ht="15.4" x14ac:dyDescent="0.4">
      <c r="G102" s="43">
        <v>2.2999999999999998</v>
      </c>
      <c r="H102" s="27">
        <v>2.2749752720079099E-2</v>
      </c>
      <c r="I102" s="43">
        <v>0.16829631548274299</v>
      </c>
      <c r="J102" s="27">
        <v>0.27610888801217398</v>
      </c>
      <c r="K102" s="77">
        <v>0.359177767799232</v>
      </c>
      <c r="L102" s="27">
        <v>0.42514434050933197</v>
      </c>
      <c r="M102" s="76"/>
      <c r="N102" s="76"/>
      <c r="O102" s="76"/>
      <c r="P102" s="76"/>
      <c r="Q102" s="76"/>
      <c r="R102" s="76"/>
      <c r="S102" s="76"/>
      <c r="T102" s="83"/>
      <c r="U102" s="83"/>
      <c r="V102" s="77"/>
      <c r="W102" s="77"/>
      <c r="X102" s="77"/>
      <c r="Y102" s="83"/>
      <c r="Z102" s="83"/>
      <c r="AA102" s="83"/>
      <c r="AB102" s="77"/>
      <c r="AC102" s="83"/>
      <c r="AD102" s="83"/>
      <c r="AE102" s="77"/>
      <c r="AF102" s="86"/>
      <c r="AG102" s="86"/>
      <c r="AH102" s="41"/>
    </row>
    <row r="103" spans="7:34" ht="15.4" x14ac:dyDescent="0.4">
      <c r="G103" s="43">
        <v>2.4</v>
      </c>
      <c r="H103" s="27">
        <v>2.0515518148343001E-2</v>
      </c>
      <c r="I103" s="43">
        <v>0.154020899591095</v>
      </c>
      <c r="J103" s="27">
        <v>0.25549780087964802</v>
      </c>
      <c r="K103" s="77">
        <v>0.33523741520885397</v>
      </c>
      <c r="L103" s="27">
        <v>0.39954853273137703</v>
      </c>
      <c r="M103" s="76"/>
      <c r="N103" s="76"/>
      <c r="O103" s="76"/>
      <c r="P103" s="76"/>
      <c r="Q103" s="76"/>
      <c r="R103" s="76"/>
      <c r="S103" s="76"/>
      <c r="T103" s="83"/>
      <c r="U103" s="83"/>
      <c r="V103" s="77"/>
      <c r="W103" s="77"/>
      <c r="X103" s="77"/>
      <c r="Y103" s="83"/>
      <c r="Z103" s="83"/>
      <c r="AA103" s="83"/>
      <c r="AB103" s="77"/>
      <c r="AC103" s="83"/>
      <c r="AD103" s="83"/>
      <c r="AE103" s="77"/>
      <c r="AF103" s="86"/>
      <c r="AG103" s="86"/>
      <c r="AH103" s="41"/>
    </row>
    <row r="104" spans="7:34" ht="15.4" x14ac:dyDescent="0.4">
      <c r="G104" s="43">
        <v>2.5</v>
      </c>
      <c r="H104" s="27">
        <v>1.8651362984218101E-2</v>
      </c>
      <c r="I104" s="43">
        <v>0.14178168130489299</v>
      </c>
      <c r="J104" s="27">
        <v>0.23745819397993301</v>
      </c>
      <c r="K104" s="77">
        <v>0.31394182547642902</v>
      </c>
      <c r="L104" s="27">
        <v>0.376481312670921</v>
      </c>
      <c r="M104" s="76"/>
      <c r="N104" s="76"/>
      <c r="O104" s="76"/>
      <c r="P104" s="76"/>
      <c r="Q104" s="76"/>
      <c r="R104" s="76"/>
      <c r="S104" s="76"/>
      <c r="T104" s="83"/>
      <c r="U104" s="83"/>
      <c r="V104" s="77"/>
      <c r="W104" s="77"/>
      <c r="X104" s="77"/>
      <c r="Y104" s="83"/>
      <c r="Z104" s="83"/>
      <c r="AA104" s="83"/>
      <c r="AB104" s="77"/>
      <c r="AC104" s="83"/>
      <c r="AD104" s="83"/>
      <c r="AE104" s="77"/>
      <c r="AF104" s="86"/>
      <c r="AG104" s="86"/>
      <c r="AH104" s="41"/>
    </row>
    <row r="105" spans="7:34" ht="15.4" x14ac:dyDescent="0.4">
      <c r="G105" s="43">
        <v>2.6</v>
      </c>
      <c r="H105" s="27">
        <v>1.7075881580276901E-2</v>
      </c>
      <c r="I105" s="43">
        <v>0.13119585603286599</v>
      </c>
      <c r="J105" s="27">
        <v>0.22157317756261499</v>
      </c>
      <c r="K105" s="77">
        <v>0.294919185330144</v>
      </c>
      <c r="L105" s="27">
        <v>0.35563356958336101</v>
      </c>
      <c r="M105" s="76"/>
      <c r="N105" s="76"/>
      <c r="O105" s="76"/>
      <c r="P105" s="76"/>
      <c r="Q105" s="76"/>
      <c r="R105" s="76"/>
      <c r="S105" s="76"/>
      <c r="T105" s="83"/>
      <c r="U105" s="83"/>
      <c r="V105" s="77"/>
      <c r="W105" s="77"/>
      <c r="X105" s="77"/>
      <c r="Y105" s="83"/>
      <c r="Z105" s="83"/>
      <c r="AA105" s="83"/>
      <c r="AB105" s="77"/>
      <c r="AC105" s="83"/>
      <c r="AD105" s="83"/>
      <c r="AE105" s="77"/>
      <c r="AF105" s="86"/>
      <c r="AG105" s="86"/>
      <c r="AH105" s="41"/>
    </row>
    <row r="106" spans="7:34" ht="15.4" x14ac:dyDescent="0.4">
      <c r="G106" s="43">
        <v>2.7</v>
      </c>
      <c r="H106" s="27">
        <v>1.57293300470536E-2</v>
      </c>
      <c r="I106" s="43">
        <v>0.121966819908055</v>
      </c>
      <c r="J106" s="27">
        <v>0.20750496121233999</v>
      </c>
      <c r="K106" s="77">
        <v>0.27785632089429602</v>
      </c>
      <c r="L106" s="27">
        <v>0.33673561829986398</v>
      </c>
      <c r="M106" s="76"/>
      <c r="N106" s="76"/>
      <c r="O106" s="76"/>
      <c r="P106" s="76"/>
      <c r="Q106" s="76"/>
      <c r="R106" s="76"/>
      <c r="S106" s="76"/>
      <c r="T106" s="83"/>
      <c r="U106" s="83"/>
      <c r="V106" s="77"/>
      <c r="W106" s="77"/>
      <c r="X106" s="77"/>
      <c r="Y106" s="83"/>
      <c r="Z106" s="83"/>
      <c r="AA106" s="83"/>
      <c r="AB106" s="77"/>
      <c r="AC106" s="83"/>
      <c r="AD106" s="83"/>
      <c r="AE106" s="77"/>
      <c r="AF106" s="86"/>
      <c r="AG106" s="86"/>
      <c r="AH106" s="41"/>
    </row>
    <row r="107" spans="7:34" ht="15.4" x14ac:dyDescent="0.4">
      <c r="G107" s="43">
        <v>2.8</v>
      </c>
      <c r="H107" s="27">
        <v>1.4566992156235E-2</v>
      </c>
      <c r="I107" s="43">
        <v>0.113862098747661</v>
      </c>
      <c r="J107" s="27">
        <v>0.194978422910945</v>
      </c>
      <c r="K107" s="77">
        <v>0.26248951719180502</v>
      </c>
      <c r="L107" s="27">
        <v>0.31955344313031903</v>
      </c>
      <c r="M107" s="76"/>
      <c r="N107" s="76"/>
      <c r="O107" s="76"/>
      <c r="P107" s="76"/>
      <c r="Q107" s="76"/>
      <c r="R107" s="76"/>
      <c r="S107" s="76"/>
      <c r="T107" s="83"/>
      <c r="U107" s="83"/>
      <c r="V107" s="77"/>
      <c r="W107" s="77"/>
      <c r="X107" s="77"/>
      <c r="Y107" s="83"/>
      <c r="Z107" s="83"/>
      <c r="AA107" s="83"/>
      <c r="AB107" s="77"/>
      <c r="AC107" s="83"/>
      <c r="AD107" s="83"/>
      <c r="AE107" s="77"/>
      <c r="AF107" s="86"/>
      <c r="AG107" s="86"/>
      <c r="AH107" s="41"/>
    </row>
    <row r="108" spans="7:34" ht="15.4" x14ac:dyDescent="0.4">
      <c r="G108" s="43">
        <v>2.9</v>
      </c>
      <c r="H108" s="27">
        <v>1.3554812497752901E-2</v>
      </c>
      <c r="I108" s="43">
        <v>0.10669748966235799</v>
      </c>
      <c r="J108" s="27">
        <v>0.18376818492845001</v>
      </c>
      <c r="K108" s="77">
        <v>0.248596390326733</v>
      </c>
      <c r="L108" s="27">
        <v>0.30388450511252602</v>
      </c>
      <c r="M108" s="76"/>
      <c r="N108" s="76"/>
      <c r="O108" s="76"/>
      <c r="P108" s="76"/>
      <c r="Q108" s="76"/>
      <c r="R108" s="76"/>
      <c r="S108" s="76"/>
      <c r="T108" s="83"/>
      <c r="U108" s="83"/>
      <c r="V108" s="77"/>
      <c r="W108" s="77"/>
      <c r="X108" s="77"/>
      <c r="Y108" s="83"/>
      <c r="Z108" s="83"/>
      <c r="AA108" s="83"/>
      <c r="AB108" s="77"/>
      <c r="AC108" s="83"/>
      <c r="AD108" s="83"/>
      <c r="AE108" s="77"/>
      <c r="AF108" s="86"/>
      <c r="AG108" s="86"/>
      <c r="AH108" s="41"/>
    </row>
    <row r="109" spans="7:34" ht="15.4" x14ac:dyDescent="0.4">
      <c r="G109" s="43">
        <v>3</v>
      </c>
      <c r="H109" s="27">
        <v>1.26664501461513E-2</v>
      </c>
      <c r="I109" s="43">
        <v>0.100325540100621</v>
      </c>
      <c r="J109" s="27">
        <v>0.17368850231041</v>
      </c>
      <c r="K109" s="77">
        <v>0.235988941945212</v>
      </c>
      <c r="L109" s="27">
        <v>0.28955363402664203</v>
      </c>
      <c r="M109" s="76"/>
      <c r="N109" s="76"/>
      <c r="O109" s="76"/>
      <c r="P109" s="76"/>
      <c r="Q109" s="76"/>
      <c r="R109" s="76"/>
      <c r="S109" s="76"/>
      <c r="T109" s="83"/>
      <c r="U109" s="83"/>
      <c r="V109" s="77"/>
      <c r="W109" s="77"/>
      <c r="X109" s="77"/>
      <c r="Y109" s="83"/>
      <c r="Z109" s="83"/>
      <c r="AA109" s="83"/>
      <c r="AB109" s="77"/>
      <c r="AC109" s="83"/>
      <c r="AD109" s="83"/>
      <c r="AE109" s="77"/>
      <c r="AF109" s="86"/>
      <c r="AG109" s="86"/>
      <c r="AH109" s="41"/>
    </row>
    <row r="110" spans="7:34" ht="15.4" x14ac:dyDescent="0.4">
      <c r="G110" s="43">
        <v>3.1</v>
      </c>
      <c r="H110" s="27">
        <v>1.1881246499012401E-2</v>
      </c>
      <c r="I110" s="43">
        <v>9.4627083389610706E-2</v>
      </c>
      <c r="J110" s="27">
        <v>0.16458535855828901</v>
      </c>
      <c r="K110" s="77">
        <v>0.224507739651542</v>
      </c>
      <c r="L110" s="27">
        <v>0.27640924890433699</v>
      </c>
      <c r="M110" s="76"/>
      <c r="N110" s="76"/>
      <c r="O110" s="76"/>
      <c r="P110" s="76"/>
      <c r="Q110" s="76"/>
      <c r="R110" s="76"/>
      <c r="S110" s="76"/>
      <c r="T110" s="83"/>
      <c r="U110" s="83"/>
      <c r="V110" s="77"/>
      <c r="W110" s="77"/>
      <c r="X110" s="77"/>
      <c r="Y110" s="83"/>
      <c r="Z110" s="83"/>
      <c r="AA110" s="83"/>
      <c r="AB110" s="77"/>
      <c r="AC110" s="83"/>
      <c r="AD110" s="83"/>
      <c r="AE110" s="77"/>
      <c r="AF110" s="86"/>
      <c r="AG110" s="86"/>
      <c r="AH110" s="41"/>
    </row>
    <row r="111" spans="7:34" ht="15.4" x14ac:dyDescent="0.4">
      <c r="G111" s="43">
        <v>3.2</v>
      </c>
      <c r="H111" s="27">
        <v>1.11827956989247E-2</v>
      </c>
      <c r="I111" s="43">
        <v>8.9504950495049501E-2</v>
      </c>
      <c r="J111" s="27">
        <v>0.156330275229358</v>
      </c>
      <c r="K111" s="77">
        <v>0.21401709401709401</v>
      </c>
      <c r="L111" s="27">
        <v>0.26432</v>
      </c>
      <c r="M111" s="76"/>
      <c r="N111" s="76"/>
      <c r="O111" s="76"/>
      <c r="P111" s="76"/>
      <c r="Q111" s="76"/>
      <c r="R111" s="76"/>
      <c r="S111" s="76"/>
      <c r="T111" s="83"/>
      <c r="U111" s="83"/>
      <c r="V111" s="77"/>
      <c r="W111" s="77"/>
      <c r="X111" s="77"/>
      <c r="Y111" s="83"/>
      <c r="Z111" s="83"/>
      <c r="AA111" s="83"/>
      <c r="AB111" s="77"/>
      <c r="AC111" s="83"/>
      <c r="AD111" s="83"/>
      <c r="AE111" s="77"/>
      <c r="AF111" s="86"/>
      <c r="AG111" s="86"/>
      <c r="AH111" s="41"/>
    </row>
    <row r="112" spans="7:34" ht="15.4" x14ac:dyDescent="0.4">
      <c r="G112" s="43">
        <v>3.3</v>
      </c>
      <c r="H112" s="27">
        <v>1.05579209017301E-2</v>
      </c>
      <c r="I112" s="43">
        <v>8.4879247945735606E-2</v>
      </c>
      <c r="J112" s="27">
        <v>0.14881544682743</v>
      </c>
      <c r="K112" s="77">
        <v>0.20440108443987101</v>
      </c>
      <c r="L112" s="27">
        <v>0.25317184626530198</v>
      </c>
      <c r="M112" s="76"/>
      <c r="N112" s="76"/>
      <c r="O112" s="76"/>
      <c r="P112" s="76"/>
      <c r="Q112" s="76"/>
      <c r="R112" s="76"/>
      <c r="S112" s="76"/>
      <c r="T112" s="83"/>
      <c r="U112" s="83"/>
      <c r="V112" s="77"/>
      <c r="W112" s="77"/>
      <c r="X112" s="77"/>
      <c r="Y112" s="83"/>
      <c r="Z112" s="83"/>
      <c r="AA112" s="83"/>
      <c r="AB112" s="77"/>
      <c r="AC112" s="83"/>
      <c r="AD112" s="83"/>
      <c r="AE112" s="77"/>
      <c r="AF112" s="86"/>
      <c r="AG112" s="86"/>
      <c r="AH112" s="41"/>
    </row>
    <row r="113" spans="7:34" ht="15.4" x14ac:dyDescent="0.4">
      <c r="G113" s="43">
        <v>3.4</v>
      </c>
      <c r="H113" s="27">
        <v>9.9959292595775493E-3</v>
      </c>
      <c r="I113" s="43">
        <v>8.0683775043051006E-2</v>
      </c>
      <c r="J113" s="27">
        <v>0.14194990003528199</v>
      </c>
      <c r="K113" s="77">
        <v>0.195560292550259</v>
      </c>
      <c r="L113" s="27">
        <v>0.242865543602338</v>
      </c>
      <c r="M113" s="76"/>
      <c r="N113" s="76"/>
      <c r="O113" s="76"/>
      <c r="P113" s="76"/>
      <c r="Q113" s="76"/>
      <c r="R113" s="76"/>
      <c r="S113" s="76"/>
      <c r="T113" s="83"/>
      <c r="U113" s="83"/>
      <c r="V113" s="77"/>
      <c r="W113" s="77"/>
      <c r="X113" s="77"/>
      <c r="Y113" s="83"/>
      <c r="Z113" s="83"/>
      <c r="AA113" s="83"/>
      <c r="AB113" s="77"/>
      <c r="AC113" s="83"/>
      <c r="AD113" s="83"/>
      <c r="AE113" s="77"/>
      <c r="AF113" s="86"/>
      <c r="AG113" s="86"/>
      <c r="AH113" s="41"/>
    </row>
    <row r="114" spans="7:34" ht="15.4" x14ac:dyDescent="0.4">
      <c r="G114" s="43">
        <v>3.5</v>
      </c>
      <c r="H114" s="27">
        <v>9.4880617245334201E-3</v>
      </c>
      <c r="I114" s="43">
        <v>7.6863278592945297E-2</v>
      </c>
      <c r="J114" s="27">
        <v>0.13565644618324099</v>
      </c>
      <c r="K114" s="77">
        <v>0.18740911812505301</v>
      </c>
      <c r="L114" s="27">
        <v>0.23331450246146401</v>
      </c>
      <c r="M114" s="76"/>
      <c r="N114" s="76"/>
      <c r="O114" s="76"/>
      <c r="P114" s="76"/>
      <c r="Q114" s="76"/>
      <c r="R114" s="76"/>
      <c r="S114" s="76"/>
      <c r="T114" s="83"/>
      <c r="U114" s="83"/>
      <c r="V114" s="77"/>
      <c r="W114" s="77"/>
      <c r="X114" s="77"/>
      <c r="Y114" s="83"/>
      <c r="Z114" s="83"/>
      <c r="AA114" s="83"/>
      <c r="AB114" s="77"/>
      <c r="AC114" s="83"/>
      <c r="AD114" s="83"/>
      <c r="AE114" s="77"/>
      <c r="AF114" s="86"/>
      <c r="AG114" s="86"/>
      <c r="AH114" s="41"/>
    </row>
    <row r="115" spans="7:34" ht="15.4" x14ac:dyDescent="0.4">
      <c r="G115" s="43">
        <v>3.6</v>
      </c>
      <c r="H115" s="27">
        <v>9.0270812437311908E-3</v>
      </c>
      <c r="I115" s="43">
        <v>7.33713296298968E-2</v>
      </c>
      <c r="J115" s="27">
        <v>0.12986925005080999</v>
      </c>
      <c r="K115" s="77">
        <v>0.179873571291744</v>
      </c>
      <c r="L115" s="27">
        <v>0.22444296841978101</v>
      </c>
      <c r="M115" s="76"/>
      <c r="N115" s="76"/>
      <c r="O115" s="76"/>
      <c r="P115" s="76"/>
      <c r="Q115" s="76"/>
      <c r="R115" s="76"/>
      <c r="S115" s="76"/>
      <c r="T115" s="83"/>
      <c r="U115" s="83"/>
      <c r="V115" s="77"/>
      <c r="W115" s="77"/>
      <c r="X115" s="77"/>
      <c r="Y115" s="83"/>
      <c r="Z115" s="83"/>
      <c r="AA115" s="83"/>
      <c r="AB115" s="77"/>
      <c r="AC115" s="83"/>
      <c r="AD115" s="83"/>
      <c r="AE115" s="77"/>
      <c r="AF115" s="86"/>
      <c r="AG115" s="86"/>
      <c r="AH115" s="41"/>
    </row>
    <row r="116" spans="7:34" ht="15.4" x14ac:dyDescent="0.4">
      <c r="G116" s="43">
        <v>3.7</v>
      </c>
      <c r="H116" s="27">
        <v>8.6069607229131307E-3</v>
      </c>
      <c r="I116" s="43">
        <v>7.0168666610724198E-2</v>
      </c>
      <c r="J116" s="27">
        <v>0.12453187959232</v>
      </c>
      <c r="K116" s="77">
        <v>0.17288945286258101</v>
      </c>
      <c r="L116" s="27">
        <v>0.21618448044139499</v>
      </c>
      <c r="M116" s="76"/>
      <c r="N116" s="76"/>
      <c r="O116" s="76"/>
      <c r="P116" s="76"/>
      <c r="Q116" s="76"/>
      <c r="R116" s="76"/>
      <c r="S116" s="76"/>
      <c r="T116" s="83"/>
      <c r="U116" s="83"/>
      <c r="V116" s="77"/>
      <c r="W116" s="77"/>
      <c r="X116" s="77"/>
      <c r="Y116" s="83"/>
      <c r="Z116" s="83"/>
      <c r="AA116" s="83"/>
      <c r="AB116" s="77"/>
      <c r="AC116" s="83"/>
      <c r="AD116" s="83"/>
      <c r="AE116" s="77"/>
      <c r="AF116" s="86"/>
      <c r="AG116" s="86"/>
      <c r="AH116" s="41"/>
    </row>
    <row r="117" spans="7:34" ht="15.4" x14ac:dyDescent="0.4">
      <c r="G117" s="43">
        <v>3.8</v>
      </c>
      <c r="H117" s="27">
        <v>8.2226438962681898E-3</v>
      </c>
      <c r="I117" s="43">
        <v>6.7221891731112399E-2</v>
      </c>
      <c r="J117" s="27">
        <v>0.11959573273441899</v>
      </c>
      <c r="K117" s="77">
        <v>0.16640085061137699</v>
      </c>
      <c r="L117" s="27">
        <v>0.208480565371025</v>
      </c>
      <c r="M117" s="76"/>
      <c r="N117" s="76"/>
      <c r="O117" s="76"/>
      <c r="P117" s="76"/>
      <c r="Q117" s="76"/>
      <c r="R117" s="76"/>
      <c r="S117" s="76"/>
      <c r="T117" s="83"/>
      <c r="U117" s="83"/>
      <c r="V117" s="77"/>
      <c r="W117" s="77"/>
      <c r="X117" s="77"/>
      <c r="Y117" s="83"/>
      <c r="Z117" s="83"/>
      <c r="AA117" s="83"/>
      <c r="AB117" s="77"/>
      <c r="AC117" s="83"/>
      <c r="AD117" s="83"/>
      <c r="AE117" s="77"/>
      <c r="AF117" s="86"/>
      <c r="AG117" s="86"/>
      <c r="AH117" s="41"/>
    </row>
    <row r="118" spans="7:34" ht="15.4" x14ac:dyDescent="0.4">
      <c r="G118" s="43">
        <v>3.9</v>
      </c>
      <c r="H118" s="27">
        <v>7.8698601431165909E-3</v>
      </c>
      <c r="I118" s="43">
        <v>6.4502436953880804E-2</v>
      </c>
      <c r="J118" s="27">
        <v>0.115018761336416</v>
      </c>
      <c r="K118" s="77">
        <v>0.16035889284447499</v>
      </c>
      <c r="L118" s="27">
        <v>0.20127963210576999</v>
      </c>
      <c r="M118" s="76"/>
      <c r="N118" s="76"/>
      <c r="O118" s="76"/>
      <c r="P118" s="76"/>
      <c r="Q118" s="76"/>
      <c r="R118" s="76"/>
      <c r="S118" s="76"/>
      <c r="T118" s="83"/>
      <c r="U118" s="83"/>
      <c r="V118" s="77"/>
      <c r="W118" s="77"/>
      <c r="X118" s="77"/>
      <c r="Y118" s="83"/>
      <c r="Z118" s="83"/>
      <c r="AA118" s="83"/>
      <c r="AB118" s="77"/>
      <c r="AC118" s="83"/>
      <c r="AD118" s="83"/>
      <c r="AE118" s="77"/>
      <c r="AF118" s="86"/>
      <c r="AG118" s="86"/>
      <c r="AH118" s="41"/>
    </row>
    <row r="119" spans="7:34" ht="15.4" x14ac:dyDescent="0.4">
      <c r="G119" s="43">
        <v>4</v>
      </c>
      <c r="H119" s="27">
        <v>7.5449796865931498E-3</v>
      </c>
      <c r="I119" s="43">
        <v>6.1985737794843697E-2</v>
      </c>
      <c r="J119" s="27">
        <v>0.110764430577223</v>
      </c>
      <c r="K119" s="77">
        <v>0.15472071181413699</v>
      </c>
      <c r="L119" s="27">
        <v>0.19453603391427199</v>
      </c>
      <c r="M119" s="76"/>
      <c r="N119" s="76"/>
      <c r="O119" s="76"/>
      <c r="P119" s="76"/>
      <c r="Q119" s="76"/>
      <c r="R119" s="76"/>
      <c r="S119" s="76"/>
      <c r="T119" s="83"/>
      <c r="U119" s="83"/>
      <c r="V119" s="77"/>
      <c r="W119" s="77"/>
      <c r="X119" s="77"/>
      <c r="Y119" s="77"/>
      <c r="Z119" s="83"/>
      <c r="AA119" s="83"/>
      <c r="AB119" s="77"/>
      <c r="AC119" s="83"/>
      <c r="AD119" s="83"/>
      <c r="AE119" s="77"/>
      <c r="AF119" s="86"/>
      <c r="AG119" s="86"/>
      <c r="AH119" s="41"/>
    </row>
    <row r="120" spans="7:34" ht="15.4" x14ac:dyDescent="0.4">
      <c r="H120" s="27">
        <v>7.2448993461920099E-3</v>
      </c>
      <c r="I120" s="43">
        <v>5.9650568437858098E-2</v>
      </c>
      <c r="J120" s="27">
        <v>0.10680086585380801</v>
      </c>
      <c r="K120" s="77">
        <v>0.14944857864887201</v>
      </c>
      <c r="L120" s="27">
        <v>0.18820927208260599</v>
      </c>
      <c r="M120" s="76"/>
      <c r="N120" s="76"/>
      <c r="O120" s="76"/>
      <c r="P120" s="76"/>
      <c r="Q120" s="76"/>
      <c r="R120" s="76"/>
      <c r="S120" s="76"/>
      <c r="T120" s="83"/>
      <c r="U120" s="83"/>
      <c r="V120" s="77"/>
      <c r="W120" s="77"/>
      <c r="X120" s="77"/>
      <c r="Y120" s="77"/>
      <c r="Z120" s="83"/>
      <c r="AA120" s="83"/>
      <c r="AB120" s="77"/>
      <c r="AC120" s="83"/>
      <c r="AD120" s="83"/>
      <c r="AE120" s="77"/>
      <c r="AF120" s="86"/>
      <c r="AG120" s="86"/>
      <c r="AH120" s="41"/>
    </row>
    <row r="121" spans="7:34" ht="15.4" x14ac:dyDescent="0.4">
      <c r="H121" s="27">
        <v>6.9669516396580304E-3</v>
      </c>
      <c r="I121" s="43">
        <v>5.7478503088288703E-2</v>
      </c>
      <c r="J121" s="27">
        <v>0.103100149821367</v>
      </c>
      <c r="K121" s="77">
        <v>0.14450917885017001</v>
      </c>
      <c r="L121" s="27">
        <v>0.18226331827256501</v>
      </c>
      <c r="M121" s="76"/>
      <c r="N121" s="76"/>
      <c r="O121" s="76"/>
      <c r="P121" s="76"/>
      <c r="Q121" s="76"/>
      <c r="R121" s="76"/>
      <c r="S121" s="76"/>
      <c r="T121" s="83"/>
      <c r="U121" s="83"/>
      <c r="V121" s="77"/>
      <c r="W121" s="77"/>
      <c r="X121" s="77"/>
      <c r="Y121" s="77"/>
      <c r="Z121" s="83"/>
      <c r="AA121" s="83"/>
      <c r="AB121" s="77"/>
      <c r="AC121" s="83"/>
      <c r="AD121" s="83"/>
      <c r="AE121" s="77"/>
      <c r="AF121" s="86"/>
      <c r="AG121" s="86"/>
      <c r="AH121" s="41"/>
    </row>
    <row r="122" spans="7:34" ht="15.4" x14ac:dyDescent="0.4">
      <c r="H122" s="27">
        <v>6.7088318951549998E-3</v>
      </c>
      <c r="I122" s="43">
        <v>5.5453476826860498E-2</v>
      </c>
      <c r="J122" s="27">
        <v>9.9637740282627896E-2</v>
      </c>
      <c r="K122" s="77">
        <v>0.139873003336001</v>
      </c>
      <c r="L122" s="27">
        <v>0.176666036628433</v>
      </c>
      <c r="M122" s="76"/>
      <c r="N122" s="76"/>
      <c r="O122" s="76"/>
      <c r="P122" s="76"/>
      <c r="Q122" s="76"/>
      <c r="R122" s="76"/>
      <c r="S122" s="76"/>
      <c r="T122" s="83"/>
      <c r="U122" s="83"/>
      <c r="V122" s="77"/>
      <c r="W122" s="77"/>
      <c r="X122" s="77"/>
      <c r="Y122" s="77"/>
      <c r="Z122" s="83"/>
      <c r="AA122" s="83"/>
      <c r="AB122" s="77"/>
      <c r="AC122" s="83"/>
      <c r="AD122" s="83"/>
      <c r="AE122" s="77"/>
      <c r="AF122" s="86"/>
      <c r="AG122" s="86"/>
      <c r="AH122" s="41"/>
    </row>
    <row r="123" spans="7:34" ht="15.4" x14ac:dyDescent="0.4">
      <c r="H123" s="27">
        <v>6.4685393766680203E-3</v>
      </c>
      <c r="I123" s="43">
        <v>5.3561425431981703E-2</v>
      </c>
      <c r="J123" s="27">
        <v>9.6391985847698203E-2</v>
      </c>
      <c r="K123" s="77">
        <v>0.135513834769945</v>
      </c>
      <c r="L123" s="27">
        <v>0.171388689780058</v>
      </c>
      <c r="M123" s="76"/>
      <c r="N123" s="76"/>
      <c r="O123" s="76"/>
      <c r="P123" s="76"/>
      <c r="Q123" s="76"/>
      <c r="R123" s="76"/>
      <c r="S123" s="76"/>
      <c r="T123" s="83"/>
      <c r="U123" s="83"/>
      <c r="V123" s="77"/>
      <c r="W123" s="77"/>
      <c r="X123" s="77"/>
      <c r="Y123" s="77"/>
      <c r="Z123" s="83"/>
      <c r="AA123" s="83"/>
      <c r="AB123" s="77"/>
      <c r="AC123" s="83"/>
      <c r="AD123" s="83"/>
      <c r="AE123" s="77"/>
      <c r="AF123" s="86"/>
      <c r="AG123" s="86"/>
      <c r="AH123" s="41"/>
    </row>
    <row r="124" spans="7:34" ht="15.4" x14ac:dyDescent="0.4">
      <c r="H124" s="27">
        <v>6.2443294017185298E-3</v>
      </c>
      <c r="I124" s="43">
        <v>5.17899882874166E-2</v>
      </c>
      <c r="J124" s="27">
        <v>9.3343721088766596E-2</v>
      </c>
      <c r="K124" s="77">
        <v>0.13140831273032599</v>
      </c>
      <c r="L124" s="27">
        <v>0.166405515512379</v>
      </c>
      <c r="M124" s="76"/>
      <c r="N124" s="76"/>
      <c r="O124" s="76"/>
      <c r="P124" s="76"/>
      <c r="Q124" s="76"/>
      <c r="R124" s="76"/>
      <c r="S124" s="76"/>
      <c r="T124" s="83"/>
      <c r="U124" s="83"/>
      <c r="V124" s="77"/>
      <c r="W124" s="77"/>
      <c r="X124" s="77"/>
      <c r="Y124" s="77"/>
      <c r="Z124" s="83"/>
      <c r="AA124" s="83"/>
      <c r="AB124" s="77"/>
      <c r="AC124" s="83"/>
      <c r="AD124" s="83"/>
      <c r="AE124" s="77"/>
      <c r="AF124" s="86"/>
      <c r="AG124" s="86"/>
      <c r="AH124" s="41"/>
    </row>
    <row r="125" spans="7:34" ht="15.4" x14ac:dyDescent="0.4">
      <c r="H125" s="27">
        <v>6.0346741477788797E-3</v>
      </c>
      <c r="I125" s="43">
        <v>5.0128262001658701E-2</v>
      </c>
      <c r="J125" s="27">
        <v>9.0475926644135396E-2</v>
      </c>
      <c r="K125" s="77">
        <v>0.12753556433468599</v>
      </c>
      <c r="L125" s="27">
        <v>0.16169336306534801</v>
      </c>
      <c r="M125" s="76"/>
      <c r="N125" s="76"/>
      <c r="O125" s="76"/>
      <c r="P125" s="76"/>
      <c r="Q125" s="76"/>
      <c r="R125" s="76"/>
      <c r="S125" s="76"/>
      <c r="T125" s="83"/>
      <c r="U125" s="83"/>
      <c r="V125" s="77"/>
      <c r="W125" s="77"/>
      <c r="X125" s="77"/>
      <c r="Y125" s="77"/>
      <c r="Z125" s="83"/>
      <c r="AA125" s="83"/>
      <c r="AB125" s="77"/>
      <c r="AC125" s="83"/>
      <c r="AD125" s="83"/>
      <c r="AE125" s="77"/>
      <c r="AF125" s="86"/>
      <c r="AG125" s="86"/>
      <c r="AH125" s="41"/>
    </row>
    <row r="126" spans="7:34" ht="15.4" x14ac:dyDescent="0.4">
      <c r="H126" s="27">
        <v>5.8382303759973199E-3</v>
      </c>
      <c r="I126" s="43">
        <v>4.8566595034520599E-2</v>
      </c>
      <c r="J126" s="27">
        <v>8.7773442637324103E-2</v>
      </c>
      <c r="K126" s="77">
        <v>0.123876889394131</v>
      </c>
      <c r="L126" s="27">
        <v>0.15723137985500801</v>
      </c>
      <c r="M126" s="76"/>
      <c r="N126" s="76"/>
      <c r="O126" s="76"/>
      <c r="P126" s="76"/>
      <c r="Q126" s="76"/>
      <c r="R126" s="76"/>
      <c r="S126" s="76"/>
      <c r="T126" s="83"/>
      <c r="U126" s="83"/>
      <c r="V126" s="77"/>
      <c r="W126" s="77"/>
      <c r="X126" s="77"/>
      <c r="Y126" s="77"/>
      <c r="Z126" s="83"/>
      <c r="AA126" s="83"/>
      <c r="AB126" s="77"/>
      <c r="AC126" s="83"/>
      <c r="AD126" s="83"/>
      <c r="AE126" s="77"/>
      <c r="AF126" s="86"/>
      <c r="AG126" s="86"/>
      <c r="AH126" s="41"/>
    </row>
    <row r="127" spans="7:34" ht="15.4" x14ac:dyDescent="0.4">
      <c r="H127" s="27">
        <v>5.6538126993331403E-3</v>
      </c>
      <c r="I127" s="43">
        <v>4.7096415671019701E-2</v>
      </c>
      <c r="J127" s="27">
        <v>8.5222726060282694E-2</v>
      </c>
      <c r="K127" s="77">
        <v>0.120415491151577</v>
      </c>
      <c r="L127" s="27">
        <v>0.15300074092368501</v>
      </c>
      <c r="M127" s="76"/>
      <c r="N127" s="76"/>
      <c r="O127" s="76"/>
      <c r="P127" s="76"/>
      <c r="Q127" s="76"/>
      <c r="R127" s="76"/>
      <c r="S127" s="76"/>
      <c r="T127" s="83"/>
      <c r="U127" s="83"/>
      <c r="V127" s="77"/>
      <c r="W127" s="77"/>
      <c r="X127" s="77"/>
      <c r="Y127" s="77"/>
      <c r="Z127" s="83"/>
      <c r="AA127" s="83"/>
      <c r="AB127" s="77"/>
      <c r="AC127" s="83"/>
      <c r="AD127" s="83"/>
      <c r="AE127" s="77"/>
      <c r="AF127" s="86"/>
      <c r="AG127" s="86"/>
      <c r="AH127" s="41"/>
    </row>
    <row r="128" spans="7:34" ht="15.4" x14ac:dyDescent="0.4">
      <c r="H128" s="27">
        <v>5.4803713231182201E-3</v>
      </c>
      <c r="I128" s="43">
        <v>4.5710087259458597E-2</v>
      </c>
      <c r="J128" s="27">
        <v>8.2811644569279502E-2</v>
      </c>
      <c r="K128" s="77">
        <v>0.11713624525520699</v>
      </c>
      <c r="L128" s="27">
        <v>0.14898441468567999</v>
      </c>
      <c r="M128" s="76"/>
      <c r="N128" s="76"/>
      <c r="O128" s="76"/>
      <c r="P128" s="76"/>
      <c r="Q128" s="76"/>
      <c r="R128" s="76"/>
      <c r="S128" s="76"/>
      <c r="T128" s="83"/>
      <c r="U128" s="83"/>
      <c r="V128" s="77"/>
      <c r="W128" s="77"/>
      <c r="X128" s="77"/>
      <c r="Y128" s="77"/>
      <c r="Z128" s="83"/>
      <c r="AA128" s="83"/>
      <c r="AB128" s="77"/>
      <c r="AC128" s="83"/>
      <c r="AD128" s="83"/>
      <c r="AE128" s="77"/>
      <c r="AF128" s="86"/>
      <c r="AG128" s="86"/>
      <c r="AH128" s="41"/>
    </row>
    <row r="129" spans="8:34" ht="15.4" x14ac:dyDescent="0.4">
      <c r="H129" s="27">
        <v>5.3169734151329202E-3</v>
      </c>
      <c r="I129" s="43">
        <v>4.4400785854616903E-2</v>
      </c>
      <c r="J129" s="27">
        <v>8.0529300567107706E-2</v>
      </c>
      <c r="K129" s="77">
        <v>0.11402550091074699</v>
      </c>
      <c r="L129" s="27">
        <v>0.14516695957820699</v>
      </c>
      <c r="M129" s="76"/>
      <c r="N129" s="76"/>
      <c r="O129" s="76"/>
      <c r="P129" s="76"/>
      <c r="Q129" s="76"/>
      <c r="R129" s="76"/>
      <c r="S129" s="76"/>
      <c r="T129" s="83"/>
      <c r="U129" s="83"/>
      <c r="V129" s="77"/>
      <c r="W129" s="77"/>
      <c r="X129" s="77"/>
      <c r="Y129" s="77"/>
      <c r="Z129" s="83"/>
      <c r="AA129" s="83"/>
      <c r="AB129" s="77"/>
      <c r="AC129" s="83"/>
      <c r="AD129" s="83"/>
      <c r="AE129" s="77"/>
      <c r="AF129" s="86"/>
      <c r="AG129" s="86"/>
      <c r="AH129" s="41"/>
    </row>
    <row r="130" spans="8:34" ht="15.4" x14ac:dyDescent="0.4">
      <c r="H130" s="27">
        <v>5.1627874379959401E-3</v>
      </c>
      <c r="I130" s="43">
        <v>4.3162396363064397E-2</v>
      </c>
      <c r="J130" s="27">
        <v>7.83658805791414E-2</v>
      </c>
      <c r="K130" s="77">
        <v>0.111070909204768</v>
      </c>
      <c r="L130" s="27">
        <v>0.14153434709277701</v>
      </c>
      <c r="M130" s="76"/>
      <c r="N130" s="76"/>
      <c r="O130" s="76"/>
      <c r="P130" s="76"/>
      <c r="Q130" s="76"/>
      <c r="R130" s="76"/>
      <c r="S130" s="76"/>
      <c r="T130" s="83"/>
      <c r="U130" s="83"/>
      <c r="V130" s="77"/>
      <c r="W130" s="77"/>
      <c r="X130" s="77"/>
      <c r="Y130" s="77"/>
      <c r="Z130" s="83"/>
      <c r="AA130" s="83"/>
      <c r="AB130" s="77"/>
      <c r="AC130" s="83"/>
      <c r="AD130" s="83"/>
      <c r="AE130" s="77"/>
      <c r="AF130" s="86"/>
      <c r="AG130" s="86"/>
      <c r="AH130" s="41"/>
    </row>
    <row r="131" spans="8:34" ht="15.4" x14ac:dyDescent="0.4">
      <c r="H131" s="27">
        <v>5.0170699124239297E-3</v>
      </c>
      <c r="I131" s="43">
        <v>4.1989424038873797E-2</v>
      </c>
      <c r="J131" s="27">
        <v>7.6312525837122794E-2</v>
      </c>
      <c r="K131" s="77">
        <v>0.10826127444459201</v>
      </c>
      <c r="L131" s="27">
        <v>0.13807380738073799</v>
      </c>
      <c r="M131" s="76"/>
      <c r="N131" s="76"/>
      <c r="O131" s="76"/>
      <c r="P131" s="76"/>
      <c r="Q131" s="76"/>
      <c r="R131" s="76"/>
      <c r="S131" s="76"/>
      <c r="T131" s="83"/>
      <c r="U131" s="83"/>
      <c r="V131" s="77"/>
      <c r="W131" s="77"/>
      <c r="X131" s="77"/>
      <c r="Y131" s="77"/>
      <c r="Z131" s="83"/>
      <c r="AA131" s="83"/>
      <c r="AB131" s="77"/>
      <c r="AC131" s="83"/>
      <c r="AD131" s="83"/>
      <c r="AE131" s="77"/>
      <c r="AF131" s="86"/>
      <c r="AG131" s="86"/>
      <c r="AH131" s="41"/>
    </row>
    <row r="132" spans="8:34" ht="15.4" x14ac:dyDescent="0.4">
      <c r="H132" s="27">
        <v>4.8791541855211602E-3</v>
      </c>
      <c r="I132" s="43">
        <v>4.0876918771713101E-2</v>
      </c>
      <c r="J132" s="27">
        <v>7.4361220712323706E-2</v>
      </c>
      <c r="K132" s="77">
        <v>0.105586425057125</v>
      </c>
      <c r="L132" s="27">
        <v>0.134773694223985</v>
      </c>
      <c r="M132" s="76"/>
      <c r="N132" s="76"/>
      <c r="O132" s="76"/>
      <c r="P132" s="76"/>
      <c r="Q132" s="76"/>
      <c r="R132" s="76"/>
      <c r="S132" s="76"/>
      <c r="T132" s="83"/>
      <c r="U132" s="83"/>
      <c r="V132" s="77"/>
      <c r="W132" s="77"/>
      <c r="X132" s="77"/>
      <c r="Y132" s="77"/>
      <c r="Z132" s="83"/>
      <c r="AA132" s="83"/>
      <c r="AB132" s="77"/>
      <c r="AC132" s="83"/>
      <c r="AD132" s="83"/>
      <c r="AE132" s="77"/>
      <c r="AF132" s="86"/>
      <c r="AG132" s="86"/>
      <c r="AH132" s="41"/>
    </row>
    <row r="133" spans="8:34" ht="15.4" x14ac:dyDescent="0.4">
      <c r="H133" s="27">
        <v>4.7484408609423804E-3</v>
      </c>
      <c r="I133" s="43">
        <v>3.9820410081050403E-2</v>
      </c>
      <c r="J133" s="27">
        <v>7.2504696226629195E-2</v>
      </c>
      <c r="K133" s="77">
        <v>0.103037101159487</v>
      </c>
      <c r="L133" s="27">
        <v>0.131623366659191</v>
      </c>
      <c r="M133" s="76"/>
      <c r="N133" s="76"/>
      <c r="O133" s="76"/>
      <c r="P133" s="76"/>
      <c r="Q133" s="76"/>
      <c r="R133" s="76"/>
      <c r="S133" s="76"/>
      <c r="T133" s="83"/>
      <c r="U133" s="83"/>
      <c r="V133" s="77"/>
      <c r="W133" s="77"/>
      <c r="X133" s="77"/>
      <c r="Y133" s="77"/>
      <c r="Z133" s="83"/>
      <c r="AA133" s="83"/>
      <c r="AB133" s="77"/>
      <c r="AC133" s="83"/>
      <c r="AD133" s="83"/>
      <c r="AE133" s="77"/>
      <c r="AF133" s="86"/>
      <c r="AG133" s="86"/>
      <c r="AH133" s="41"/>
    </row>
    <row r="134" spans="8:34" ht="15.4" x14ac:dyDescent="0.4">
      <c r="H134" s="27">
        <v>4.6243896129094797E-3</v>
      </c>
      <c r="I134" s="43">
        <v>3.8815851107016797E-2</v>
      </c>
      <c r="J134" s="27">
        <v>7.0736346345439696E-2</v>
      </c>
      <c r="K134" s="77">
        <v>0.100604856383134</v>
      </c>
      <c r="L134" s="27">
        <v>0.12861308495880899</v>
      </c>
      <c r="M134" s="76"/>
      <c r="N134" s="76"/>
      <c r="O134" s="76"/>
      <c r="P134" s="76"/>
      <c r="Q134" s="76"/>
      <c r="R134" s="76"/>
      <c r="S134" s="76"/>
      <c r="T134" s="83"/>
      <c r="U134" s="83"/>
      <c r="V134" s="77"/>
      <c r="W134" s="77"/>
      <c r="X134" s="77"/>
      <c r="Y134" s="77"/>
      <c r="Z134" s="83"/>
      <c r="AA134" s="83"/>
      <c r="AB134" s="77"/>
      <c r="AC134" s="83"/>
      <c r="AD134" s="83"/>
      <c r="AE134" s="77"/>
      <c r="AF134" s="86"/>
      <c r="AG134" s="86"/>
      <c r="AH134" s="41"/>
    </row>
    <row r="135" spans="8:34" ht="15.4" x14ac:dyDescent="0.4">
      <c r="H135" s="27">
        <v>4.5065121576783997E-3</v>
      </c>
      <c r="I135" s="43">
        <v>3.7859570190973101E-2</v>
      </c>
      <c r="J135" s="27">
        <v>6.9050155142870398E-2</v>
      </c>
      <c r="K135" s="77">
        <v>9.8281971919436606E-2</v>
      </c>
      <c r="L135" s="27">
        <v>0.12573391901883199</v>
      </c>
      <c r="M135" s="76"/>
      <c r="N135" s="76"/>
      <c r="O135" s="76"/>
      <c r="P135" s="76"/>
      <c r="Q135" s="76"/>
      <c r="R135" s="76"/>
      <c r="S135" s="76"/>
      <c r="T135" s="83"/>
      <c r="U135" s="83"/>
      <c r="V135" s="77"/>
      <c r="W135" s="77"/>
      <c r="X135" s="77"/>
      <c r="Y135" s="77"/>
      <c r="Z135" s="83"/>
      <c r="AA135" s="83"/>
      <c r="AB135" s="77"/>
      <c r="AC135" s="83"/>
      <c r="AD135" s="83"/>
      <c r="AE135" s="77"/>
      <c r="AF135" s="86"/>
      <c r="AG135" s="86"/>
      <c r="AH135" s="41"/>
    </row>
    <row r="136" spans="8:34" ht="15.4" x14ac:dyDescent="0.4">
      <c r="H136" s="27">
        <v>4.3943661971831E-3</v>
      </c>
      <c r="I136" s="43">
        <v>3.6948228882833799E-2</v>
      </c>
      <c r="J136" s="27">
        <v>6.7440633245382603E-2</v>
      </c>
      <c r="K136" s="77">
        <v>9.6061381074168797E-2</v>
      </c>
      <c r="L136" s="27">
        <v>0.122977667493797</v>
      </c>
      <c r="M136" s="76"/>
      <c r="N136" s="76"/>
      <c r="O136" s="76"/>
      <c r="P136" s="76"/>
      <c r="Q136" s="76"/>
      <c r="R136" s="76"/>
      <c r="S136" s="76"/>
      <c r="T136" s="83"/>
      <c r="U136" s="83"/>
      <c r="V136" s="77"/>
      <c r="W136" s="77"/>
      <c r="X136" s="77"/>
      <c r="Y136" s="77"/>
      <c r="Z136" s="83"/>
      <c r="AA136" s="83"/>
      <c r="AB136" s="77"/>
      <c r="AC136" s="83"/>
      <c r="AD136" s="83"/>
      <c r="AE136" s="77"/>
      <c r="AF136" s="86"/>
      <c r="AG136" s="86"/>
      <c r="AH136" s="41"/>
    </row>
    <row r="137" spans="8:34" ht="15.4" x14ac:dyDescent="0.4">
      <c r="K137" s="77"/>
      <c r="L137" s="76"/>
      <c r="M137" s="76"/>
      <c r="N137" s="76"/>
      <c r="O137" s="76"/>
      <c r="P137" s="76"/>
      <c r="Q137" s="76"/>
      <c r="R137" s="76"/>
      <c r="S137" s="76"/>
      <c r="T137" s="83"/>
      <c r="U137" s="83"/>
      <c r="V137" s="77"/>
      <c r="W137" s="77"/>
      <c r="X137" s="77"/>
      <c r="Y137" s="77"/>
      <c r="Z137" s="83"/>
      <c r="AA137" s="83"/>
      <c r="AB137" s="77"/>
      <c r="AC137" s="83"/>
      <c r="AD137" s="83"/>
      <c r="AE137" s="77"/>
      <c r="AF137" s="86"/>
      <c r="AG137" s="86"/>
      <c r="AH137" s="41"/>
    </row>
    <row r="138" spans="8:34" ht="15.4" x14ac:dyDescent="0.4">
      <c r="K138" s="77"/>
      <c r="L138" s="76"/>
      <c r="M138" s="76"/>
      <c r="N138" s="76"/>
      <c r="O138" s="76"/>
      <c r="P138" s="76"/>
      <c r="Q138" s="76"/>
      <c r="R138" s="76"/>
      <c r="S138" s="76"/>
      <c r="T138" s="83"/>
      <c r="U138" s="83"/>
      <c r="V138" s="77"/>
      <c r="W138" s="77"/>
      <c r="X138" s="77"/>
      <c r="Y138" s="77"/>
      <c r="Z138" s="83"/>
      <c r="AA138" s="83"/>
      <c r="AB138" s="77"/>
      <c r="AC138" s="83"/>
      <c r="AD138" s="83"/>
      <c r="AE138" s="77"/>
      <c r="AF138" s="86"/>
      <c r="AG138" s="86"/>
      <c r="AH138" s="41"/>
    </row>
    <row r="139" spans="8:34" ht="15.4" x14ac:dyDescent="0.4">
      <c r="K139" s="77"/>
      <c r="L139" s="76"/>
      <c r="M139" s="76"/>
      <c r="N139" s="76"/>
      <c r="O139" s="76"/>
      <c r="P139" s="76"/>
      <c r="Q139" s="76"/>
      <c r="R139" s="76"/>
      <c r="S139" s="76"/>
      <c r="T139" s="83"/>
      <c r="U139" s="83"/>
      <c r="V139" s="77"/>
      <c r="W139" s="77"/>
      <c r="X139" s="77"/>
      <c r="Y139" s="77"/>
      <c r="Z139" s="83"/>
      <c r="AA139" s="83"/>
      <c r="AB139" s="77"/>
      <c r="AC139" s="83"/>
      <c r="AD139" s="83"/>
      <c r="AE139" s="77"/>
      <c r="AF139" s="86"/>
      <c r="AG139" s="86"/>
      <c r="AH139" s="41"/>
    </row>
    <row r="140" spans="8:34" ht="15.4" x14ac:dyDescent="0.4">
      <c r="K140" s="77"/>
      <c r="L140" s="76"/>
      <c r="M140" s="76"/>
      <c r="N140" s="76"/>
      <c r="O140" s="76"/>
      <c r="P140" s="76"/>
      <c r="Q140" s="76"/>
      <c r="R140" s="76"/>
      <c r="S140" s="76"/>
      <c r="T140" s="83"/>
      <c r="U140" s="83"/>
      <c r="V140" s="77"/>
      <c r="W140" s="77"/>
      <c r="X140" s="77"/>
      <c r="Y140" s="77"/>
      <c r="Z140" s="83"/>
      <c r="AA140" s="83"/>
      <c r="AB140" s="77"/>
      <c r="AC140" s="83"/>
      <c r="AD140" s="83"/>
      <c r="AE140" s="77"/>
      <c r="AF140" s="86"/>
      <c r="AG140" s="86"/>
      <c r="AH140" s="41"/>
    </row>
    <row r="141" spans="8:34" ht="15.4" x14ac:dyDescent="0.4">
      <c r="K141" s="77"/>
      <c r="L141" s="76"/>
      <c r="M141" s="76"/>
      <c r="N141" s="76"/>
      <c r="O141" s="76"/>
      <c r="P141" s="76"/>
      <c r="Q141" s="76"/>
      <c r="R141" s="76"/>
      <c r="S141" s="76"/>
      <c r="T141" s="83"/>
      <c r="U141" s="83"/>
      <c r="V141" s="77"/>
      <c r="W141" s="77"/>
      <c r="X141" s="77"/>
      <c r="Y141" s="77"/>
      <c r="Z141" s="83"/>
      <c r="AA141" s="83"/>
      <c r="AB141" s="77"/>
      <c r="AC141" s="83"/>
      <c r="AD141" s="83"/>
      <c r="AE141" s="77"/>
      <c r="AF141" s="86"/>
      <c r="AG141" s="86"/>
      <c r="AH141" s="41"/>
    </row>
    <row r="142" spans="8:34" ht="15.4" x14ac:dyDescent="0.4">
      <c r="K142" s="77"/>
      <c r="L142" s="76"/>
      <c r="M142" s="76"/>
      <c r="N142" s="76"/>
      <c r="O142" s="76"/>
      <c r="P142" s="76"/>
      <c r="Q142" s="76"/>
      <c r="R142" s="76"/>
      <c r="S142" s="76"/>
      <c r="T142" s="83"/>
      <c r="U142" s="83"/>
      <c r="V142" s="77"/>
      <c r="W142" s="77"/>
      <c r="X142" s="77"/>
      <c r="Y142" s="77"/>
      <c r="Z142" s="83"/>
      <c r="AA142" s="83"/>
      <c r="AB142" s="77"/>
      <c r="AC142" s="83"/>
      <c r="AD142" s="83"/>
      <c r="AE142" s="77"/>
      <c r="AF142" s="86"/>
      <c r="AG142" s="86"/>
      <c r="AH142" s="41"/>
    </row>
    <row r="143" spans="8:34" ht="15.4" x14ac:dyDescent="0.4">
      <c r="K143" s="77"/>
      <c r="L143" s="76"/>
      <c r="M143" s="76"/>
      <c r="N143" s="76"/>
      <c r="O143" s="76"/>
      <c r="P143" s="76"/>
      <c r="Q143" s="76"/>
      <c r="R143" s="76"/>
      <c r="S143" s="76"/>
      <c r="T143" s="83"/>
      <c r="U143" s="83"/>
      <c r="V143" s="77"/>
      <c r="W143" s="77"/>
      <c r="X143" s="77"/>
      <c r="Y143" s="77"/>
      <c r="Z143" s="83"/>
      <c r="AA143" s="83"/>
      <c r="AB143" s="77"/>
      <c r="AC143" s="83"/>
      <c r="AD143" s="83"/>
      <c r="AE143" s="77"/>
      <c r="AF143" s="86"/>
      <c r="AG143" s="86"/>
      <c r="AH143" s="41"/>
    </row>
    <row r="144" spans="8:34" ht="15.4" x14ac:dyDescent="0.4">
      <c r="K144" s="77"/>
      <c r="L144" s="76"/>
      <c r="M144" s="76"/>
      <c r="N144" s="76"/>
      <c r="O144" s="76"/>
      <c r="P144" s="76"/>
      <c r="Q144" s="76"/>
      <c r="R144" s="76"/>
      <c r="S144" s="76"/>
      <c r="T144" s="83"/>
      <c r="U144" s="83"/>
      <c r="V144" s="77"/>
      <c r="W144" s="77"/>
      <c r="X144" s="77"/>
      <c r="Y144" s="77"/>
      <c r="Z144" s="83"/>
      <c r="AA144" s="83"/>
      <c r="AB144" s="77"/>
      <c r="AC144" s="83"/>
      <c r="AD144" s="83"/>
      <c r="AE144" s="77"/>
      <c r="AF144" s="86"/>
      <c r="AG144" s="86"/>
      <c r="AH144" s="41"/>
    </row>
    <row r="145" spans="11:34" x14ac:dyDescent="0.4"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85"/>
      <c r="AG145" s="85"/>
      <c r="AH145" s="41"/>
    </row>
  </sheetData>
  <mergeCells count="9">
    <mergeCell ref="C4:J4"/>
    <mergeCell ref="A16:J16"/>
    <mergeCell ref="A50:E50"/>
    <mergeCell ref="L66:U66"/>
    <mergeCell ref="T2:U2"/>
    <mergeCell ref="W2:X2"/>
    <mergeCell ref="AC2:AD2"/>
    <mergeCell ref="AF2:AG2"/>
    <mergeCell ref="C3:J3"/>
  </mergeCells>
  <phoneticPr fontId="37" type="noConversion"/>
  <pageMargins left="0.7" right="0.7" top="0.75" bottom="0.75" header="0.3" footer="0.3"/>
  <pageSetup paperSize="9" orientation="portrait" horizontalDpi="1200" verticalDpi="12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9"/>
  <sheetViews>
    <sheetView tabSelected="1" topLeftCell="A16" zoomScale="55" zoomScaleNormal="55" workbookViewId="0">
      <selection activeCell="S66" sqref="S66"/>
    </sheetView>
  </sheetViews>
  <sheetFormatPr defaultColWidth="8.86328125" defaultRowHeight="13.9" x14ac:dyDescent="0.4"/>
  <cols>
    <col min="2" max="2" width="14.33203125"/>
    <col min="11" max="11" width="12.86328125"/>
    <col min="12" max="13" width="10.6640625"/>
    <col min="14" max="16" width="12.86328125"/>
    <col min="20" max="21" width="14.33203125"/>
  </cols>
  <sheetData>
    <row r="1" spans="1:21" ht="25.15" x14ac:dyDescent="0.4">
      <c r="A1" s="1"/>
      <c r="B1" s="140" t="s">
        <v>6</v>
      </c>
      <c r="C1" s="140"/>
      <c r="D1" s="140"/>
      <c r="E1" s="140"/>
      <c r="F1" s="140"/>
      <c r="G1" s="140"/>
      <c r="H1" s="140"/>
      <c r="I1" s="140"/>
      <c r="K1" s="17" t="s">
        <v>36</v>
      </c>
      <c r="L1" s="18"/>
      <c r="M1" s="18"/>
      <c r="N1" s="18"/>
      <c r="O1" s="18"/>
      <c r="P1" s="18"/>
      <c r="Q1" s="18"/>
      <c r="R1" s="18"/>
      <c r="S1" s="18"/>
      <c r="T1" s="134" t="s">
        <v>5</v>
      </c>
      <c r="U1" s="135"/>
    </row>
    <row r="2" spans="1:21" ht="15.75" x14ac:dyDescent="0.4">
      <c r="A2" s="3"/>
      <c r="B2" s="140" t="s">
        <v>13</v>
      </c>
      <c r="C2" s="140"/>
      <c r="D2" s="140"/>
      <c r="E2" s="140"/>
      <c r="F2" s="140"/>
      <c r="G2" s="140"/>
      <c r="H2" s="140"/>
      <c r="I2" s="140"/>
      <c r="K2" s="19" t="s">
        <v>7</v>
      </c>
      <c r="L2" s="20" t="s">
        <v>8</v>
      </c>
      <c r="M2" s="21" t="s">
        <v>9</v>
      </c>
      <c r="N2" s="22" t="s">
        <v>10</v>
      </c>
      <c r="O2" s="23" t="s">
        <v>11</v>
      </c>
      <c r="P2" s="24" t="s">
        <v>12</v>
      </c>
      <c r="Q2" s="22"/>
      <c r="R2" s="22"/>
      <c r="S2" s="22"/>
      <c r="T2" s="32" t="s">
        <v>3</v>
      </c>
      <c r="U2" s="33" t="s">
        <v>2</v>
      </c>
    </row>
    <row r="3" spans="1:21" ht="15.4" x14ac:dyDescent="0.45">
      <c r="A3" s="4" t="s">
        <v>37</v>
      </c>
      <c r="B3" s="5">
        <v>8</v>
      </c>
      <c r="K3" s="26">
        <v>0.1</v>
      </c>
      <c r="L3" s="27">
        <f>K3*B$4</f>
        <v>3.2880000000000004E-5</v>
      </c>
      <c r="M3" s="27">
        <f>K3*B$3</f>
        <v>0.8</v>
      </c>
      <c r="N3" s="27">
        <f>LN(1+L3)</f>
        <v>3.2879459464661401E-5</v>
      </c>
      <c r="O3" s="28">
        <f t="shared" ref="O3:O12" si="0">M3*(1+L3)</f>
        <v>0.80002630400000008</v>
      </c>
      <c r="P3" s="28">
        <f>N3-O3/B$7</f>
        <v>1.6212244797994731E-5</v>
      </c>
      <c r="Q3" s="27"/>
      <c r="R3" s="27"/>
      <c r="S3" s="27"/>
      <c r="T3" s="35">
        <f>1-(O3/(B$7*N3))^0.5</f>
        <v>0.28801772824242922</v>
      </c>
      <c r="U3" s="36">
        <f t="shared" ref="U3:U13" si="1">P3</f>
        <v>1.6212244797994731E-5</v>
      </c>
    </row>
    <row r="4" spans="1:21" ht="17.649999999999999" x14ac:dyDescent="0.4">
      <c r="A4" s="6" t="s">
        <v>38</v>
      </c>
      <c r="B4" s="7">
        <f>0.0003288</f>
        <v>3.2880000000000002E-4</v>
      </c>
      <c r="K4" s="26">
        <v>0.2</v>
      </c>
      <c r="L4" s="27">
        <f t="shared" ref="L4:L12" si="2">K4*B$4</f>
        <v>6.5760000000000007E-5</v>
      </c>
      <c r="M4" s="27">
        <f t="shared" ref="M4:M12" si="3">K4*B$3</f>
        <v>1.6</v>
      </c>
      <c r="N4" s="27">
        <f t="shared" ref="N4:N12" si="4">LN(1+L4)</f>
        <v>6.5757837906011476E-5</v>
      </c>
      <c r="O4" s="28">
        <f t="shared" si="0"/>
        <v>1.6001052160000002</v>
      </c>
      <c r="P4" s="28">
        <f t="shared" ref="P4:P12" si="5">N4-O4/B$7</f>
        <v>3.2422312572678138E-5</v>
      </c>
      <c r="Q4" s="27" t="s">
        <v>14</v>
      </c>
      <c r="R4" s="27"/>
      <c r="S4" s="27"/>
      <c r="T4" s="35">
        <f t="shared" ref="T4:T13" si="6">1-(O4/(B$7*N4))^0.5</f>
        <v>0.28800017136092926</v>
      </c>
      <c r="U4" s="36">
        <f t="shared" si="1"/>
        <v>3.2422312572678138E-5</v>
      </c>
    </row>
    <row r="5" spans="1:21" ht="17.649999999999999" x14ac:dyDescent="0.5">
      <c r="A5" s="8" t="s">
        <v>39</v>
      </c>
      <c r="B5" s="9">
        <f>0.002195</f>
        <v>2.1949999999999999E-3</v>
      </c>
      <c r="K5" s="26">
        <v>0.3</v>
      </c>
      <c r="L5" s="27">
        <f t="shared" si="2"/>
        <v>9.8640000000000004E-5</v>
      </c>
      <c r="M5" s="27">
        <f t="shared" si="3"/>
        <v>2.4</v>
      </c>
      <c r="N5" s="27">
        <f t="shared" si="4"/>
        <v>9.8635135395132477E-5</v>
      </c>
      <c r="O5" s="28">
        <f t="shared" si="0"/>
        <v>2.4002367360000001</v>
      </c>
      <c r="P5" s="28">
        <f t="shared" si="5"/>
        <v>4.8630203395132476E-5</v>
      </c>
      <c r="Q5" s="27"/>
      <c r="R5" s="27"/>
      <c r="S5" s="27"/>
      <c r="T5" s="35">
        <f t="shared" si="6"/>
        <v>0.28798261459166719</v>
      </c>
      <c r="U5" s="36">
        <f t="shared" si="1"/>
        <v>4.8630203395132476E-5</v>
      </c>
    </row>
    <row r="6" spans="1:21" ht="15.4" x14ac:dyDescent="0.4">
      <c r="A6" s="10"/>
      <c r="B6" s="11"/>
      <c r="K6" s="26">
        <v>0.4</v>
      </c>
      <c r="L6" s="27">
        <f t="shared" si="2"/>
        <v>1.3152000000000001E-4</v>
      </c>
      <c r="M6" s="27">
        <f t="shared" si="3"/>
        <v>3.2</v>
      </c>
      <c r="N6" s="27">
        <f t="shared" si="4"/>
        <v>1.3151135200309966E-4</v>
      </c>
      <c r="O6" s="28">
        <f t="shared" si="0"/>
        <v>3.2004208640000003</v>
      </c>
      <c r="P6" s="28">
        <f t="shared" si="5"/>
        <v>6.4835917336432996E-5</v>
      </c>
      <c r="Q6" s="27"/>
      <c r="R6" s="27"/>
      <c r="S6" s="27"/>
      <c r="T6" s="35">
        <f t="shared" si="6"/>
        <v>0.28796505793463756</v>
      </c>
      <c r="U6" s="36">
        <f t="shared" si="1"/>
        <v>6.4835917336432996E-5</v>
      </c>
    </row>
    <row r="7" spans="1:21" ht="15.4" x14ac:dyDescent="0.45">
      <c r="A7" s="12" t="s">
        <v>17</v>
      </c>
      <c r="B7" s="9">
        <v>48000</v>
      </c>
      <c r="K7" s="26">
        <v>0.5</v>
      </c>
      <c r="L7" s="27">
        <f t="shared" si="2"/>
        <v>1.6440000000000001E-4</v>
      </c>
      <c r="M7" s="27">
        <f t="shared" si="3"/>
        <v>4</v>
      </c>
      <c r="N7" s="27">
        <f t="shared" si="4"/>
        <v>1.6438648780098123E-4</v>
      </c>
      <c r="O7" s="28">
        <f t="shared" si="0"/>
        <v>4.0006576000000003</v>
      </c>
      <c r="P7" s="28">
        <f t="shared" si="5"/>
        <v>8.1039454467647889E-5</v>
      </c>
      <c r="Q7" s="27"/>
      <c r="R7" s="27"/>
      <c r="S7" s="27"/>
      <c r="T7" s="35">
        <f t="shared" si="6"/>
        <v>0.2879475013898356</v>
      </c>
      <c r="U7" s="36">
        <f t="shared" si="1"/>
        <v>8.1039454467647889E-5</v>
      </c>
    </row>
    <row r="8" spans="1:21" ht="15.4" x14ac:dyDescent="0.4">
      <c r="A8" s="13"/>
      <c r="B8" s="14"/>
      <c r="K8" s="29">
        <v>0.6</v>
      </c>
      <c r="L8" s="27">
        <f t="shared" si="2"/>
        <v>1.9728000000000001E-4</v>
      </c>
      <c r="M8" s="27">
        <f t="shared" si="3"/>
        <v>4.8</v>
      </c>
      <c r="N8" s="27">
        <f t="shared" si="4"/>
        <v>1.972605428598384E-4</v>
      </c>
      <c r="O8" s="28">
        <f t="shared" si="0"/>
        <v>4.8009469440000005</v>
      </c>
      <c r="P8" s="28">
        <f t="shared" si="5"/>
        <v>9.7240814859838389E-5</v>
      </c>
      <c r="Q8" s="37"/>
      <c r="R8" s="37"/>
      <c r="S8" s="37"/>
      <c r="T8" s="35">
        <f t="shared" si="6"/>
        <v>0.28792994495725588</v>
      </c>
      <c r="U8" s="36">
        <f t="shared" si="1"/>
        <v>9.7240814859838389E-5</v>
      </c>
    </row>
    <row r="9" spans="1:21" ht="15.4" x14ac:dyDescent="0.4">
      <c r="A9" s="15"/>
      <c r="B9" s="16"/>
      <c r="K9" s="30">
        <v>0.7</v>
      </c>
      <c r="L9" s="27">
        <f t="shared" si="2"/>
        <v>2.3016000000000001E-4</v>
      </c>
      <c r="M9" s="27">
        <f t="shared" si="3"/>
        <v>5.6</v>
      </c>
      <c r="N9" s="27">
        <f t="shared" si="4"/>
        <v>2.3013351725072539E-4</v>
      </c>
      <c r="O9" s="28">
        <f t="shared" si="0"/>
        <v>5.6012888959999998</v>
      </c>
      <c r="P9" s="28">
        <f t="shared" si="5"/>
        <v>1.1343999858405873E-4</v>
      </c>
      <c r="Q9" s="38"/>
      <c r="R9" s="38"/>
      <c r="S9" s="38"/>
      <c r="T9" s="35">
        <f t="shared" si="6"/>
        <v>0.28791238863689361</v>
      </c>
      <c r="U9" s="36">
        <f t="shared" si="1"/>
        <v>1.1343999858405873E-4</v>
      </c>
    </row>
    <row r="10" spans="1:21" ht="15.4" x14ac:dyDescent="0.4">
      <c r="K10" s="26">
        <v>0.8</v>
      </c>
      <c r="L10" s="27">
        <f t="shared" si="2"/>
        <v>2.6304000000000003E-4</v>
      </c>
      <c r="M10" s="27">
        <f t="shared" si="3"/>
        <v>6.4</v>
      </c>
      <c r="N10" s="27">
        <f t="shared" si="4"/>
        <v>2.6300541104468946E-4</v>
      </c>
      <c r="O10" s="28">
        <f t="shared" si="0"/>
        <v>6.4016834560000007</v>
      </c>
      <c r="P10" s="28">
        <f t="shared" si="5"/>
        <v>1.296370057113561E-4</v>
      </c>
      <c r="Q10" s="27"/>
      <c r="R10" s="27"/>
      <c r="S10" s="27"/>
      <c r="T10" s="35">
        <f t="shared" si="6"/>
        <v>0.28789483242874325</v>
      </c>
      <c r="U10" s="36">
        <f t="shared" si="1"/>
        <v>1.296370057113561E-4</v>
      </c>
    </row>
    <row r="11" spans="1:21" ht="15.4" x14ac:dyDescent="0.4">
      <c r="K11" s="26">
        <v>0.9</v>
      </c>
      <c r="L11" s="27">
        <f t="shared" si="2"/>
        <v>2.9592000000000003E-4</v>
      </c>
      <c r="M11" s="27">
        <f t="shared" si="3"/>
        <v>7.2</v>
      </c>
      <c r="N11" s="27">
        <f t="shared" si="4"/>
        <v>2.9587622431254877E-4</v>
      </c>
      <c r="O11" s="28">
        <f t="shared" si="0"/>
        <v>7.2021306239999996</v>
      </c>
      <c r="P11" s="28">
        <f t="shared" si="5"/>
        <v>1.4583183631254877E-4</v>
      </c>
      <c r="Q11" s="27"/>
      <c r="R11" s="27"/>
      <c r="S11" s="27"/>
      <c r="T11" s="35">
        <f t="shared" si="6"/>
        <v>0.28787727633253291</v>
      </c>
      <c r="U11" s="36">
        <f t="shared" si="1"/>
        <v>1.4583183631254877E-4</v>
      </c>
    </row>
    <row r="12" spans="1:21" ht="15.4" x14ac:dyDescent="0.4">
      <c r="K12" s="29">
        <v>1</v>
      </c>
      <c r="L12" s="27">
        <f t="shared" si="2"/>
        <v>3.2880000000000002E-4</v>
      </c>
      <c r="M12" s="27">
        <f t="shared" si="3"/>
        <v>8</v>
      </c>
      <c r="N12" s="27">
        <f t="shared" si="4"/>
        <v>3.2874595712578046E-4</v>
      </c>
      <c r="O12" s="28">
        <f t="shared" si="0"/>
        <v>8.0026303999999993</v>
      </c>
      <c r="P12" s="28">
        <f t="shared" si="5"/>
        <v>1.6202449045911381E-4</v>
      </c>
      <c r="Q12" s="37"/>
      <c r="R12" s="37"/>
      <c r="S12" s="37"/>
      <c r="T12" s="35">
        <f t="shared" si="6"/>
        <v>0.28785972034881802</v>
      </c>
      <c r="U12" s="36">
        <f t="shared" si="1"/>
        <v>1.6202449045911381E-4</v>
      </c>
    </row>
    <row r="13" spans="1:21" ht="15.4" x14ac:dyDescent="0.4">
      <c r="K13" s="29">
        <v>1.5</v>
      </c>
      <c r="L13" s="27">
        <f t="shared" ref="L13:L30" si="7">K13*B$4</f>
        <v>4.9320000000000006E-4</v>
      </c>
      <c r="M13" s="27">
        <f>M12</f>
        <v>8</v>
      </c>
      <c r="N13" s="27">
        <f t="shared" ref="N13:N30" si="8">LN(1+L13)</f>
        <v>4.9307841685486691E-4</v>
      </c>
      <c r="O13" s="28">
        <f t="shared" ref="O13:O30" si="9">M13*(1+L13)</f>
        <v>8.0039455999999998</v>
      </c>
      <c r="P13" s="28">
        <f t="shared" ref="P13:P30" si="10">N13-O13/B$7</f>
        <v>3.2632955018820021E-4</v>
      </c>
      <c r="Q13" s="37"/>
      <c r="R13" s="37"/>
      <c r="S13" s="37"/>
      <c r="T13" s="35">
        <f t="shared" si="6"/>
        <v>0.41846822589450106</v>
      </c>
      <c r="U13" s="36">
        <f t="shared" si="1"/>
        <v>3.2632955018820021E-4</v>
      </c>
    </row>
    <row r="14" spans="1:21" ht="15.4" x14ac:dyDescent="0.4">
      <c r="K14" s="29">
        <f>K13+0.5</f>
        <v>2</v>
      </c>
      <c r="L14" s="27">
        <f t="shared" si="7"/>
        <v>6.5760000000000005E-4</v>
      </c>
      <c r="M14" s="27">
        <f t="shared" ref="M14:M30" si="11">M13</f>
        <v>8</v>
      </c>
      <c r="N14" s="27">
        <f t="shared" si="8"/>
        <v>6.5738387586366685E-4</v>
      </c>
      <c r="O14" s="28">
        <f t="shared" si="9"/>
        <v>8.0052608000000003</v>
      </c>
      <c r="P14" s="28">
        <f t="shared" si="10"/>
        <v>4.9060760919700014E-4</v>
      </c>
      <c r="Q14" s="37"/>
      <c r="R14" s="37"/>
      <c r="S14" s="37"/>
      <c r="T14" s="35">
        <f t="shared" ref="T14:T30" si="12">1-(O14/(B$7*N14))^0.5</f>
        <v>0.49631664391393737</v>
      </c>
      <c r="U14" s="36">
        <f t="shared" ref="U14:U30" si="13">P14</f>
        <v>4.9060760919700014E-4</v>
      </c>
    </row>
    <row r="15" spans="1:21" ht="15.4" x14ac:dyDescent="0.4">
      <c r="K15" s="29">
        <f t="shared" ref="K15:K29" si="14">K14+0.5</f>
        <v>2.5</v>
      </c>
      <c r="L15" s="27">
        <f t="shared" si="7"/>
        <v>8.2200000000000003E-4</v>
      </c>
      <c r="M15" s="27">
        <f t="shared" si="11"/>
        <v>8</v>
      </c>
      <c r="N15" s="27">
        <f t="shared" si="8"/>
        <v>8.2166234302345417E-4</v>
      </c>
      <c r="O15" s="28">
        <f t="shared" si="9"/>
        <v>8.0065760000000008</v>
      </c>
      <c r="P15" s="28">
        <f t="shared" si="10"/>
        <v>6.5485867635678755E-4</v>
      </c>
      <c r="Q15" s="37"/>
      <c r="R15" s="37"/>
      <c r="S15" s="37"/>
      <c r="T15" s="35">
        <f t="shared" si="12"/>
        <v>0.54943639837843894</v>
      </c>
      <c r="U15" s="36">
        <f t="shared" si="13"/>
        <v>6.5485867635678755E-4</v>
      </c>
    </row>
    <row r="16" spans="1:21" ht="15.4" x14ac:dyDescent="0.4">
      <c r="K16" s="29">
        <f t="shared" si="14"/>
        <v>3</v>
      </c>
      <c r="L16" s="27">
        <f t="shared" si="7"/>
        <v>9.8640000000000012E-4</v>
      </c>
      <c r="M16" s="27">
        <f t="shared" si="11"/>
        <v>8</v>
      </c>
      <c r="N16" s="27">
        <f t="shared" si="8"/>
        <v>9.8591382720090949E-4</v>
      </c>
      <c r="O16" s="28">
        <f t="shared" si="9"/>
        <v>8.0078911999999995</v>
      </c>
      <c r="P16" s="28">
        <f t="shared" si="10"/>
        <v>8.1908276053424284E-4</v>
      </c>
      <c r="Q16" s="37"/>
      <c r="R16" s="37"/>
      <c r="S16" s="37"/>
      <c r="T16" s="35">
        <f t="shared" si="12"/>
        <v>0.58864291240306243</v>
      </c>
      <c r="U16" s="36">
        <f t="shared" si="13"/>
        <v>8.1908276053424284E-4</v>
      </c>
    </row>
    <row r="17" spans="11:21" ht="15.4" x14ac:dyDescent="0.4">
      <c r="K17" s="29">
        <f t="shared" si="14"/>
        <v>3.5</v>
      </c>
      <c r="L17" s="27">
        <f t="shared" si="7"/>
        <v>1.1508E-3</v>
      </c>
      <c r="M17" s="27">
        <f t="shared" si="11"/>
        <v>8</v>
      </c>
      <c r="N17" s="27">
        <f t="shared" si="8"/>
        <v>1.1501383372590106E-3</v>
      </c>
      <c r="O17" s="28">
        <f t="shared" si="9"/>
        <v>8.0092064000000001</v>
      </c>
      <c r="P17" s="28">
        <f t="shared" si="10"/>
        <v>9.8327987059234397E-4</v>
      </c>
      <c r="Q17" s="39"/>
      <c r="R17" s="37"/>
      <c r="S17" s="37"/>
      <c r="T17" s="35">
        <f t="shared" si="12"/>
        <v>0.61911042667194682</v>
      </c>
      <c r="U17" s="36">
        <f t="shared" si="13"/>
        <v>9.8327987059234397E-4</v>
      </c>
    </row>
    <row r="18" spans="11:21" ht="15.4" x14ac:dyDescent="0.4">
      <c r="K18" s="29">
        <f t="shared" si="14"/>
        <v>4</v>
      </c>
      <c r="L18" s="27">
        <f t="shared" si="7"/>
        <v>1.3152000000000001E-3</v>
      </c>
      <c r="M18" s="27">
        <f t="shared" si="11"/>
        <v>8</v>
      </c>
      <c r="N18" s="27">
        <f t="shared" si="8"/>
        <v>1.3143358820557041E-3</v>
      </c>
      <c r="O18" s="28">
        <f t="shared" si="9"/>
        <v>8.0105216000000006</v>
      </c>
      <c r="P18" s="28">
        <f t="shared" si="10"/>
        <v>1.1474500153890374E-3</v>
      </c>
      <c r="Q18" s="37"/>
      <c r="R18" s="37"/>
      <c r="S18" s="37"/>
      <c r="T18" s="35">
        <f t="shared" si="12"/>
        <v>0.64366654649253818</v>
      </c>
      <c r="U18" s="36">
        <f t="shared" si="13"/>
        <v>1.1474500153890374E-3</v>
      </c>
    </row>
    <row r="19" spans="11:21" ht="15.4" x14ac:dyDescent="0.4">
      <c r="K19" s="29">
        <f t="shared" si="14"/>
        <v>4.5</v>
      </c>
      <c r="L19" s="27">
        <f t="shared" si="7"/>
        <v>1.4796000000000002E-3</v>
      </c>
      <c r="M19" s="27">
        <f t="shared" si="11"/>
        <v>8</v>
      </c>
      <c r="N19" s="27">
        <f t="shared" si="8"/>
        <v>1.4785064704445742E-3</v>
      </c>
      <c r="O19" s="28">
        <f t="shared" si="9"/>
        <v>8.0118367999999993</v>
      </c>
      <c r="P19" s="28">
        <f t="shared" si="10"/>
        <v>1.3115932037779075E-3</v>
      </c>
      <c r="Q19" s="37"/>
      <c r="R19" s="37"/>
      <c r="S19" s="37"/>
      <c r="T19" s="35">
        <f t="shared" si="12"/>
        <v>0.66400422708492601</v>
      </c>
      <c r="U19" s="36">
        <f t="shared" si="13"/>
        <v>1.3115932037779075E-3</v>
      </c>
    </row>
    <row r="20" spans="11:21" ht="15.4" x14ac:dyDescent="0.4">
      <c r="K20" s="29">
        <f t="shared" si="14"/>
        <v>5</v>
      </c>
      <c r="L20" s="27">
        <f t="shared" si="7"/>
        <v>1.6440000000000001E-3</v>
      </c>
      <c r="M20" s="27">
        <f t="shared" si="11"/>
        <v>8</v>
      </c>
      <c r="N20" s="27">
        <f t="shared" si="8"/>
        <v>1.6426501112755099E-3</v>
      </c>
      <c r="O20" s="28">
        <f t="shared" si="9"/>
        <v>8.0131519999999998</v>
      </c>
      <c r="P20" s="28">
        <f t="shared" si="10"/>
        <v>1.4757094446088432E-3</v>
      </c>
      <c r="Q20" s="37"/>
      <c r="R20" s="37"/>
      <c r="S20" s="37"/>
      <c r="T20" s="35">
        <f t="shared" si="12"/>
        <v>0.68120717517218532</v>
      </c>
      <c r="U20" s="36">
        <f t="shared" si="13"/>
        <v>1.4757094446088432E-3</v>
      </c>
    </row>
    <row r="21" spans="11:21" ht="15.4" x14ac:dyDescent="0.4">
      <c r="K21" s="29">
        <f t="shared" si="14"/>
        <v>5.5</v>
      </c>
      <c r="L21" s="27">
        <f t="shared" si="7"/>
        <v>1.8084000000000002E-3</v>
      </c>
      <c r="M21" s="27">
        <f t="shared" si="11"/>
        <v>8</v>
      </c>
      <c r="N21" s="27">
        <f t="shared" si="8"/>
        <v>1.8067668133933783E-3</v>
      </c>
      <c r="O21" s="28">
        <f t="shared" si="9"/>
        <v>8.0144672000000003</v>
      </c>
      <c r="P21" s="28">
        <f t="shared" si="10"/>
        <v>1.6397987467267115E-3</v>
      </c>
      <c r="Q21" s="37"/>
      <c r="R21" s="37"/>
      <c r="S21" s="37"/>
      <c r="T21" s="35">
        <f t="shared" si="12"/>
        <v>0.69600554859954977</v>
      </c>
      <c r="U21" s="36">
        <f t="shared" si="13"/>
        <v>1.6397987467267115E-3</v>
      </c>
    </row>
    <row r="22" spans="11:21" ht="15.4" x14ac:dyDescent="0.4">
      <c r="K22" s="29">
        <f t="shared" si="14"/>
        <v>6</v>
      </c>
      <c r="L22" s="27">
        <f t="shared" si="7"/>
        <v>1.9728000000000002E-3</v>
      </c>
      <c r="M22" s="27">
        <f t="shared" si="11"/>
        <v>8</v>
      </c>
      <c r="N22" s="27">
        <f t="shared" si="8"/>
        <v>1.9708565856389141E-3</v>
      </c>
      <c r="O22" s="28">
        <f t="shared" si="9"/>
        <v>8.0157824000000009</v>
      </c>
      <c r="P22" s="28">
        <f t="shared" si="10"/>
        <v>1.8038611189722473E-3</v>
      </c>
      <c r="Q22" s="37"/>
      <c r="R22" s="37"/>
      <c r="S22" s="37"/>
      <c r="T22" s="35">
        <f t="shared" si="12"/>
        <v>0.70891164660110983</v>
      </c>
      <c r="U22" s="36">
        <f t="shared" si="13"/>
        <v>1.8038611189722473E-3</v>
      </c>
    </row>
    <row r="23" spans="11:21" ht="15.4" x14ac:dyDescent="0.4">
      <c r="K23" s="29">
        <f t="shared" si="14"/>
        <v>6.5</v>
      </c>
      <c r="L23" s="27">
        <f t="shared" si="7"/>
        <v>2.1372000000000001E-3</v>
      </c>
      <c r="M23" s="27">
        <f t="shared" si="11"/>
        <v>8</v>
      </c>
      <c r="N23" s="27">
        <f t="shared" si="8"/>
        <v>2.1349194368482788E-3</v>
      </c>
      <c r="O23" s="28">
        <f t="shared" si="9"/>
        <v>8.0170975999999996</v>
      </c>
      <c r="P23" s="28">
        <f t="shared" si="10"/>
        <v>1.9678965701816122E-3</v>
      </c>
      <c r="Q23" s="37"/>
      <c r="R23" s="37"/>
      <c r="S23" s="37"/>
      <c r="T23" s="35">
        <f t="shared" si="12"/>
        <v>0.72029693778765291</v>
      </c>
      <c r="U23" s="36">
        <f t="shared" si="13"/>
        <v>1.9678965701816122E-3</v>
      </c>
    </row>
    <row r="24" spans="11:21" ht="15.4" x14ac:dyDescent="0.4">
      <c r="K24" s="29">
        <f t="shared" si="14"/>
        <v>7</v>
      </c>
      <c r="L24" s="27">
        <f t="shared" si="7"/>
        <v>2.3016E-3</v>
      </c>
      <c r="M24" s="27">
        <f t="shared" si="11"/>
        <v>8</v>
      </c>
      <c r="N24" s="27">
        <f t="shared" si="8"/>
        <v>2.2989553758539509E-3</v>
      </c>
      <c r="O24" s="28">
        <f t="shared" si="9"/>
        <v>8.0184128000000001</v>
      </c>
      <c r="P24" s="28">
        <f t="shared" si="10"/>
        <v>2.1319051091872841E-3</v>
      </c>
      <c r="Q24" s="37"/>
      <c r="R24" s="37"/>
      <c r="S24" s="37"/>
      <c r="T24" s="35">
        <f t="shared" si="12"/>
        <v>0.73043821973830669</v>
      </c>
      <c r="U24" s="36">
        <f t="shared" si="13"/>
        <v>2.1319051091872841E-3</v>
      </c>
    </row>
    <row r="25" spans="11:21" ht="15.4" x14ac:dyDescent="0.4">
      <c r="K25" s="29">
        <f t="shared" si="14"/>
        <v>7.5</v>
      </c>
      <c r="L25" s="27">
        <f t="shared" si="7"/>
        <v>2.4660000000000003E-3</v>
      </c>
      <c r="M25" s="27">
        <f t="shared" si="11"/>
        <v>8</v>
      </c>
      <c r="N25" s="27">
        <f t="shared" si="8"/>
        <v>2.4629644114833979E-3</v>
      </c>
      <c r="O25" s="28">
        <f t="shared" si="9"/>
        <v>8.0197280000000006</v>
      </c>
      <c r="P25" s="28">
        <f t="shared" si="10"/>
        <v>2.2958867448167313E-3</v>
      </c>
      <c r="Q25" s="39"/>
      <c r="R25" s="37"/>
      <c r="S25" s="37"/>
      <c r="T25" s="35">
        <f t="shared" si="12"/>
        <v>0.73954653924933655</v>
      </c>
      <c r="U25" s="36">
        <f t="shared" si="13"/>
        <v>2.2958867448167313E-3</v>
      </c>
    </row>
    <row r="26" spans="11:21" ht="15.4" x14ac:dyDescent="0.4">
      <c r="K26" s="29">
        <f t="shared" si="14"/>
        <v>8</v>
      </c>
      <c r="L26" s="27">
        <f t="shared" si="7"/>
        <v>2.6304000000000002E-3</v>
      </c>
      <c r="M26" s="27">
        <f t="shared" si="11"/>
        <v>8</v>
      </c>
      <c r="N26" s="27">
        <f t="shared" si="8"/>
        <v>2.6269465525597443E-3</v>
      </c>
      <c r="O26" s="28">
        <f t="shared" si="9"/>
        <v>8.0210431999999994</v>
      </c>
      <c r="P26" s="28">
        <f t="shared" si="10"/>
        <v>2.4598414858930774E-3</v>
      </c>
      <c r="Q26" s="39"/>
      <c r="R26" s="37"/>
      <c r="S26" s="37"/>
      <c r="T26" s="35">
        <f t="shared" si="12"/>
        <v>0.74778599959105485</v>
      </c>
      <c r="U26" s="36">
        <f t="shared" si="13"/>
        <v>2.4598414858930774E-3</v>
      </c>
    </row>
    <row r="27" spans="11:21" ht="15.4" x14ac:dyDescent="0.4">
      <c r="K27" s="29">
        <f t="shared" si="14"/>
        <v>8.5</v>
      </c>
      <c r="L27" s="27">
        <f t="shared" si="7"/>
        <v>2.7948000000000001E-3</v>
      </c>
      <c r="M27" s="27">
        <f t="shared" si="11"/>
        <v>8</v>
      </c>
      <c r="N27" s="27">
        <f t="shared" si="8"/>
        <v>2.7909018079024404E-3</v>
      </c>
      <c r="O27" s="28">
        <f t="shared" si="9"/>
        <v>8.0223583999999999</v>
      </c>
      <c r="P27" s="28">
        <f t="shared" si="10"/>
        <v>2.6237693412357738E-3</v>
      </c>
      <c r="Q27" s="39"/>
      <c r="R27" s="37"/>
      <c r="S27" s="37"/>
      <c r="T27" s="35">
        <f t="shared" si="12"/>
        <v>0.75528638483112198</v>
      </c>
      <c r="U27" s="36">
        <f t="shared" si="13"/>
        <v>2.6237693412357738E-3</v>
      </c>
    </row>
    <row r="28" spans="11:21" ht="15.4" x14ac:dyDescent="0.4">
      <c r="K28" s="29">
        <f t="shared" si="14"/>
        <v>9</v>
      </c>
      <c r="L28" s="27">
        <f t="shared" si="7"/>
        <v>2.9592000000000004E-3</v>
      </c>
      <c r="M28" s="27">
        <f t="shared" si="11"/>
        <v>8</v>
      </c>
      <c r="N28" s="27">
        <f t="shared" si="8"/>
        <v>2.9548301863259342E-3</v>
      </c>
      <c r="O28" s="28">
        <f t="shared" si="9"/>
        <v>8.0236736000000004</v>
      </c>
      <c r="P28" s="28">
        <f t="shared" si="10"/>
        <v>2.7876703196592673E-3</v>
      </c>
      <c r="Q28" s="27"/>
      <c r="R28" s="27"/>
      <c r="S28" s="27"/>
      <c r="T28" s="35">
        <f t="shared" si="12"/>
        <v>0.76215186824310255</v>
      </c>
      <c r="U28" s="36">
        <f t="shared" si="13"/>
        <v>2.7876703196592673E-3</v>
      </c>
    </row>
    <row r="29" spans="11:21" ht="15.4" x14ac:dyDescent="0.4">
      <c r="K29" s="29">
        <f t="shared" si="14"/>
        <v>9.5</v>
      </c>
      <c r="L29" s="27">
        <f t="shared" si="7"/>
        <v>3.1236000000000002E-3</v>
      </c>
      <c r="M29" s="27">
        <f t="shared" si="11"/>
        <v>8</v>
      </c>
      <c r="N29" s="27">
        <f t="shared" si="8"/>
        <v>3.1187316966403392E-3</v>
      </c>
      <c r="O29" s="28">
        <f t="shared" si="9"/>
        <v>8.0249887999999991</v>
      </c>
      <c r="P29" s="28">
        <f t="shared" si="10"/>
        <v>2.9515444299736725E-3</v>
      </c>
      <c r="Q29" s="27"/>
      <c r="R29" s="27"/>
      <c r="S29" s="27"/>
      <c r="T29" s="35">
        <f t="shared" si="12"/>
        <v>0.76846716383055402</v>
      </c>
      <c r="U29" s="36">
        <f t="shared" si="13"/>
        <v>2.9515444299736725E-3</v>
      </c>
    </row>
    <row r="30" spans="11:21" ht="15.4" x14ac:dyDescent="0.4">
      <c r="K30" s="29">
        <f>B5/B4</f>
        <v>6.6757907542579069</v>
      </c>
      <c r="L30" s="27">
        <f t="shared" si="7"/>
        <v>2.1949999999999999E-3</v>
      </c>
      <c r="M30" s="27">
        <f t="shared" si="11"/>
        <v>8</v>
      </c>
      <c r="N30" s="27">
        <f t="shared" si="8"/>
        <v>2.1925945068950697E-3</v>
      </c>
      <c r="O30" s="28">
        <f t="shared" si="9"/>
        <v>8.0175599999999996</v>
      </c>
      <c r="P30" s="28">
        <f t="shared" si="10"/>
        <v>2.0255620068950699E-3</v>
      </c>
      <c r="Q30" s="27"/>
      <c r="R30" s="27"/>
      <c r="S30" s="27"/>
      <c r="T30" s="35">
        <f t="shared" si="12"/>
        <v>0.7239922162974386</v>
      </c>
      <c r="U30" s="36">
        <f t="shared" si="13"/>
        <v>2.0255620068950699E-3</v>
      </c>
    </row>
    <row r="31" spans="11:21" ht="15.4" x14ac:dyDescent="0.4">
      <c r="K31" s="29"/>
      <c r="L31" s="27"/>
      <c r="M31" s="27"/>
      <c r="N31" s="27"/>
      <c r="O31" s="28"/>
      <c r="P31" s="28"/>
      <c r="Q31" s="27"/>
      <c r="R31" s="27"/>
      <c r="S31" s="27"/>
      <c r="T31" s="35"/>
      <c r="U31" s="36"/>
    </row>
    <row r="32" spans="11:21" ht="15.4" x14ac:dyDescent="0.4">
      <c r="K32" s="29"/>
      <c r="L32" s="27"/>
      <c r="M32" s="27"/>
      <c r="N32" s="27"/>
      <c r="O32" s="28"/>
      <c r="P32" s="28"/>
      <c r="Q32" s="27"/>
      <c r="R32" s="27"/>
      <c r="S32" s="27"/>
      <c r="T32" s="35"/>
      <c r="U32" s="36"/>
    </row>
    <row r="33" spans="11:21" ht="15.4" x14ac:dyDescent="0.4">
      <c r="K33" s="29"/>
      <c r="L33" s="27"/>
      <c r="M33" s="27"/>
      <c r="N33" s="27"/>
      <c r="O33" s="28"/>
      <c r="P33" s="28"/>
      <c r="Q33" s="27"/>
      <c r="R33" s="27"/>
      <c r="S33" s="27"/>
      <c r="T33" s="35"/>
      <c r="U33" s="36"/>
    </row>
    <row r="34" spans="11:21" ht="15.4" x14ac:dyDescent="0.4">
      <c r="K34" s="29"/>
      <c r="L34" s="27"/>
      <c r="M34" s="27"/>
      <c r="N34" s="27"/>
      <c r="O34" s="28"/>
      <c r="P34" s="28"/>
      <c r="Q34" s="27"/>
      <c r="R34" s="27"/>
      <c r="S34" s="27"/>
      <c r="T34" s="35"/>
      <c r="U34" s="36"/>
    </row>
    <row r="35" spans="11:21" ht="15.4" x14ac:dyDescent="0.4">
      <c r="K35" s="29"/>
      <c r="L35" s="27"/>
      <c r="M35" s="27"/>
      <c r="N35" s="27"/>
      <c r="O35" s="28"/>
      <c r="P35" s="28"/>
      <c r="Q35" s="27"/>
      <c r="R35" s="27"/>
      <c r="S35" s="27"/>
      <c r="T35" s="35"/>
      <c r="U35" s="36"/>
    </row>
    <row r="36" spans="11:21" ht="15.4" x14ac:dyDescent="0.4">
      <c r="K36" s="29"/>
      <c r="L36" s="27"/>
      <c r="M36" s="27"/>
      <c r="N36" s="27"/>
      <c r="O36" s="28"/>
      <c r="P36" s="28"/>
      <c r="Q36" s="27"/>
      <c r="R36" s="27"/>
      <c r="S36" s="27"/>
      <c r="T36" s="35"/>
      <c r="U36" s="36"/>
    </row>
    <row r="37" spans="11:21" ht="15.4" x14ac:dyDescent="0.4">
      <c r="K37" s="29"/>
      <c r="L37" s="27"/>
      <c r="M37" s="27"/>
      <c r="N37" s="27"/>
      <c r="O37" s="28"/>
      <c r="P37" s="28"/>
      <c r="Q37" s="27"/>
      <c r="R37" s="27"/>
      <c r="S37" s="27"/>
      <c r="T37" s="35"/>
      <c r="U37" s="36"/>
    </row>
    <row r="38" spans="11:21" ht="15.4" x14ac:dyDescent="0.4">
      <c r="K38" s="29"/>
      <c r="L38" s="27"/>
      <c r="M38" s="27"/>
      <c r="N38" s="27"/>
      <c r="O38" s="28"/>
      <c r="P38" s="28"/>
      <c r="Q38" s="27"/>
      <c r="R38" s="27"/>
      <c r="S38" s="27"/>
      <c r="T38" s="35"/>
      <c r="U38" s="36"/>
    </row>
    <row r="39" spans="11:21" ht="15.4" x14ac:dyDescent="0.4">
      <c r="K39" s="29"/>
      <c r="L39" s="27"/>
      <c r="M39" s="27"/>
      <c r="N39" s="27"/>
      <c r="O39" s="28"/>
      <c r="P39" s="28"/>
      <c r="Q39" s="27"/>
      <c r="R39" s="27"/>
      <c r="S39" s="27"/>
      <c r="T39" s="35"/>
      <c r="U39" s="36"/>
    </row>
    <row r="40" spans="11:21" ht="15.4" x14ac:dyDescent="0.4">
      <c r="K40" s="29"/>
      <c r="L40" s="27"/>
      <c r="M40" s="27"/>
      <c r="N40" s="27"/>
      <c r="O40" s="28"/>
      <c r="P40" s="28"/>
      <c r="Q40" s="27"/>
      <c r="R40" s="27"/>
      <c r="S40" s="27"/>
      <c r="T40" s="35"/>
      <c r="U40" s="36"/>
    </row>
    <row r="41" spans="11:21" ht="15.4" x14ac:dyDescent="0.4">
      <c r="K41" s="29"/>
      <c r="L41" s="27"/>
      <c r="M41" s="27"/>
      <c r="N41" s="27"/>
      <c r="O41" s="28"/>
      <c r="P41" s="28"/>
      <c r="Q41" s="27"/>
      <c r="R41" s="27"/>
      <c r="S41" s="27"/>
      <c r="T41" s="35"/>
      <c r="U41" s="36"/>
    </row>
    <row r="42" spans="11:21" ht="15.4" x14ac:dyDescent="0.4">
      <c r="K42" s="29"/>
      <c r="L42" s="27"/>
      <c r="M42" s="27"/>
      <c r="N42" s="27"/>
      <c r="O42" s="28"/>
      <c r="P42" s="28"/>
      <c r="Q42" s="27"/>
      <c r="R42" s="27"/>
      <c r="S42" s="27"/>
      <c r="T42" s="35"/>
      <c r="U42" s="36"/>
    </row>
    <row r="43" spans="11:21" ht="15.4" x14ac:dyDescent="0.4">
      <c r="K43" s="29"/>
      <c r="L43" s="27"/>
      <c r="M43" s="27"/>
      <c r="N43" s="27"/>
      <c r="O43" s="28"/>
      <c r="P43" s="28"/>
      <c r="Q43" s="27"/>
      <c r="R43" s="27"/>
      <c r="S43" s="27"/>
      <c r="T43" s="35"/>
      <c r="U43" s="36"/>
    </row>
    <row r="44" spans="11:21" ht="15.4" x14ac:dyDescent="0.4">
      <c r="K44" s="29"/>
      <c r="L44" s="27"/>
      <c r="M44" s="27"/>
      <c r="N44" s="27"/>
      <c r="O44" s="28"/>
      <c r="P44" s="28"/>
      <c r="Q44" s="27"/>
      <c r="R44" s="27"/>
      <c r="S44" s="27"/>
      <c r="T44" s="35"/>
      <c r="U44" s="36"/>
    </row>
    <row r="45" spans="11:21" ht="15.4" x14ac:dyDescent="0.4">
      <c r="K45" s="29"/>
      <c r="L45" s="27"/>
      <c r="M45" s="27"/>
      <c r="N45" s="27"/>
      <c r="O45" s="28"/>
      <c r="P45" s="28"/>
      <c r="Q45" s="27"/>
      <c r="R45" s="27"/>
      <c r="S45" s="27"/>
      <c r="T45" s="35"/>
      <c r="U45" s="36"/>
    </row>
    <row r="46" spans="11:21" ht="15.4" x14ac:dyDescent="0.4">
      <c r="K46" s="29"/>
      <c r="L46" s="27"/>
      <c r="M46" s="27"/>
      <c r="N46" s="27"/>
      <c r="O46" s="28"/>
      <c r="P46" s="28"/>
      <c r="Q46" s="27"/>
      <c r="R46" s="27"/>
      <c r="S46" s="27"/>
      <c r="T46" s="35"/>
      <c r="U46" s="36"/>
    </row>
    <row r="47" spans="11:21" ht="15.4" x14ac:dyDescent="0.4">
      <c r="K47" s="29"/>
      <c r="L47" s="27"/>
      <c r="M47" s="27"/>
      <c r="N47" s="27"/>
      <c r="O47" s="28"/>
      <c r="P47" s="28"/>
      <c r="Q47" s="27"/>
      <c r="R47" s="27"/>
      <c r="S47" s="27"/>
      <c r="T47" s="35"/>
      <c r="U47" s="36"/>
    </row>
    <row r="48" spans="11:21" ht="15.4" x14ac:dyDescent="0.4">
      <c r="K48" s="29"/>
      <c r="L48" s="27"/>
      <c r="M48" s="27"/>
      <c r="N48" s="27"/>
      <c r="O48" s="28"/>
      <c r="P48" s="28"/>
      <c r="Q48" s="27"/>
      <c r="R48" s="27"/>
      <c r="S48" s="27"/>
      <c r="T48" s="35"/>
      <c r="U48" s="36"/>
    </row>
    <row r="49" spans="11:21" ht="15.4" x14ac:dyDescent="0.4">
      <c r="K49" s="29"/>
      <c r="L49" s="27"/>
      <c r="M49" s="27"/>
      <c r="N49" s="27"/>
      <c r="O49" s="28"/>
      <c r="P49" s="28"/>
      <c r="Q49" s="27"/>
      <c r="R49" s="27"/>
      <c r="S49" s="27"/>
      <c r="T49" s="35"/>
      <c r="U49" s="36"/>
    </row>
    <row r="50" spans="11:21" ht="15.4" x14ac:dyDescent="0.4">
      <c r="K50" s="29"/>
      <c r="L50" s="27"/>
      <c r="M50" s="27"/>
      <c r="N50" s="27"/>
      <c r="O50" s="28"/>
      <c r="P50" s="28"/>
      <c r="Q50" s="27"/>
      <c r="R50" s="27"/>
      <c r="S50" s="27"/>
      <c r="T50" s="35"/>
      <c r="U50" s="36"/>
    </row>
    <row r="51" spans="11:21" ht="15.4" x14ac:dyDescent="0.4">
      <c r="K51" s="29"/>
      <c r="L51" s="27"/>
      <c r="M51" s="27"/>
      <c r="N51" s="27"/>
      <c r="O51" s="28"/>
      <c r="P51" s="28"/>
      <c r="Q51" s="27"/>
      <c r="R51" s="27"/>
      <c r="S51" s="27"/>
      <c r="T51" s="35"/>
      <c r="U51" s="36"/>
    </row>
    <row r="52" spans="11:21" ht="15.4" x14ac:dyDescent="0.4">
      <c r="K52" s="29"/>
      <c r="L52" s="27"/>
      <c r="M52" s="27"/>
      <c r="N52" s="27"/>
      <c r="O52" s="28"/>
      <c r="P52" s="28"/>
      <c r="Q52" s="27"/>
      <c r="R52" s="27"/>
      <c r="S52" s="27"/>
      <c r="T52" s="35"/>
      <c r="U52" s="36"/>
    </row>
    <row r="53" spans="11:21" ht="15.4" x14ac:dyDescent="0.4">
      <c r="K53" s="29"/>
      <c r="L53" s="27"/>
      <c r="M53" s="27"/>
      <c r="N53" s="27"/>
      <c r="O53" s="28"/>
      <c r="P53" s="28"/>
      <c r="Q53" s="27"/>
      <c r="R53" s="27"/>
      <c r="S53" s="27"/>
      <c r="T53" s="35"/>
      <c r="U53" s="36"/>
    </row>
    <row r="54" spans="11:21" ht="15.4" x14ac:dyDescent="0.4">
      <c r="K54" s="29"/>
      <c r="L54" s="27"/>
      <c r="M54" s="27"/>
      <c r="N54" s="27"/>
      <c r="O54" s="28"/>
      <c r="P54" s="28"/>
      <c r="Q54" s="27"/>
      <c r="R54" s="27"/>
      <c r="S54" s="27"/>
      <c r="T54" s="35"/>
      <c r="U54" s="36"/>
    </row>
    <row r="55" spans="11:21" ht="15.4" x14ac:dyDescent="0.4">
      <c r="K55" s="29"/>
      <c r="L55" s="27"/>
      <c r="M55" s="27"/>
      <c r="N55" s="27"/>
      <c r="O55" s="28"/>
      <c r="P55" s="28"/>
      <c r="Q55" s="27"/>
      <c r="R55" s="27"/>
      <c r="S55" s="27"/>
      <c r="T55" s="35"/>
      <c r="U55" s="36"/>
    </row>
    <row r="56" spans="11:21" ht="15.4" x14ac:dyDescent="0.4">
      <c r="K56" s="29"/>
      <c r="L56" s="27"/>
      <c r="M56" s="27"/>
      <c r="N56" s="27"/>
      <c r="O56" s="28"/>
      <c r="P56" s="28"/>
      <c r="Q56" s="27"/>
      <c r="R56" s="27"/>
      <c r="S56" s="27"/>
      <c r="T56" s="35"/>
      <c r="U56" s="36"/>
    </row>
    <row r="57" spans="11:21" ht="15.4" x14ac:dyDescent="0.4">
      <c r="K57" s="29"/>
      <c r="L57" s="27"/>
      <c r="M57" s="27"/>
      <c r="N57" s="27"/>
      <c r="O57" s="28"/>
      <c r="P57" s="28"/>
      <c r="Q57" s="27"/>
      <c r="R57" s="27"/>
      <c r="S57" s="27"/>
      <c r="T57" s="35"/>
      <c r="U57" s="36"/>
    </row>
    <row r="58" spans="11:21" ht="15.4" x14ac:dyDescent="0.4">
      <c r="K58" s="29"/>
      <c r="L58" s="27"/>
      <c r="M58" s="27"/>
      <c r="N58" s="27"/>
      <c r="O58" s="28"/>
      <c r="P58" s="28"/>
      <c r="Q58" s="27"/>
      <c r="R58" s="27"/>
      <c r="S58" s="27"/>
      <c r="T58" s="35"/>
      <c r="U58" s="36"/>
    </row>
    <row r="59" spans="11:21" ht="15.4" x14ac:dyDescent="0.4">
      <c r="K59" s="29"/>
      <c r="L59" s="27"/>
      <c r="M59" s="27"/>
      <c r="N59" s="27"/>
      <c r="O59" s="28"/>
      <c r="P59" s="28"/>
      <c r="Q59" s="40"/>
      <c r="R59" s="40"/>
      <c r="S59" s="40"/>
      <c r="T59" s="35"/>
      <c r="U59" s="36"/>
    </row>
  </sheetData>
  <mergeCells count="3">
    <mergeCell ref="B1:I1"/>
    <mergeCell ref="T1:U1"/>
    <mergeCell ref="B2:I2"/>
  </mergeCells>
  <phoneticPr fontId="3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0"/>
  <sheetViews>
    <sheetView zoomScale="85" zoomScaleNormal="85" workbookViewId="0">
      <selection activeCell="B4" sqref="B4:B6"/>
    </sheetView>
  </sheetViews>
  <sheetFormatPr defaultColWidth="8.86328125" defaultRowHeight="13.9" x14ac:dyDescent="0.4"/>
  <cols>
    <col min="2" max="2" width="14.33203125"/>
    <col min="11" max="11" width="12.86328125"/>
    <col min="12" max="13" width="10.6640625"/>
    <col min="14" max="18" width="12.86328125"/>
    <col min="19" max="19" width="13.33203125" customWidth="1"/>
    <col min="20" max="21" width="14.33203125"/>
    <col min="22" max="22" width="12.86328125"/>
  </cols>
  <sheetData>
    <row r="1" spans="1:22" ht="25.15" x14ac:dyDescent="0.4">
      <c r="A1" s="1"/>
      <c r="B1" s="140" t="s">
        <v>6</v>
      </c>
      <c r="C1" s="140"/>
      <c r="D1" s="140"/>
      <c r="E1" s="140"/>
      <c r="F1" s="140"/>
      <c r="G1" s="140"/>
      <c r="H1" s="140"/>
      <c r="I1" s="140"/>
      <c r="K1" s="17" t="s">
        <v>36</v>
      </c>
      <c r="L1" s="18"/>
      <c r="M1" s="18"/>
      <c r="N1" s="18"/>
      <c r="O1" s="18"/>
      <c r="P1" s="18"/>
      <c r="Q1" s="18"/>
      <c r="R1" s="18"/>
      <c r="S1" s="18"/>
      <c r="T1" s="134" t="s">
        <v>5</v>
      </c>
      <c r="U1" s="135"/>
    </row>
    <row r="2" spans="1:22" ht="15.75" x14ac:dyDescent="0.4">
      <c r="A2" s="3"/>
      <c r="B2" s="140" t="s">
        <v>13</v>
      </c>
      <c r="C2" s="140"/>
      <c r="D2" s="140"/>
      <c r="E2" s="140"/>
      <c r="F2" s="140"/>
      <c r="G2" s="140"/>
      <c r="H2" s="140"/>
      <c r="I2" s="140"/>
      <c r="K2" s="19" t="s">
        <v>7</v>
      </c>
      <c r="L2" s="20" t="s">
        <v>8</v>
      </c>
      <c r="M2" s="21" t="s">
        <v>9</v>
      </c>
      <c r="N2" s="22" t="s">
        <v>10</v>
      </c>
      <c r="O2" s="23" t="s">
        <v>11</v>
      </c>
      <c r="P2" s="24" t="s">
        <v>12</v>
      </c>
      <c r="Q2" s="31" t="s">
        <v>40</v>
      </c>
      <c r="R2" s="31" t="s">
        <v>27</v>
      </c>
      <c r="S2" s="31" t="s">
        <v>41</v>
      </c>
      <c r="T2" s="32" t="s">
        <v>3</v>
      </c>
      <c r="U2" s="33" t="s">
        <v>2</v>
      </c>
      <c r="V2" s="31" t="s">
        <v>42</v>
      </c>
    </row>
    <row r="3" spans="1:22" ht="15.75" x14ac:dyDescent="0.4">
      <c r="A3" s="3"/>
      <c r="B3" s="2"/>
      <c r="C3" s="2"/>
      <c r="D3" s="2"/>
      <c r="E3" s="2"/>
      <c r="F3" s="2"/>
      <c r="G3" s="2"/>
      <c r="H3" s="2"/>
      <c r="I3" s="2"/>
      <c r="K3" s="19">
        <v>0</v>
      </c>
      <c r="L3" s="20"/>
      <c r="M3" s="21"/>
      <c r="N3" s="22"/>
      <c r="O3" s="23"/>
      <c r="P3" s="25"/>
      <c r="Q3" s="22">
        <v>0</v>
      </c>
      <c r="R3" s="22">
        <v>0</v>
      </c>
      <c r="S3" s="22">
        <v>0</v>
      </c>
      <c r="T3" s="32"/>
      <c r="U3" s="33"/>
      <c r="V3" s="34">
        <v>0</v>
      </c>
    </row>
    <row r="4" spans="1:22" ht="15.4" x14ac:dyDescent="0.45">
      <c r="A4" s="4" t="s">
        <v>37</v>
      </c>
      <c r="B4" s="5">
        <v>6.08</v>
      </c>
      <c r="K4" s="26">
        <v>0.1</v>
      </c>
      <c r="L4" s="27">
        <f t="shared" ref="L4:L13" si="0">K4*B$5</f>
        <v>3.2880000000000004E-5</v>
      </c>
      <c r="M4" s="27">
        <f t="shared" ref="M4:M13" si="1">K4*B$4</f>
        <v>0.6080000000000001</v>
      </c>
      <c r="N4" s="27">
        <f t="shared" ref="N4:N13" si="2">LN(1+L4)</f>
        <v>3.2879459464661401E-5</v>
      </c>
      <c r="O4" s="28">
        <f t="shared" ref="O4:O13" si="3">M4*(1+L4)</f>
        <v>0.60801999104000015</v>
      </c>
      <c r="P4" s="28">
        <f t="shared" ref="P4:P13" si="4">N4-O4/B$8</f>
        <v>1.8573106734308457E-5</v>
      </c>
      <c r="Q4" s="27">
        <f>1.604*K4/(0.604*K4^2.656+1)</f>
        <v>0.1601863698732415</v>
      </c>
      <c r="R4" s="27">
        <f>K4/(0.92*K4^1.09+0.08)</f>
        <v>0.64607660377387388</v>
      </c>
      <c r="S4" s="27">
        <f>1.3*K4+0.4*K4^2-0.7*K4^3</f>
        <v>0.1333</v>
      </c>
      <c r="T4" s="35">
        <f t="shared" ref="T4:T14" si="5">1-(O4/(B$8*N4))^0.5</f>
        <v>0.34036737152657703</v>
      </c>
      <c r="U4" s="36">
        <f t="shared" ref="U4:U14" si="6">P4</f>
        <v>1.8573106734308457E-5</v>
      </c>
      <c r="V4">
        <f>1.09*K4+0.82*K4^2-0.91*K4^3</f>
        <v>0.11629000000000002</v>
      </c>
    </row>
    <row r="5" spans="1:22" ht="17.649999999999999" x14ac:dyDescent="0.4">
      <c r="A5" s="6" t="s">
        <v>38</v>
      </c>
      <c r="B5" s="7">
        <f>3.288*10^-4</f>
        <v>3.2880000000000002E-4</v>
      </c>
      <c r="D5" t="s">
        <v>22</v>
      </c>
      <c r="E5" t="s">
        <v>43</v>
      </c>
      <c r="F5" t="s">
        <v>44</v>
      </c>
      <c r="G5" t="s">
        <v>3</v>
      </c>
      <c r="H5" t="s">
        <v>45</v>
      </c>
      <c r="K5" s="26">
        <v>0.2</v>
      </c>
      <c r="L5" s="27">
        <f t="shared" si="0"/>
        <v>6.5760000000000007E-5</v>
      </c>
      <c r="M5" s="27">
        <f t="shared" si="1"/>
        <v>1.2160000000000002</v>
      </c>
      <c r="N5" s="27">
        <f t="shared" si="2"/>
        <v>6.5757837906011476E-5</v>
      </c>
      <c r="O5" s="28">
        <f t="shared" si="3"/>
        <v>1.2160799641600002</v>
      </c>
      <c r="P5" s="28">
        <f t="shared" si="4"/>
        <v>3.7144191690482059E-5</v>
      </c>
      <c r="Q5" s="27">
        <f t="shared" ref="Q5:Q13" si="7">1.604*K5/(0.604*K5^2.656+1)</f>
        <v>0.31812593668815253</v>
      </c>
      <c r="R5" s="27">
        <f t="shared" ref="R5:R13" si="8">K5/(0.92*K5^1.09+0.08)</f>
        <v>0.83616209785434936</v>
      </c>
      <c r="S5" s="27">
        <f t="shared" ref="S5:S13" si="9">1.3*K5+0.4*K5^2-0.7*K5^3</f>
        <v>0.27040000000000003</v>
      </c>
      <c r="T5" s="35">
        <f t="shared" si="5"/>
        <v>0.34035110554306736</v>
      </c>
      <c r="U5" s="36">
        <f t="shared" si="6"/>
        <v>3.7144191690482059E-5</v>
      </c>
      <c r="V5">
        <f t="shared" ref="V5:V13" si="10">1.09*K5+0.82*K5^2-0.91*K5^3</f>
        <v>0.24352000000000001</v>
      </c>
    </row>
    <row r="6" spans="1:22" ht="17.649999999999999" x14ac:dyDescent="0.5">
      <c r="A6" s="8" t="s">
        <v>39</v>
      </c>
      <c r="B6" s="9">
        <f>2.195*10^-3</f>
        <v>2.1949999999999999E-3</v>
      </c>
      <c r="K6" s="26">
        <v>0.3</v>
      </c>
      <c r="L6" s="27">
        <f t="shared" si="0"/>
        <v>9.8640000000000004E-5</v>
      </c>
      <c r="M6" s="27">
        <f t="shared" si="1"/>
        <v>1.8239999999999998</v>
      </c>
      <c r="N6" s="27">
        <f t="shared" si="2"/>
        <v>9.8635135395132477E-5</v>
      </c>
      <c r="O6" s="28">
        <f t="shared" si="3"/>
        <v>1.8241799193599999</v>
      </c>
      <c r="P6" s="28">
        <f t="shared" si="4"/>
        <v>5.5713254939603065E-5</v>
      </c>
      <c r="Q6" s="27">
        <f t="shared" si="7"/>
        <v>0.4696119559786554</v>
      </c>
      <c r="R6" s="27">
        <f t="shared" si="8"/>
        <v>0.91559258599437732</v>
      </c>
      <c r="S6" s="27">
        <f t="shared" si="9"/>
        <v>0.40710000000000002</v>
      </c>
      <c r="T6" s="35">
        <f t="shared" si="5"/>
        <v>0.34033483966354305</v>
      </c>
      <c r="U6" s="36">
        <f t="shared" si="6"/>
        <v>5.5713254939603065E-5</v>
      </c>
      <c r="V6">
        <f t="shared" si="10"/>
        <v>0.37623000000000001</v>
      </c>
    </row>
    <row r="7" spans="1:22" ht="15.4" x14ac:dyDescent="0.4">
      <c r="A7" s="10"/>
      <c r="B7" s="11"/>
      <c r="K7" s="26">
        <v>0.4</v>
      </c>
      <c r="L7" s="27">
        <f t="shared" si="0"/>
        <v>1.3152000000000001E-4</v>
      </c>
      <c r="M7" s="27">
        <f t="shared" si="1"/>
        <v>2.4320000000000004</v>
      </c>
      <c r="N7" s="27">
        <f t="shared" si="2"/>
        <v>1.3151135200309966E-4</v>
      </c>
      <c r="O7" s="28">
        <f t="shared" si="3"/>
        <v>2.4323198566400004</v>
      </c>
      <c r="P7" s="28">
        <f t="shared" si="4"/>
        <v>7.4280296552746715E-5</v>
      </c>
      <c r="Q7" s="27">
        <f t="shared" si="7"/>
        <v>0.6093185752980107</v>
      </c>
      <c r="R7" s="27">
        <f t="shared" si="8"/>
        <v>0.95495005380143372</v>
      </c>
      <c r="S7" s="27">
        <f t="shared" si="9"/>
        <v>0.53920000000000012</v>
      </c>
      <c r="T7" s="35">
        <f t="shared" si="5"/>
        <v>0.34031857388799913</v>
      </c>
      <c r="U7" s="36">
        <f t="shared" si="6"/>
        <v>7.4280296552746715E-5</v>
      </c>
      <c r="V7">
        <f t="shared" si="10"/>
        <v>0.50896000000000008</v>
      </c>
    </row>
    <row r="8" spans="1:22" ht="15.4" x14ac:dyDescent="0.45">
      <c r="A8" s="12" t="s">
        <v>17</v>
      </c>
      <c r="B8" s="9">
        <v>42500</v>
      </c>
      <c r="K8" s="26">
        <v>0.5</v>
      </c>
      <c r="L8" s="27">
        <f t="shared" si="0"/>
        <v>1.6440000000000001E-4</v>
      </c>
      <c r="M8" s="27">
        <f t="shared" si="1"/>
        <v>3.04</v>
      </c>
      <c r="N8" s="27">
        <f t="shared" si="2"/>
        <v>1.6438648780098123E-4</v>
      </c>
      <c r="O8" s="28">
        <f t="shared" si="3"/>
        <v>3.0404997760000003</v>
      </c>
      <c r="P8" s="28">
        <f t="shared" si="4"/>
        <v>9.2845316600981227E-5</v>
      </c>
      <c r="Q8" s="27">
        <f t="shared" si="7"/>
        <v>0.73186537620502579</v>
      </c>
      <c r="R8" s="27">
        <f t="shared" si="8"/>
        <v>0.97621841229918116</v>
      </c>
      <c r="S8" s="27">
        <f t="shared" si="9"/>
        <v>0.66249999999999998</v>
      </c>
      <c r="T8" s="35">
        <f t="shared" si="5"/>
        <v>0.34030230821643115</v>
      </c>
      <c r="U8" s="36">
        <f t="shared" si="6"/>
        <v>9.2845316600981227E-5</v>
      </c>
      <c r="V8">
        <f t="shared" si="10"/>
        <v>0.63624999999999998</v>
      </c>
    </row>
    <row r="9" spans="1:22" ht="15.4" x14ac:dyDescent="0.4">
      <c r="A9" s="13"/>
      <c r="B9" s="14"/>
      <c r="K9" s="29">
        <v>0.6</v>
      </c>
      <c r="L9" s="27">
        <f t="shared" si="0"/>
        <v>1.9728000000000001E-4</v>
      </c>
      <c r="M9" s="27">
        <f t="shared" si="1"/>
        <v>3.6479999999999997</v>
      </c>
      <c r="N9" s="27">
        <f t="shared" si="2"/>
        <v>1.972605428598384E-4</v>
      </c>
      <c r="O9" s="28">
        <f t="shared" si="3"/>
        <v>3.6487196774399999</v>
      </c>
      <c r="P9" s="28">
        <f t="shared" si="4"/>
        <v>1.1140831515536781E-4</v>
      </c>
      <c r="Q9" s="27">
        <f t="shared" si="7"/>
        <v>0.8328665120502825</v>
      </c>
      <c r="R9" s="27">
        <f t="shared" si="8"/>
        <v>0.98814764874145522</v>
      </c>
      <c r="S9" s="27">
        <f t="shared" si="9"/>
        <v>0.77280000000000004</v>
      </c>
      <c r="T9" s="35">
        <f t="shared" si="5"/>
        <v>0.34028604264883422</v>
      </c>
      <c r="U9" s="36">
        <f t="shared" si="6"/>
        <v>1.1140831515536781E-4</v>
      </c>
      <c r="V9">
        <f t="shared" si="10"/>
        <v>0.75263999999999998</v>
      </c>
    </row>
    <row r="10" spans="1:22" ht="15.4" x14ac:dyDescent="0.4">
      <c r="A10" s="15"/>
      <c r="B10" s="16"/>
      <c r="K10" s="30">
        <v>0.7</v>
      </c>
      <c r="L10" s="27">
        <f t="shared" si="0"/>
        <v>2.3016000000000001E-4</v>
      </c>
      <c r="M10" s="27">
        <f t="shared" si="1"/>
        <v>4.2559999999999993</v>
      </c>
      <c r="N10" s="27">
        <f t="shared" si="2"/>
        <v>2.3013351725072539E-4</v>
      </c>
      <c r="O10" s="28">
        <f t="shared" si="3"/>
        <v>4.2569795609599996</v>
      </c>
      <c r="P10" s="28">
        <f t="shared" si="4"/>
        <v>1.2996929228696071E-4</v>
      </c>
      <c r="Q10" s="27">
        <f t="shared" si="7"/>
        <v>0.90972700131976925</v>
      </c>
      <c r="R10" s="27">
        <f t="shared" si="8"/>
        <v>0.99480511976506747</v>
      </c>
      <c r="S10" s="27">
        <f t="shared" si="9"/>
        <v>0.86589999999999989</v>
      </c>
      <c r="T10" s="35">
        <f t="shared" si="5"/>
        <v>0.34026977718520357</v>
      </c>
      <c r="U10" s="36">
        <f t="shared" si="6"/>
        <v>1.2996929228696071E-4</v>
      </c>
      <c r="V10">
        <f t="shared" si="10"/>
        <v>0.85267000000000015</v>
      </c>
    </row>
    <row r="11" spans="1:22" ht="15.4" x14ac:dyDescent="0.4">
      <c r="K11" s="26">
        <v>0.8</v>
      </c>
      <c r="L11" s="27">
        <f t="shared" si="0"/>
        <v>2.6304000000000003E-4</v>
      </c>
      <c r="M11" s="27">
        <f t="shared" si="1"/>
        <v>4.8640000000000008</v>
      </c>
      <c r="N11" s="27">
        <f t="shared" si="2"/>
        <v>2.6300541104468946E-4</v>
      </c>
      <c r="O11" s="28">
        <f t="shared" si="3"/>
        <v>4.8652794265600017</v>
      </c>
      <c r="P11" s="28">
        <f t="shared" si="4"/>
        <v>1.4852824806680707E-4</v>
      </c>
      <c r="Q11" s="27">
        <f t="shared" si="7"/>
        <v>0.96197589165639152</v>
      </c>
      <c r="R11" s="27">
        <f t="shared" si="8"/>
        <v>0.99829490525539455</v>
      </c>
      <c r="S11" s="27">
        <f t="shared" si="9"/>
        <v>0.93759999999999999</v>
      </c>
      <c r="T11" s="35">
        <f t="shared" si="5"/>
        <v>0.34025351182553421</v>
      </c>
      <c r="U11" s="36">
        <f t="shared" si="6"/>
        <v>1.4852824806680707E-4</v>
      </c>
      <c r="V11">
        <f t="shared" si="10"/>
        <v>0.93088000000000015</v>
      </c>
    </row>
    <row r="12" spans="1:22" ht="15.4" x14ac:dyDescent="0.4">
      <c r="A12" s="133" t="s">
        <v>96</v>
      </c>
      <c r="K12" s="26">
        <v>0.9</v>
      </c>
      <c r="L12" s="27">
        <f t="shared" si="0"/>
        <v>2.9592000000000003E-4</v>
      </c>
      <c r="M12" s="27">
        <f t="shared" si="1"/>
        <v>5.4720000000000004</v>
      </c>
      <c r="N12" s="27">
        <f t="shared" si="2"/>
        <v>2.9587622431254877E-4</v>
      </c>
      <c r="O12" s="28">
        <f t="shared" si="3"/>
        <v>5.4736192742399998</v>
      </c>
      <c r="P12" s="28">
        <f t="shared" si="4"/>
        <v>1.6708518256572524E-4</v>
      </c>
      <c r="Q12" s="27">
        <f t="shared" si="7"/>
        <v>0.99109718426045357</v>
      </c>
      <c r="R12" s="27">
        <f t="shared" si="8"/>
        <v>0.99979377304998673</v>
      </c>
      <c r="S12" s="27">
        <f t="shared" si="9"/>
        <v>0.98370000000000013</v>
      </c>
      <c r="T12" s="35">
        <f t="shared" si="5"/>
        <v>0.34023724656957455</v>
      </c>
      <c r="U12" s="36">
        <f t="shared" si="6"/>
        <v>1.6708518256572524E-4</v>
      </c>
      <c r="V12">
        <f t="shared" si="10"/>
        <v>0.98180999999999985</v>
      </c>
    </row>
    <row r="13" spans="1:22" ht="15.4" x14ac:dyDescent="0.4">
      <c r="K13" s="29">
        <v>1</v>
      </c>
      <c r="L13" s="27">
        <f t="shared" si="0"/>
        <v>3.2880000000000002E-4</v>
      </c>
      <c r="M13" s="27">
        <f t="shared" si="1"/>
        <v>6.08</v>
      </c>
      <c r="N13" s="27">
        <f t="shared" si="2"/>
        <v>3.2874595712578046E-4</v>
      </c>
      <c r="O13" s="28">
        <f t="shared" si="3"/>
        <v>6.0819991039999994</v>
      </c>
      <c r="P13" s="28">
        <f t="shared" si="4"/>
        <v>1.8564009585519224E-4</v>
      </c>
      <c r="Q13" s="27">
        <f t="shared" si="7"/>
        <v>1</v>
      </c>
      <c r="R13" s="27">
        <f t="shared" si="8"/>
        <v>1</v>
      </c>
      <c r="S13" s="27">
        <f t="shared" si="9"/>
        <v>1.0000000000000002</v>
      </c>
      <c r="T13" s="35">
        <f t="shared" si="5"/>
        <v>0.34022098141783885</v>
      </c>
      <c r="U13" s="36">
        <f t="shared" si="6"/>
        <v>1.8564009585519224E-4</v>
      </c>
      <c r="V13">
        <f t="shared" si="10"/>
        <v>1</v>
      </c>
    </row>
    <row r="14" spans="1:22" ht="15.4" x14ac:dyDescent="0.4">
      <c r="K14" s="26">
        <v>1.1000000000000001</v>
      </c>
      <c r="L14" s="27"/>
      <c r="M14" s="27"/>
      <c r="N14" s="27"/>
      <c r="O14" s="28"/>
      <c r="P14" s="28"/>
      <c r="Q14" s="37">
        <f>K14/(0.025*(K14-1)^1.7+K14)</f>
        <v>0.99954673683271533</v>
      </c>
      <c r="R14" s="37">
        <f>K14/(0.1*(K14-1)^2.4+K14)</f>
        <v>0.99963821532592678</v>
      </c>
      <c r="S14" s="37">
        <f>K14/(7*(K14-1)^1.7+K14)</f>
        <v>0.8873340916621425</v>
      </c>
      <c r="T14" s="35" t="e">
        <f t="shared" si="5"/>
        <v>#DIV/0!</v>
      </c>
      <c r="U14" s="36">
        <f t="shared" si="6"/>
        <v>0</v>
      </c>
      <c r="V14">
        <f>K14/(5.5*(K14-1)^1.9+K14)</f>
        <v>0.94078132420109373</v>
      </c>
    </row>
    <row r="15" spans="1:22" ht="15.4" x14ac:dyDescent="0.4">
      <c r="K15" s="26">
        <v>1.2</v>
      </c>
      <c r="L15" s="27"/>
      <c r="M15" s="27"/>
      <c r="N15" s="27"/>
      <c r="O15" s="28"/>
      <c r="P15" s="28"/>
      <c r="Q15" s="37">
        <f t="shared" ref="Q15:Q43" si="11">K15/(0.025*(K15-1)^1.7+K15)</f>
        <v>0.99865127435368595</v>
      </c>
      <c r="R15" s="37">
        <f t="shared" ref="R15:R43" si="12">K15/(0.1*(K15-1)^2.4+K15)</f>
        <v>0.99825204217029118</v>
      </c>
      <c r="S15" s="37">
        <f t="shared" ref="S15:S43" si="13">K15/(7*(K15-1)^1.7+K15)</f>
        <v>0.72560873183224661</v>
      </c>
      <c r="T15" s="35"/>
      <c r="U15" s="36"/>
      <c r="V15">
        <f t="shared" ref="V15:V43" si="14">K15/(5.5*(K15-1)^1.9+K15)</f>
        <v>0.82281040676750405</v>
      </c>
    </row>
    <row r="16" spans="1:22" ht="15.4" x14ac:dyDescent="0.4">
      <c r="K16" s="29">
        <v>1.3</v>
      </c>
      <c r="L16" s="27"/>
      <c r="M16" s="27"/>
      <c r="N16" s="27"/>
      <c r="O16" s="28"/>
      <c r="P16" s="28"/>
      <c r="Q16" s="37">
        <f t="shared" si="11"/>
        <v>0.99752243269959329</v>
      </c>
      <c r="R16" s="37">
        <f t="shared" si="12"/>
        <v>0.99574113271643494</v>
      </c>
      <c r="S16" s="37">
        <f t="shared" si="13"/>
        <v>0.58981674961189789</v>
      </c>
      <c r="T16" s="35"/>
      <c r="U16" s="36"/>
      <c r="V16">
        <f t="shared" si="14"/>
        <v>0.69955180334987077</v>
      </c>
    </row>
    <row r="17" spans="11:22" ht="15.4" x14ac:dyDescent="0.4">
      <c r="K17" s="26">
        <v>1.4</v>
      </c>
      <c r="L17" s="27"/>
      <c r="M17" s="27"/>
      <c r="N17" s="27"/>
      <c r="O17" s="28"/>
      <c r="P17" s="28"/>
      <c r="Q17" s="37">
        <f t="shared" si="11"/>
        <v>0.99625300079639156</v>
      </c>
      <c r="R17" s="37">
        <f t="shared" si="12"/>
        <v>0.99214060407543181</v>
      </c>
      <c r="S17" s="37">
        <f t="shared" si="13"/>
        <v>0.48706696839190061</v>
      </c>
      <c r="T17" s="35"/>
      <c r="U17" s="36"/>
      <c r="V17">
        <f t="shared" si="14"/>
        <v>0.59210556497115985</v>
      </c>
    </row>
    <row r="18" spans="11:22" ht="15.4" x14ac:dyDescent="0.4">
      <c r="K18" s="26">
        <v>1.5</v>
      </c>
      <c r="L18" s="27"/>
      <c r="M18" s="27"/>
      <c r="N18" s="27"/>
      <c r="O18" s="28"/>
      <c r="P18" s="28"/>
      <c r="Q18" s="37">
        <f t="shared" si="11"/>
        <v>0.99489641183629529</v>
      </c>
      <c r="R18" s="37">
        <f t="shared" si="12"/>
        <v>0.98752658002324512</v>
      </c>
      <c r="S18" s="37">
        <f t="shared" si="13"/>
        <v>0.41045256045766598</v>
      </c>
      <c r="T18" s="35"/>
      <c r="U18" s="36"/>
      <c r="V18">
        <f t="shared" si="14"/>
        <v>0.50442404927674489</v>
      </c>
    </row>
    <row r="19" spans="11:22" ht="15.4" x14ac:dyDescent="0.4">
      <c r="K19" s="29">
        <v>1.6</v>
      </c>
      <c r="L19" s="27"/>
      <c r="M19" s="27"/>
      <c r="N19" s="27"/>
      <c r="O19" s="28"/>
      <c r="P19" s="28"/>
      <c r="Q19" s="37">
        <f t="shared" si="11"/>
        <v>0.99348613189128776</v>
      </c>
      <c r="R19" s="37">
        <f t="shared" si="12"/>
        <v>0.98198851882911364</v>
      </c>
      <c r="S19" s="37">
        <f t="shared" si="13"/>
        <v>0.35262901683932935</v>
      </c>
      <c r="T19" s="35"/>
      <c r="U19" s="36"/>
      <c r="V19">
        <f t="shared" si="14"/>
        <v>0.43433748798699301</v>
      </c>
    </row>
    <row r="20" spans="11:22" ht="15.4" x14ac:dyDescent="0.4">
      <c r="K20" s="26">
        <v>1.7</v>
      </c>
      <c r="L20" s="27"/>
      <c r="M20" s="27"/>
      <c r="N20" s="27"/>
      <c r="O20" s="28"/>
      <c r="P20" s="28"/>
      <c r="Q20" s="37">
        <f t="shared" si="11"/>
        <v>0.99204411057381325</v>
      </c>
      <c r="R20" s="37">
        <f t="shared" si="12"/>
        <v>0.97561817241837923</v>
      </c>
      <c r="S20" s="37">
        <f t="shared" si="13"/>
        <v>0.30811759518224446</v>
      </c>
      <c r="T20" s="35"/>
      <c r="U20" s="36"/>
      <c r="V20">
        <f t="shared" si="14"/>
        <v>0.37837824633750744</v>
      </c>
    </row>
    <row r="21" spans="11:22" ht="15.4" x14ac:dyDescent="0.4">
      <c r="K21" s="26">
        <v>1.8</v>
      </c>
      <c r="L21" s="27"/>
      <c r="M21" s="27"/>
      <c r="N21" s="27"/>
      <c r="O21" s="28"/>
      <c r="P21" s="28"/>
      <c r="Q21" s="37">
        <f t="shared" si="11"/>
        <v>0.99058517384785416</v>
      </c>
      <c r="R21" s="37">
        <f t="shared" si="12"/>
        <v>0.96850473885208088</v>
      </c>
      <c r="S21" s="37">
        <f t="shared" si="13"/>
        <v>0.27313403519054519</v>
      </c>
      <c r="T21" s="35"/>
      <c r="U21" s="36"/>
      <c r="V21">
        <f t="shared" si="14"/>
        <v>0.3333685566461102</v>
      </c>
    </row>
    <row r="22" spans="11:22" ht="15.4" x14ac:dyDescent="0.4">
      <c r="K22" s="29">
        <v>1.9</v>
      </c>
      <c r="L22" s="27"/>
      <c r="M22" s="27"/>
      <c r="N22" s="27"/>
      <c r="O22" s="28"/>
      <c r="P22" s="28"/>
      <c r="Q22" s="37">
        <f t="shared" si="11"/>
        <v>0.98911953508137151</v>
      </c>
      <c r="R22" s="37">
        <f t="shared" si="12"/>
        <v>0.96073270398679922</v>
      </c>
      <c r="S22" s="37">
        <f t="shared" si="13"/>
        <v>0.24509548786341551</v>
      </c>
      <c r="T22" s="35"/>
      <c r="U22" s="36"/>
      <c r="V22">
        <f t="shared" si="14"/>
        <v>0.2967736215924674</v>
      </c>
    </row>
    <row r="23" spans="11:22" ht="15.4" x14ac:dyDescent="0.4">
      <c r="K23" s="26">
        <v>2</v>
      </c>
      <c r="L23" s="27"/>
      <c r="M23" s="27"/>
      <c r="N23" s="27"/>
      <c r="O23" s="28"/>
      <c r="P23" s="28"/>
      <c r="Q23" s="37">
        <f t="shared" si="11"/>
        <v>0.98765432098765438</v>
      </c>
      <c r="R23" s="37">
        <f t="shared" si="12"/>
        <v>0.95238095238095233</v>
      </c>
      <c r="S23" s="37">
        <f t="shared" si="13"/>
        <v>0.22222222222222221</v>
      </c>
      <c r="T23" s="35"/>
      <c r="U23" s="36"/>
      <c r="V23">
        <f t="shared" si="14"/>
        <v>0.26666666666666666</v>
      </c>
    </row>
    <row r="24" spans="11:22" ht="15.4" x14ac:dyDescent="0.4">
      <c r="K24" s="26">
        <v>2.1</v>
      </c>
      <c r="L24" s="27"/>
      <c r="M24" s="27"/>
      <c r="N24" s="27"/>
      <c r="O24" s="28"/>
      <c r="P24" s="28"/>
      <c r="Q24" s="37">
        <f t="shared" si="11"/>
        <v>0.98619454029804321</v>
      </c>
      <c r="R24" s="37">
        <f t="shared" si="12"/>
        <v>0.9435225065565952</v>
      </c>
      <c r="S24" s="37">
        <f t="shared" si="13"/>
        <v>0.20326685758642277</v>
      </c>
      <c r="T24" s="35"/>
      <c r="U24" s="36"/>
      <c r="V24">
        <f t="shared" si="14"/>
        <v>0.24160501974216231</v>
      </c>
    </row>
    <row r="25" spans="11:22" ht="15.4" x14ac:dyDescent="0.4">
      <c r="K25" s="29">
        <v>2.2000000000000002</v>
      </c>
      <c r="L25" s="27"/>
      <c r="M25" s="27"/>
      <c r="N25" s="27"/>
      <c r="O25" s="28"/>
      <c r="P25" s="28"/>
      <c r="Q25" s="37">
        <f t="shared" si="11"/>
        <v>0.98474371947290451</v>
      </c>
      <c r="R25" s="37">
        <f t="shared" si="12"/>
        <v>0.93422458432351141</v>
      </c>
      <c r="S25" s="37">
        <f t="shared" si="13"/>
        <v>0.18733820883972377</v>
      </c>
      <c r="T25" s="35"/>
      <c r="U25" s="36"/>
      <c r="V25">
        <f t="shared" si="14"/>
        <v>0.22050916198517256</v>
      </c>
    </row>
    <row r="26" spans="11:22" ht="15.4" x14ac:dyDescent="0.4">
      <c r="K26" s="26">
        <v>2.2999999999999998</v>
      </c>
      <c r="L26" s="27"/>
      <c r="M26" s="27"/>
      <c r="N26" s="27"/>
      <c r="O26" s="28"/>
      <c r="P26" s="28"/>
      <c r="Q26" s="37">
        <f t="shared" si="11"/>
        <v>0.98330433109180959</v>
      </c>
      <c r="R26" s="37">
        <f t="shared" si="12"/>
        <v>0.92454881647298437</v>
      </c>
      <c r="S26" s="37">
        <f t="shared" si="13"/>
        <v>0.17378727602787492</v>
      </c>
      <c r="T26" s="35"/>
      <c r="U26" s="36"/>
      <c r="V26">
        <f t="shared" si="14"/>
        <v>0.20256636206872125</v>
      </c>
    </row>
    <row r="27" spans="11:22" ht="15.4" x14ac:dyDescent="0.4">
      <c r="K27" s="26">
        <v>2.4</v>
      </c>
      <c r="L27" s="27"/>
      <c r="M27" s="27"/>
      <c r="N27" s="27"/>
      <c r="O27" s="28"/>
      <c r="P27" s="28"/>
      <c r="Q27" s="37">
        <f t="shared" si="11"/>
        <v>0.98187808887215899</v>
      </c>
      <c r="R27" s="37">
        <f t="shared" si="12"/>
        <v>0.91455154193118771</v>
      </c>
      <c r="S27" s="37">
        <f t="shared" si="13"/>
        <v>0.16213275230565505</v>
      </c>
      <c r="T27" s="35"/>
      <c r="U27" s="36"/>
      <c r="V27">
        <f t="shared" si="14"/>
        <v>0.18715905948894557</v>
      </c>
    </row>
    <row r="28" spans="11:22" ht="15.4" x14ac:dyDescent="0.4">
      <c r="K28" s="29">
        <v>2.5</v>
      </c>
      <c r="L28" s="27"/>
      <c r="M28" s="27"/>
      <c r="N28" s="27"/>
      <c r="O28" s="28"/>
      <c r="P28" s="28"/>
      <c r="Q28" s="37">
        <f t="shared" si="11"/>
        <v>0.98046615456673003</v>
      </c>
      <c r="R28" s="37">
        <f t="shared" si="12"/>
        <v>0.90428413577607181</v>
      </c>
      <c r="S28" s="37">
        <f t="shared" si="13"/>
        <v>0.15201160280549045</v>
      </c>
      <c r="T28" s="35"/>
      <c r="U28" s="36"/>
      <c r="V28">
        <f t="shared" si="14"/>
        <v>0.17381300943853673</v>
      </c>
    </row>
    <row r="29" spans="11:22" ht="15.4" x14ac:dyDescent="0.4">
      <c r="K29" s="26">
        <v>2.6</v>
      </c>
      <c r="L29" s="27"/>
      <c r="M29" s="27"/>
      <c r="N29" s="27"/>
      <c r="O29" s="28"/>
      <c r="P29" s="28"/>
      <c r="Q29" s="37">
        <f t="shared" si="11"/>
        <v>0.97906928531901427</v>
      </c>
      <c r="R29" s="37">
        <f t="shared" si="12"/>
        <v>0.89379334582826453</v>
      </c>
      <c r="S29" s="37">
        <f t="shared" si="13"/>
        <v>0.14314570319616801</v>
      </c>
      <c r="T29" s="35"/>
      <c r="U29" s="36"/>
      <c r="V29">
        <f t="shared" si="14"/>
        <v>0.1621600144754082</v>
      </c>
    </row>
    <row r="30" spans="11:22" ht="15.4" x14ac:dyDescent="0.4">
      <c r="K30" s="26">
        <v>2.7</v>
      </c>
      <c r="L30" s="27"/>
      <c r="M30" s="27"/>
      <c r="N30" s="27"/>
      <c r="O30" s="28"/>
      <c r="P30" s="28"/>
      <c r="Q30" s="37">
        <f t="shared" si="11"/>
        <v>0.97768794000899961</v>
      </c>
      <c r="R30" s="37">
        <f t="shared" si="12"/>
        <v>0.88312162457442744</v>
      </c>
      <c r="S30" s="37">
        <f t="shared" si="13"/>
        <v>0.13531891761965964</v>
      </c>
      <c r="T30" s="35"/>
      <c r="U30" s="36"/>
      <c r="V30">
        <f t="shared" si="14"/>
        <v>0.15191109840677708</v>
      </c>
    </row>
    <row r="31" spans="11:22" ht="15.4" x14ac:dyDescent="0.4">
      <c r="K31" s="29">
        <v>2.8</v>
      </c>
      <c r="L31" s="27"/>
      <c r="M31" s="27"/>
      <c r="N31" s="27"/>
      <c r="O31" s="28"/>
      <c r="P31" s="28"/>
      <c r="Q31" s="37">
        <f t="shared" si="11"/>
        <v>0.9763223568811199</v>
      </c>
      <c r="R31" s="37">
        <f t="shared" si="12"/>
        <v>0.87230744931445015</v>
      </c>
      <c r="S31" s="37">
        <f t="shared" si="13"/>
        <v>0.12836107589766574</v>
      </c>
      <c r="T31" s="35"/>
      <c r="U31" s="36"/>
      <c r="V31">
        <f t="shared" si="14"/>
        <v>0.14283707842207657</v>
      </c>
    </row>
    <row r="32" spans="11:22" ht="15.4" x14ac:dyDescent="0.4">
      <c r="K32" s="26">
        <v>2.9</v>
      </c>
      <c r="L32" s="27"/>
      <c r="M32" s="27"/>
      <c r="N32" s="27"/>
      <c r="O32" s="28"/>
      <c r="P32" s="28"/>
      <c r="Q32" s="37">
        <f t="shared" si="11"/>
        <v>0.97497261076751607</v>
      </c>
      <c r="R32" s="37">
        <f t="shared" si="12"/>
        <v>0.86138562688034481</v>
      </c>
      <c r="S32" s="37">
        <f t="shared" si="13"/>
        <v>0.12213658837856269</v>
      </c>
      <c r="T32" s="35"/>
      <c r="U32" s="36"/>
      <c r="V32">
        <f t="shared" si="14"/>
        <v>0.13475437621172137</v>
      </c>
    </row>
    <row r="33" spans="11:22" ht="15.4" x14ac:dyDescent="0.4">
      <c r="K33" s="26">
        <v>3</v>
      </c>
      <c r="L33" s="27"/>
      <c r="M33" s="27"/>
      <c r="N33" s="27"/>
      <c r="O33" s="28"/>
      <c r="P33" s="28"/>
      <c r="Q33" s="37">
        <f t="shared" si="11"/>
        <v>0.9736386556260882</v>
      </c>
      <c r="R33" s="37">
        <f t="shared" si="12"/>
        <v>0.85038758124349134</v>
      </c>
      <c r="S33" s="37">
        <f t="shared" si="13"/>
        <v>0.11653623045701626</v>
      </c>
      <c r="T33" s="35"/>
      <c r="U33" s="36"/>
      <c r="V33">
        <f t="shared" si="14"/>
        <v>0.12751455615804619</v>
      </c>
    </row>
    <row r="34" spans="11:22" ht="15.4" x14ac:dyDescent="0.4">
      <c r="K34" s="29">
        <v>3.1</v>
      </c>
      <c r="L34" s="27"/>
      <c r="M34" s="27"/>
      <c r="N34" s="27"/>
      <c r="O34" s="28"/>
      <c r="P34" s="28"/>
      <c r="Q34" s="37">
        <f t="shared" si="11"/>
        <v>0.97232035638859293</v>
      </c>
      <c r="R34" s="37">
        <f t="shared" si="12"/>
        <v>0.83934162345493002</v>
      </c>
      <c r="S34" s="37">
        <f t="shared" si="13"/>
        <v>0.1114711282985528</v>
      </c>
      <c r="T34" s="35"/>
      <c r="U34" s="36"/>
      <c r="V34">
        <f t="shared" si="14"/>
        <v>0.12099653447892947</v>
      </c>
    </row>
    <row r="35" spans="11:22" ht="15.4" x14ac:dyDescent="0.4">
      <c r="K35" s="26">
        <v>3.2</v>
      </c>
      <c r="L35" s="27"/>
      <c r="M35" s="27"/>
      <c r="N35" s="27"/>
      <c r="O35" s="28"/>
      <c r="P35" s="28"/>
      <c r="Q35" s="37">
        <f t="shared" si="11"/>
        <v>0.97101751294771532</v>
      </c>
      <c r="R35" s="37">
        <f t="shared" si="12"/>
        <v>0.82827320400987847</v>
      </c>
      <c r="S35" s="37">
        <f t="shared" si="13"/>
        <v>0.10686829649738692</v>
      </c>
      <c r="T35" s="35"/>
      <c r="U35" s="36"/>
      <c r="V35">
        <f t="shared" si="14"/>
        <v>0.11510071922169615</v>
      </c>
    </row>
    <row r="36" spans="11:22" ht="15.4" x14ac:dyDescent="0.4">
      <c r="K36" s="26">
        <v>3.3</v>
      </c>
      <c r="L36" s="27"/>
      <c r="M36" s="27"/>
      <c r="N36" s="27"/>
      <c r="O36" s="28"/>
      <c r="P36" s="28"/>
      <c r="Q36" s="37">
        <f t="shared" si="11"/>
        <v>0.9697298783108067</v>
      </c>
      <c r="R36" s="37">
        <f t="shared" si="12"/>
        <v>0.81720514809515987</v>
      </c>
      <c r="S36" s="37">
        <f t="shared" si="13"/>
        <v>0.10266728559240824</v>
      </c>
      <c r="T36" s="35"/>
      <c r="U36" s="36"/>
      <c r="V36">
        <f t="shared" si="14"/>
        <v>0.1097445592096989</v>
      </c>
    </row>
    <row r="37" spans="11:22" ht="15.4" x14ac:dyDescent="0.4">
      <c r="K37" s="29">
        <v>3.4</v>
      </c>
      <c r="L37" s="27"/>
      <c r="M37" s="27"/>
      <c r="N37" s="27"/>
      <c r="O37" s="28"/>
      <c r="P37" s="28"/>
      <c r="Q37" s="37">
        <f t="shared" si="11"/>
        <v>0.96845717238977713</v>
      </c>
      <c r="R37" s="37">
        <f t="shared" si="12"/>
        <v>0.8061578743826</v>
      </c>
      <c r="S37" s="37">
        <f t="shared" si="13"/>
        <v>9.8817633962502163E-2</v>
      </c>
      <c r="T37" s="35"/>
      <c r="U37" s="36"/>
      <c r="V37">
        <f t="shared" si="14"/>
        <v>0.10485913099639263</v>
      </c>
    </row>
    <row r="38" spans="11:22" ht="15.4" x14ac:dyDescent="0.4">
      <c r="K38" s="26">
        <v>3.5</v>
      </c>
      <c r="L38" s="27"/>
      <c r="M38" s="27"/>
      <c r="N38" s="27"/>
      <c r="O38" s="28"/>
      <c r="P38" s="28"/>
      <c r="Q38" s="37">
        <f t="shared" si="11"/>
        <v>0.96719909250281766</v>
      </c>
      <c r="R38" s="37">
        <f t="shared" si="12"/>
        <v>0.79514959813961128</v>
      </c>
      <c r="S38" s="37">
        <f t="shared" si="13"/>
        <v>9.5276910038091203E-2</v>
      </c>
      <c r="T38" s="35"/>
      <c r="U38" s="36"/>
      <c r="V38">
        <f t="shared" si="14"/>
        <v>0.10038649785722381</v>
      </c>
    </row>
    <row r="39" spans="11:22" ht="15.4" x14ac:dyDescent="0.4">
      <c r="K39" s="26">
        <v>3.6</v>
      </c>
      <c r="L39" s="27"/>
      <c r="M39" s="27"/>
      <c r="N39" s="27"/>
      <c r="O39" s="28"/>
      <c r="P39" s="28"/>
      <c r="Q39" s="37">
        <f t="shared" si="11"/>
        <v>0.96595532138254026</v>
      </c>
      <c r="R39" s="37">
        <f t="shared" si="12"/>
        <v>0.7841965194790993</v>
      </c>
      <c r="S39" s="37">
        <f t="shared" si="13"/>
        <v>9.2009192832143441E-2</v>
      </c>
      <c r="T39" s="35"/>
      <c r="U39" s="36"/>
      <c r="V39">
        <f t="shared" si="14"/>
        <v>9.6277648372256094E-2</v>
      </c>
    </row>
    <row r="40" spans="11:22" ht="15.4" x14ac:dyDescent="0.4">
      <c r="K40" s="29">
        <v>3.7</v>
      </c>
      <c r="L40" s="27"/>
      <c r="M40" s="27"/>
      <c r="N40" s="27"/>
      <c r="O40" s="28"/>
      <c r="P40" s="28"/>
      <c r="Q40" s="37">
        <f t="shared" si="11"/>
        <v>0.96472553328239596</v>
      </c>
      <c r="R40" s="37">
        <f t="shared" si="12"/>
        <v>0.77331299758743022</v>
      </c>
      <c r="S40" s="37">
        <f t="shared" si="13"/>
        <v>8.8983881515106639E-2</v>
      </c>
      <c r="T40" s="35"/>
      <c r="U40" s="36"/>
      <c r="V40">
        <f t="shared" si="14"/>
        <v>9.249087406607881E-2</v>
      </c>
    </row>
    <row r="41" spans="11:22" ht="15.4" x14ac:dyDescent="0.4">
      <c r="K41" s="26">
        <v>3.8</v>
      </c>
      <c r="L41" s="27"/>
      <c r="M41" s="27"/>
      <c r="N41" s="27"/>
      <c r="O41" s="28"/>
      <c r="P41" s="28"/>
      <c r="Q41" s="37">
        <f t="shared" si="11"/>
        <v>0.96350939862556817</v>
      </c>
      <c r="R41" s="37">
        <f t="shared" si="12"/>
        <v>0.76251171176504406</v>
      </c>
      <c r="S41" s="37">
        <f t="shared" si="13"/>
        <v>8.6174754548371799E-2</v>
      </c>
      <c r="T41" s="35"/>
      <c r="U41" s="36"/>
      <c r="V41">
        <f t="shared" si="14"/>
        <v>8.8990482544925781E-2</v>
      </c>
    </row>
    <row r="42" spans="11:22" ht="15.4" x14ac:dyDescent="0.4">
      <c r="K42" s="26">
        <v>3.9</v>
      </c>
      <c r="L42" s="27"/>
      <c r="M42" s="27"/>
      <c r="N42" s="27"/>
      <c r="O42" s="28"/>
      <c r="P42" s="28"/>
      <c r="Q42" s="37">
        <f t="shared" si="11"/>
        <v>0.96230658753203746</v>
      </c>
      <c r="R42" s="37">
        <f t="shared" si="12"/>
        <v>0.75180381009745978</v>
      </c>
      <c r="S42" s="37">
        <f t="shared" si="13"/>
        <v>8.3559219920796624E-2</v>
      </c>
      <c r="T42" s="35"/>
      <c r="U42" s="36"/>
      <c r="V42">
        <f t="shared" si="14"/>
        <v>8.5745769136914451E-2</v>
      </c>
    </row>
    <row r="43" spans="11:22" ht="15.4" x14ac:dyDescent="0.4">
      <c r="K43" s="29">
        <v>4</v>
      </c>
      <c r="L43" s="27"/>
      <c r="M43" s="27"/>
      <c r="N43" s="27"/>
      <c r="O43" s="28"/>
      <c r="P43" s="28"/>
      <c r="Q43" s="37">
        <f t="shared" si="11"/>
        <v>0.9611167724791273</v>
      </c>
      <c r="R43" s="37">
        <f t="shared" si="12"/>
        <v>0.7411990465498125</v>
      </c>
      <c r="S43" s="37">
        <f t="shared" si="13"/>
        <v>8.1117713051919185E-2</v>
      </c>
      <c r="T43" s="35"/>
      <c r="U43" s="36"/>
      <c r="V43">
        <f t="shared" si="14"/>
        <v>8.2730189298255347E-2</v>
      </c>
    </row>
    <row r="44" spans="11:22" ht="15.4" x14ac:dyDescent="0.4">
      <c r="K44" s="26"/>
      <c r="L44" s="27"/>
      <c r="M44" s="27"/>
      <c r="N44" s="27"/>
      <c r="O44" s="28"/>
      <c r="P44" s="28"/>
      <c r="Q44" s="37"/>
      <c r="R44" s="37"/>
      <c r="S44" s="37"/>
      <c r="T44" s="35"/>
      <c r="U44" s="36"/>
    </row>
    <row r="45" spans="11:22" ht="15.4" x14ac:dyDescent="0.4">
      <c r="K45" s="26"/>
      <c r="L45" s="27"/>
      <c r="M45" s="27"/>
      <c r="N45" s="27"/>
      <c r="O45" s="28"/>
      <c r="P45" s="28"/>
      <c r="Q45" s="37"/>
      <c r="R45" s="37"/>
      <c r="S45" s="37"/>
      <c r="T45" s="35"/>
      <c r="U45" s="36"/>
    </row>
    <row r="46" spans="11:22" ht="15.4" x14ac:dyDescent="0.4">
      <c r="K46" s="29"/>
      <c r="L46" s="27"/>
      <c r="M46" s="27"/>
      <c r="N46" s="27"/>
      <c r="O46" s="28"/>
      <c r="P46" s="28"/>
      <c r="Q46" s="37"/>
      <c r="R46" s="37"/>
      <c r="S46" s="37"/>
      <c r="T46" s="35"/>
      <c r="U46" s="36"/>
    </row>
    <row r="47" spans="11:22" ht="15.4" x14ac:dyDescent="0.4">
      <c r="K47" s="26"/>
      <c r="L47" s="27"/>
      <c r="M47" s="27"/>
      <c r="N47" s="27"/>
      <c r="O47" s="28"/>
      <c r="P47" s="28"/>
      <c r="Q47" s="37"/>
      <c r="R47" s="37"/>
      <c r="S47" s="37"/>
      <c r="T47" s="35"/>
      <c r="U47" s="36"/>
    </row>
    <row r="48" spans="11:22" ht="15.4" x14ac:dyDescent="0.4">
      <c r="K48" s="26"/>
      <c r="L48" s="27"/>
      <c r="M48" s="27"/>
      <c r="N48" s="27"/>
      <c r="O48" s="28"/>
      <c r="P48" s="28"/>
      <c r="Q48" s="37"/>
      <c r="R48" s="37"/>
      <c r="S48" s="37"/>
      <c r="T48" s="35"/>
      <c r="U48" s="36"/>
    </row>
    <row r="49" spans="11:21" ht="15.4" x14ac:dyDescent="0.4">
      <c r="K49" s="29"/>
      <c r="L49" s="27"/>
      <c r="M49" s="27"/>
      <c r="N49" s="27"/>
      <c r="O49" s="28"/>
      <c r="P49" s="28"/>
      <c r="Q49" s="37"/>
      <c r="R49" s="37"/>
      <c r="S49" s="37"/>
      <c r="T49" s="35"/>
      <c r="U49" s="36"/>
    </row>
    <row r="50" spans="11:21" ht="15.4" x14ac:dyDescent="0.4">
      <c r="K50" s="26"/>
      <c r="L50" s="27"/>
      <c r="M50" s="27"/>
      <c r="N50" s="27"/>
      <c r="O50" s="28"/>
      <c r="P50" s="28"/>
      <c r="Q50" s="37"/>
      <c r="R50" s="37"/>
      <c r="S50" s="37"/>
      <c r="T50" s="35"/>
      <c r="U50" s="36"/>
    </row>
    <row r="51" spans="11:21" ht="15.4" x14ac:dyDescent="0.4">
      <c r="K51" s="26"/>
      <c r="L51" s="27"/>
      <c r="M51" s="27"/>
      <c r="N51" s="27"/>
      <c r="O51" s="28"/>
      <c r="P51" s="28"/>
      <c r="Q51" s="37"/>
      <c r="R51" s="37"/>
      <c r="S51" s="37"/>
      <c r="T51" s="35"/>
      <c r="U51" s="36"/>
    </row>
    <row r="52" spans="11:21" ht="15.4" x14ac:dyDescent="0.4">
      <c r="K52" s="29"/>
      <c r="L52" s="27"/>
      <c r="M52" s="27"/>
      <c r="N52" s="27"/>
      <c r="O52" s="28"/>
      <c r="P52" s="28"/>
      <c r="Q52" s="37"/>
      <c r="R52" s="37"/>
      <c r="S52" s="37"/>
      <c r="T52" s="35"/>
      <c r="U52" s="36"/>
    </row>
    <row r="53" spans="11:21" ht="15.4" x14ac:dyDescent="0.4">
      <c r="K53" s="26"/>
      <c r="L53" s="27"/>
      <c r="M53" s="27"/>
      <c r="N53" s="27"/>
      <c r="O53" s="28"/>
      <c r="P53" s="28"/>
      <c r="Q53" s="37"/>
      <c r="R53" s="37"/>
      <c r="S53" s="37"/>
      <c r="T53" s="35"/>
      <c r="U53" s="36"/>
    </row>
    <row r="54" spans="11:21" ht="15.4" x14ac:dyDescent="0.4">
      <c r="K54" s="26"/>
      <c r="L54" s="27"/>
      <c r="M54" s="27"/>
      <c r="N54" s="27"/>
      <c r="O54" s="28"/>
      <c r="P54" s="28"/>
      <c r="Q54" s="37"/>
      <c r="R54" s="37"/>
      <c r="S54" s="37"/>
      <c r="T54" s="35"/>
      <c r="U54" s="36"/>
    </row>
    <row r="55" spans="11:21" ht="15.4" x14ac:dyDescent="0.4">
      <c r="K55" s="29"/>
      <c r="L55" s="27"/>
      <c r="M55" s="27"/>
      <c r="N55" s="27"/>
      <c r="O55" s="28"/>
      <c r="P55" s="28"/>
      <c r="Q55" s="37"/>
      <c r="R55" s="37"/>
      <c r="S55" s="37"/>
      <c r="T55" s="35"/>
      <c r="U55" s="36"/>
    </row>
    <row r="56" spans="11:21" ht="15.4" x14ac:dyDescent="0.4">
      <c r="K56" s="26"/>
      <c r="L56" s="27"/>
      <c r="M56" s="27"/>
      <c r="N56" s="27"/>
      <c r="O56" s="28"/>
      <c r="P56" s="28"/>
      <c r="Q56" s="37"/>
      <c r="R56" s="37"/>
      <c r="S56" s="37"/>
      <c r="T56" s="35"/>
      <c r="U56" s="36"/>
    </row>
    <row r="57" spans="11:21" ht="15.4" x14ac:dyDescent="0.4">
      <c r="K57" s="26"/>
      <c r="L57" s="27"/>
      <c r="M57" s="27"/>
      <c r="N57" s="27"/>
      <c r="O57" s="28"/>
      <c r="P57" s="28"/>
      <c r="Q57" s="37"/>
      <c r="R57" s="37"/>
      <c r="S57" s="37"/>
      <c r="T57" s="35"/>
      <c r="U57" s="36"/>
    </row>
    <row r="58" spans="11:21" ht="15.4" x14ac:dyDescent="0.4">
      <c r="K58" s="29"/>
      <c r="L58" s="27"/>
      <c r="M58" s="27"/>
      <c r="N58" s="27"/>
      <c r="O58" s="28"/>
      <c r="P58" s="28"/>
      <c r="Q58" s="37"/>
      <c r="R58" s="37"/>
      <c r="S58" s="37"/>
      <c r="T58" s="35"/>
      <c r="U58" s="36"/>
    </row>
    <row r="59" spans="11:21" ht="15.4" x14ac:dyDescent="0.4">
      <c r="K59" s="26"/>
      <c r="L59" s="27"/>
      <c r="M59" s="27"/>
      <c r="N59" s="27"/>
      <c r="O59" s="28"/>
      <c r="P59" s="28"/>
      <c r="Q59" s="37"/>
      <c r="R59" s="37"/>
      <c r="S59" s="37"/>
      <c r="T59" s="35"/>
      <c r="U59" s="36"/>
    </row>
    <row r="60" spans="11:21" ht="15.4" x14ac:dyDescent="0.4">
      <c r="K60" s="26"/>
      <c r="L60" s="27"/>
      <c r="M60" s="27"/>
      <c r="N60" s="27"/>
      <c r="O60" s="28"/>
      <c r="P60" s="28"/>
      <c r="Q60" s="37"/>
      <c r="R60" s="37"/>
      <c r="S60" s="37"/>
      <c r="T60" s="35"/>
      <c r="U60" s="36"/>
    </row>
  </sheetData>
  <mergeCells count="3">
    <mergeCell ref="B1:I1"/>
    <mergeCell ref="T1:U1"/>
    <mergeCell ref="B2:I2"/>
  </mergeCells>
  <phoneticPr fontId="37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C727-E700-42EF-A1F8-4777B83CA6B2}">
  <dimension ref="B1:X100"/>
  <sheetViews>
    <sheetView zoomScale="60" zoomScaleNormal="60" workbookViewId="0">
      <selection activeCell="R84" sqref="R84"/>
    </sheetView>
  </sheetViews>
  <sheetFormatPr defaultColWidth="9" defaultRowHeight="15" x14ac:dyDescent="0.4"/>
  <cols>
    <col min="1" max="1" width="9" style="88"/>
    <col min="2" max="2" width="12.46484375" style="88" bestFit="1" customWidth="1"/>
    <col min="3" max="3" width="9.86328125" style="88" bestFit="1" customWidth="1"/>
    <col min="4" max="4" width="14.19921875" style="88" bestFit="1" customWidth="1"/>
    <col min="5" max="5" width="12.46484375" style="88" customWidth="1"/>
    <col min="6" max="6" width="10.6640625" style="88" customWidth="1"/>
    <col min="7" max="7" width="7.796875" style="88" bestFit="1" customWidth="1"/>
    <col min="8" max="8" width="12.46484375" style="88" bestFit="1" customWidth="1"/>
    <col min="9" max="9" width="10.86328125" style="88" bestFit="1" customWidth="1"/>
    <col min="10" max="10" width="9.86328125" style="88" bestFit="1" customWidth="1"/>
    <col min="11" max="11" width="10.19921875" style="88" bestFit="1" customWidth="1"/>
    <col min="12" max="12" width="10.6640625" style="88" customWidth="1"/>
    <col min="13" max="13" width="10.19921875" style="88" bestFit="1" customWidth="1"/>
    <col min="14" max="14" width="8.33203125" style="88" bestFit="1" customWidth="1"/>
    <col min="15" max="15" width="11.796875" style="88" bestFit="1" customWidth="1"/>
    <col min="16" max="16" width="13.1328125" style="88" bestFit="1" customWidth="1"/>
    <col min="17" max="17" width="12.86328125" style="88" bestFit="1" customWidth="1"/>
    <col min="18" max="18" width="11.86328125" style="88" bestFit="1" customWidth="1"/>
    <col min="19" max="19" width="12.796875" style="88" bestFit="1" customWidth="1"/>
    <col min="20" max="20" width="13.19921875" style="88" bestFit="1" customWidth="1"/>
    <col min="21" max="21" width="14" style="88" bestFit="1" customWidth="1"/>
    <col min="22" max="22" width="15.1328125" style="88" customWidth="1"/>
    <col min="23" max="23" width="14" style="88" bestFit="1" customWidth="1"/>
    <col min="24" max="24" width="13" style="88" customWidth="1"/>
    <col min="25" max="16384" width="9" style="88"/>
  </cols>
  <sheetData>
    <row r="1" spans="2:24" ht="50.1" customHeight="1" x14ac:dyDescent="0.4">
      <c r="B1" s="150" t="s">
        <v>46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2"/>
    </row>
    <row r="2" spans="2:24" ht="22.9" x14ac:dyDescent="0.4"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90"/>
      <c r="O2" s="90"/>
      <c r="P2" s="90"/>
      <c r="Q2" s="90"/>
      <c r="R2" s="90"/>
      <c r="S2" s="90"/>
      <c r="T2" s="90"/>
      <c r="U2" s="91"/>
      <c r="V2" s="90"/>
      <c r="W2" s="90"/>
      <c r="X2" s="90"/>
    </row>
    <row r="3" spans="2:24" s="97" customFormat="1" ht="22.9" x14ac:dyDescent="0.4">
      <c r="B3" s="153" t="s">
        <v>47</v>
      </c>
      <c r="C3" s="92" t="s">
        <v>48</v>
      </c>
      <c r="D3" s="93" t="s">
        <v>49</v>
      </c>
      <c r="E3" s="93" t="s">
        <v>50</v>
      </c>
      <c r="F3" s="93" t="s">
        <v>51</v>
      </c>
      <c r="G3" s="93" t="s">
        <v>52</v>
      </c>
      <c r="H3" s="153" t="s">
        <v>53</v>
      </c>
      <c r="I3" s="153" t="s">
        <v>54</v>
      </c>
      <c r="J3" s="94" t="s">
        <v>55</v>
      </c>
      <c r="K3" s="94" t="s">
        <v>56</v>
      </c>
      <c r="L3" s="95"/>
      <c r="M3" s="96"/>
      <c r="N3" s="95"/>
      <c r="O3" s="95"/>
      <c r="P3" s="95"/>
      <c r="Q3" s="95"/>
      <c r="R3" s="95"/>
      <c r="S3" s="91"/>
      <c r="T3" s="91"/>
      <c r="U3" s="91"/>
      <c r="V3" s="91"/>
      <c r="W3" s="91"/>
      <c r="X3" s="91"/>
    </row>
    <row r="4" spans="2:24" s="97" customFormat="1" ht="22.9" x14ac:dyDescent="0.4">
      <c r="B4" s="153"/>
      <c r="C4" s="98">
        <v>50</v>
      </c>
      <c r="D4" s="99">
        <f>10^5/(2.2+34.7/C4)</f>
        <v>34554.250172771252</v>
      </c>
      <c r="E4" s="99">
        <f>C4*0.67</f>
        <v>33.5</v>
      </c>
      <c r="F4" s="99">
        <f>0.395*E4^0.55</f>
        <v>2.7250328341610977</v>
      </c>
      <c r="G4" s="95">
        <f>0.6*E4</f>
        <v>20.099999999999998</v>
      </c>
      <c r="H4" s="153"/>
      <c r="I4" s="153"/>
      <c r="J4" s="100">
        <v>0.7</v>
      </c>
      <c r="K4" s="101">
        <v>0.1</v>
      </c>
      <c r="L4" s="95"/>
      <c r="M4" s="95"/>
      <c r="N4" s="95"/>
      <c r="O4" s="95"/>
      <c r="P4" s="95"/>
      <c r="Q4" s="95"/>
      <c r="R4" s="95"/>
      <c r="S4" s="91"/>
      <c r="T4" s="91"/>
      <c r="U4" s="91"/>
      <c r="V4" s="91"/>
      <c r="W4" s="91"/>
      <c r="X4" s="91"/>
    </row>
    <row r="5" spans="2:24" ht="26.65" x14ac:dyDescent="0.4">
      <c r="B5" s="146" t="s">
        <v>57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7" t="s">
        <v>58</v>
      </c>
      <c r="Q5" s="147"/>
      <c r="R5" s="147"/>
      <c r="S5" s="147"/>
      <c r="T5" s="102" t="s">
        <v>59</v>
      </c>
      <c r="U5" s="148" t="s">
        <v>60</v>
      </c>
      <c r="V5" s="148"/>
      <c r="W5" s="148"/>
      <c r="X5" s="148"/>
    </row>
    <row r="6" spans="2:24" s="105" customFormat="1" ht="20.65" x14ac:dyDescent="0.4">
      <c r="B6" s="103" t="s">
        <v>61</v>
      </c>
      <c r="C6" s="103" t="s">
        <v>62</v>
      </c>
      <c r="D6" s="103" t="s">
        <v>63</v>
      </c>
      <c r="E6" s="103" t="s">
        <v>64</v>
      </c>
      <c r="F6" s="103" t="s">
        <v>65</v>
      </c>
      <c r="G6" s="103" t="s">
        <v>66</v>
      </c>
      <c r="H6" s="103" t="s">
        <v>67</v>
      </c>
      <c r="I6" s="103" t="s">
        <v>68</v>
      </c>
      <c r="J6" s="103" t="s">
        <v>69</v>
      </c>
      <c r="K6" s="103" t="s">
        <v>70</v>
      </c>
      <c r="L6" s="103" t="s">
        <v>71</v>
      </c>
      <c r="M6" s="103" t="s">
        <v>72</v>
      </c>
      <c r="N6" s="103" t="s">
        <v>73</v>
      </c>
      <c r="O6" s="104" t="s">
        <v>74</v>
      </c>
      <c r="P6" s="102" t="s">
        <v>75</v>
      </c>
      <c r="Q6" s="102" t="s">
        <v>76</v>
      </c>
      <c r="R6" s="102" t="s">
        <v>77</v>
      </c>
      <c r="S6" s="102" t="s">
        <v>76</v>
      </c>
      <c r="T6" s="103" t="s">
        <v>78</v>
      </c>
      <c r="U6" s="102" t="str">
        <f>Q6</f>
        <v>非弹性应变</v>
      </c>
      <c r="V6" s="102" t="s">
        <v>75</v>
      </c>
      <c r="W6" s="102" t="str">
        <f>S6</f>
        <v>非弹性应变</v>
      </c>
      <c r="X6" s="102" t="s">
        <v>79</v>
      </c>
    </row>
    <row r="7" spans="2:24" s="117" customFormat="1" ht="13.9" x14ac:dyDescent="0.4">
      <c r="B7" s="106">
        <f>(700+172*$E$4^0.5)*10^(-6)</f>
        <v>1.6955219736399594E-3</v>
      </c>
      <c r="C7" s="107">
        <f>0.157*$E$4^0.785-0.905</f>
        <v>1.5670646591032258</v>
      </c>
      <c r="D7" s="106">
        <f>$G$4/$D$4</f>
        <v>5.816939999999999E-4</v>
      </c>
      <c r="E7" s="108">
        <f t="shared" ref="E7:E13" si="0">D7/B7</f>
        <v>0.34307665075623572</v>
      </c>
      <c r="F7" s="107">
        <f>$E$4/$D$4/$B$7</f>
        <v>0.57179441792705965</v>
      </c>
      <c r="G7" s="107">
        <f>$D$4*$B$7/($D$4*$B$7-$E$4)</f>
        <v>2.3353268660324478</v>
      </c>
      <c r="H7" s="107">
        <f>1-F7*G7/(G7-1+E7^G7)</f>
        <v>5.8002745111540022E-2</v>
      </c>
      <c r="I7" s="106">
        <f>D7</f>
        <v>5.816939999999999E-4</v>
      </c>
      <c r="J7" s="109">
        <f>(1-H7)*$D$4*I7</f>
        <v>18.934144823258041</v>
      </c>
      <c r="K7" s="106">
        <f>LN(1+I7)</f>
        <v>5.8152488162550994E-4</v>
      </c>
      <c r="L7" s="109">
        <f>J7*(1+I7)</f>
        <v>18.945158701696862</v>
      </c>
      <c r="M7" s="106">
        <f>K7-L7/$D$4</f>
        <v>3.3251988798402733E-5</v>
      </c>
      <c r="N7" s="110">
        <f>1-(L7/$D$4)/((L7/$D$4)+(1-$J$4)*M7)</f>
        <v>1.7869455677438362E-2</v>
      </c>
      <c r="O7" s="111">
        <f>1-(L7/$D$4)/(0.7*M7*(1/0.5-1)+L7/$D$4)</f>
        <v>4.0725083156131436E-2</v>
      </c>
      <c r="P7" s="112">
        <f>L7</f>
        <v>18.945158701696862</v>
      </c>
      <c r="Q7" s="112">
        <v>0</v>
      </c>
      <c r="R7" s="113">
        <v>0</v>
      </c>
      <c r="S7" s="113">
        <v>0</v>
      </c>
      <c r="T7" s="114"/>
      <c r="U7" s="115">
        <f t="shared" ref="U7:U70" si="1">-Q7</f>
        <v>0</v>
      </c>
      <c r="V7" s="115">
        <f>-P7</f>
        <v>-18.945158701696862</v>
      </c>
      <c r="W7" s="116">
        <f t="shared" ref="W7:W70" si="2">-S7</f>
        <v>0</v>
      </c>
      <c r="X7" s="116">
        <f t="shared" ref="X7:X70" si="3">R7</f>
        <v>0</v>
      </c>
    </row>
    <row r="8" spans="2:24" s="117" customFormat="1" ht="13.9" x14ac:dyDescent="0.4">
      <c r="B8" s="106">
        <f t="shared" ref="B8:B70" si="4">(700+172*$E$4^0.5)*10^(-6)</f>
        <v>1.6955219736399594E-3</v>
      </c>
      <c r="C8" s="107">
        <f t="shared" ref="C8:C70" si="5">0.157*$E$4^0.785-0.905</f>
        <v>1.5670646591032258</v>
      </c>
      <c r="D8" s="106">
        <f>$D$7+$B$7/10</f>
        <v>7.5124619736399582E-4</v>
      </c>
      <c r="E8" s="108">
        <f t="shared" si="0"/>
        <v>0.4430766507562357</v>
      </c>
      <c r="F8" s="107">
        <f t="shared" ref="F8:F70" si="6">$E$4/$D$4/$B$7</f>
        <v>0.57179441792705965</v>
      </c>
      <c r="G8" s="107">
        <f t="shared" ref="G8:G70" si="7">$D$4*$B$7/($D$4*$B$7-$E$4)</f>
        <v>2.3353268660324478</v>
      </c>
      <c r="H8" s="107">
        <f t="shared" ref="H8:H13" si="8">1-F8*G8/(G8-1+E8^G8)</f>
        <v>0.10063748802005956</v>
      </c>
      <c r="I8" s="106">
        <f t="shared" ref="I8:I70" si="9">D8</f>
        <v>7.5124619736399582E-4</v>
      </c>
      <c r="J8" s="109">
        <f t="shared" ref="J8:J70" si="10">(1-H8)*$D$4*I8</f>
        <v>23.346325749020782</v>
      </c>
      <c r="K8" s="106">
        <f t="shared" ref="K8:K70" si="11">LN(1+I8)</f>
        <v>7.5096415318704098E-4</v>
      </c>
      <c r="L8" s="109">
        <f t="shared" ref="L8:L70" si="12">J8*(1+I8)</f>
        <v>23.363864587462153</v>
      </c>
      <c r="M8" s="106">
        <f t="shared" ref="M8:M70" si="13">K8-L8/$D$4</f>
        <v>7.4813912025886308E-5</v>
      </c>
      <c r="N8" s="110">
        <f t="shared" ref="N8:N70" si="14">1-(L8/$D$4)/((L8/$D$4)+(1-$J$4)*M8)</f>
        <v>3.2127616730503017E-2</v>
      </c>
      <c r="O8" s="111">
        <f t="shared" ref="O8:O70" si="15">1-(L8/$D$4)/(0.7*M8*(1/0.5-1)+L8/$D$4)</f>
        <v>7.1885109380753431E-2</v>
      </c>
      <c r="P8" s="112">
        <f t="shared" ref="P8:R70" si="16">L8</f>
        <v>23.363864587462153</v>
      </c>
      <c r="Q8" s="112">
        <f t="shared" si="16"/>
        <v>7.4813912025886308E-5</v>
      </c>
      <c r="R8" s="113">
        <f>N8</f>
        <v>3.2127616730503017E-2</v>
      </c>
      <c r="S8" s="113">
        <f t="shared" ref="S8:S70" si="17">M8</f>
        <v>7.4813912025886308E-5</v>
      </c>
      <c r="T8" s="114">
        <f t="shared" ref="T8:T70" si="18">M8-R8*P8/((1-R8)*$D$4)</f>
        <v>5.2369738418120371E-5</v>
      </c>
      <c r="U8" s="115">
        <f t="shared" si="1"/>
        <v>-7.4813912025886308E-5</v>
      </c>
      <c r="V8" s="115">
        <f t="shared" ref="V8:V70" si="19">-P8</f>
        <v>-23.363864587462153</v>
      </c>
      <c r="W8" s="116">
        <f t="shared" si="2"/>
        <v>-7.4813912025886308E-5</v>
      </c>
      <c r="X8" s="116">
        <f t="shared" si="3"/>
        <v>3.2127616730503017E-2</v>
      </c>
    </row>
    <row r="9" spans="2:24" s="117" customFormat="1" ht="13.9" x14ac:dyDescent="0.4">
      <c r="B9" s="106">
        <f t="shared" si="4"/>
        <v>1.6955219736399594E-3</v>
      </c>
      <c r="C9" s="107">
        <f t="shared" si="5"/>
        <v>1.5670646591032258</v>
      </c>
      <c r="D9" s="106">
        <f>$D$7+$B$7/8</f>
        <v>7.9363424670499485E-4</v>
      </c>
      <c r="E9" s="108">
        <f t="shared" si="0"/>
        <v>0.46807665075623578</v>
      </c>
      <c r="F9" s="107">
        <f t="shared" si="6"/>
        <v>0.57179441792705965</v>
      </c>
      <c r="G9" s="107">
        <f t="shared" si="7"/>
        <v>2.3353268660324478</v>
      </c>
      <c r="H9" s="107">
        <f t="shared" si="8"/>
        <v>0.11284776097545823</v>
      </c>
      <c r="I9" s="106">
        <f t="shared" si="9"/>
        <v>7.9363424670499485E-4</v>
      </c>
      <c r="J9" s="109">
        <f t="shared" si="10"/>
        <v>24.328762920901582</v>
      </c>
      <c r="K9" s="106">
        <f t="shared" si="11"/>
        <v>7.9331948557200612E-4</v>
      </c>
      <c r="L9" s="109">
        <f t="shared" si="12"/>
        <v>24.348071060335574</v>
      </c>
      <c r="M9" s="106">
        <f t="shared" si="13"/>
        <v>8.8686309085894612E-5</v>
      </c>
      <c r="N9" s="110">
        <f t="shared" si="14"/>
        <v>3.6384670685667642E-2</v>
      </c>
      <c r="O9" s="111">
        <f t="shared" si="15"/>
        <v>8.0969500135856132E-2</v>
      </c>
      <c r="P9" s="112">
        <f t="shared" si="16"/>
        <v>24.348071060335574</v>
      </c>
      <c r="Q9" s="112">
        <f t="shared" si="16"/>
        <v>8.8686309085894612E-5</v>
      </c>
      <c r="R9" s="113">
        <f t="shared" si="16"/>
        <v>3.6384670685667642E-2</v>
      </c>
      <c r="S9" s="113">
        <f t="shared" si="17"/>
        <v>8.8686309085894612E-5</v>
      </c>
      <c r="T9" s="114">
        <f t="shared" si="18"/>
        <v>6.2080416360126229E-5</v>
      </c>
      <c r="U9" s="115">
        <f t="shared" si="1"/>
        <v>-8.8686309085894612E-5</v>
      </c>
      <c r="V9" s="115">
        <f t="shared" si="19"/>
        <v>-24.348071060335574</v>
      </c>
      <c r="W9" s="116">
        <f t="shared" si="2"/>
        <v>-8.8686309085894612E-5</v>
      </c>
      <c r="X9" s="116">
        <f t="shared" si="3"/>
        <v>3.6384670685667642E-2</v>
      </c>
    </row>
    <row r="10" spans="2:24" s="117" customFormat="1" ht="13.9" x14ac:dyDescent="0.4">
      <c r="B10" s="106">
        <f t="shared" si="4"/>
        <v>1.6955219736399594E-3</v>
      </c>
      <c r="C10" s="107">
        <f t="shared" si="5"/>
        <v>1.5670646591032258</v>
      </c>
      <c r="D10" s="106">
        <f>$D$7+$B$7/6</f>
        <v>8.6428099560665987E-4</v>
      </c>
      <c r="E10" s="108">
        <f t="shared" si="0"/>
        <v>0.50974331742290246</v>
      </c>
      <c r="F10" s="107">
        <f t="shared" si="6"/>
        <v>0.57179441792705965</v>
      </c>
      <c r="G10" s="107">
        <f t="shared" si="7"/>
        <v>2.3353268660324478</v>
      </c>
      <c r="H10" s="107">
        <f t="shared" si="8"/>
        <v>0.13437337106882108</v>
      </c>
      <c r="I10" s="106">
        <f t="shared" si="9"/>
        <v>8.6428099560665987E-4</v>
      </c>
      <c r="J10" s="109">
        <f t="shared" si="10"/>
        <v>25.851577217563097</v>
      </c>
      <c r="K10" s="106">
        <f t="shared" si="11"/>
        <v>8.6390771984835456E-4</v>
      </c>
      <c r="L10" s="109">
        <f t="shared" si="12"/>
        <v>25.873920244458699</v>
      </c>
      <c r="M10" s="106">
        <f t="shared" si="13"/>
        <v>1.1511646797371985E-4</v>
      </c>
      <c r="N10" s="110">
        <f t="shared" si="14"/>
        <v>4.4087559860829462E-2</v>
      </c>
      <c r="O10" s="111">
        <f t="shared" si="15"/>
        <v>9.7159600094948284E-2</v>
      </c>
      <c r="P10" s="112">
        <f t="shared" si="16"/>
        <v>25.873920244458699</v>
      </c>
      <c r="Q10" s="112">
        <f t="shared" si="16"/>
        <v>1.1511646797371985E-4</v>
      </c>
      <c r="R10" s="113">
        <f t="shared" si="16"/>
        <v>4.4087559860829462E-2</v>
      </c>
      <c r="S10" s="113">
        <f t="shared" si="17"/>
        <v>1.1511646797371985E-4</v>
      </c>
      <c r="T10" s="114">
        <f t="shared" si="18"/>
        <v>8.0581527581603872E-5</v>
      </c>
      <c r="U10" s="115">
        <f t="shared" si="1"/>
        <v>-1.1511646797371985E-4</v>
      </c>
      <c r="V10" s="115">
        <f t="shared" si="19"/>
        <v>-25.873920244458699</v>
      </c>
      <c r="W10" s="116">
        <f t="shared" si="2"/>
        <v>-1.1511646797371985E-4</v>
      </c>
      <c r="X10" s="116">
        <f t="shared" si="3"/>
        <v>4.4087559860829462E-2</v>
      </c>
    </row>
    <row r="11" spans="2:24" s="117" customFormat="1" ht="13.9" x14ac:dyDescent="0.4">
      <c r="B11" s="106">
        <f t="shared" si="4"/>
        <v>1.6955219736399594E-3</v>
      </c>
      <c r="C11" s="107">
        <f t="shared" si="5"/>
        <v>1.5670646591032258</v>
      </c>
      <c r="D11" s="106">
        <f>$D$7+$B$7/4</f>
        <v>1.0055744934099897E-3</v>
      </c>
      <c r="E11" s="108">
        <f t="shared" si="0"/>
        <v>0.59307665075623572</v>
      </c>
      <c r="F11" s="107">
        <f t="shared" si="6"/>
        <v>0.57179441792705965</v>
      </c>
      <c r="G11" s="107">
        <f t="shared" si="7"/>
        <v>2.3353268660324478</v>
      </c>
      <c r="H11" s="107">
        <f t="shared" si="8"/>
        <v>0.18105371738468745</v>
      </c>
      <c r="I11" s="106">
        <f t="shared" si="9"/>
        <v>1.0055744934099897E-3</v>
      </c>
      <c r="J11" s="109">
        <f t="shared" si="10"/>
        <v>28.455822158634664</v>
      </c>
      <c r="K11" s="106">
        <f t="shared" si="11"/>
        <v>1.0050692420627448E-3</v>
      </c>
      <c r="L11" s="109">
        <f t="shared" si="12"/>
        <v>28.4844366075864</v>
      </c>
      <c r="M11" s="106">
        <f t="shared" si="13"/>
        <v>1.8072964663919436E-4</v>
      </c>
      <c r="N11" s="110">
        <f t="shared" si="14"/>
        <v>6.1713471151865651E-2</v>
      </c>
      <c r="O11" s="111">
        <f t="shared" si="15"/>
        <v>0.13305011972082836</v>
      </c>
      <c r="P11" s="112">
        <f t="shared" si="16"/>
        <v>28.4844366075864</v>
      </c>
      <c r="Q11" s="112">
        <f t="shared" si="16"/>
        <v>1.8072964663919436E-4</v>
      </c>
      <c r="R11" s="113">
        <f t="shared" si="16"/>
        <v>6.1713471151865651E-2</v>
      </c>
      <c r="S11" s="113">
        <f t="shared" si="17"/>
        <v>1.8072964663919436E-4</v>
      </c>
      <c r="T11" s="114">
        <f t="shared" si="18"/>
        <v>1.2651075264743605E-4</v>
      </c>
      <c r="U11" s="115">
        <f t="shared" si="1"/>
        <v>-1.8072964663919436E-4</v>
      </c>
      <c r="V11" s="115">
        <f t="shared" si="19"/>
        <v>-28.4844366075864</v>
      </c>
      <c r="W11" s="116">
        <f t="shared" si="2"/>
        <v>-1.8072964663919436E-4</v>
      </c>
      <c r="X11" s="116">
        <f t="shared" si="3"/>
        <v>6.1713471151865651E-2</v>
      </c>
    </row>
    <row r="12" spans="2:24" s="117" customFormat="1" ht="13.9" x14ac:dyDescent="0.4">
      <c r="B12" s="106">
        <f t="shared" si="4"/>
        <v>1.6955219736399594E-3</v>
      </c>
      <c r="C12" s="107">
        <f t="shared" si="5"/>
        <v>1.5670646591032258</v>
      </c>
      <c r="D12" s="106">
        <f>$D$7+$B$7/2</f>
        <v>1.4294549868199796E-3</v>
      </c>
      <c r="E12" s="108">
        <f t="shared" si="0"/>
        <v>0.84307665075623572</v>
      </c>
      <c r="F12" s="107">
        <f t="shared" si="6"/>
        <v>0.57179441792705965</v>
      </c>
      <c r="G12" s="107">
        <f t="shared" si="7"/>
        <v>2.3353268660324478</v>
      </c>
      <c r="H12" s="107">
        <f t="shared" si="8"/>
        <v>0.33452035378110823</v>
      </c>
      <c r="I12" s="106">
        <f t="shared" si="9"/>
        <v>1.4294549868199796E-3</v>
      </c>
      <c r="J12" s="109">
        <f t="shared" si="10"/>
        <v>32.870532097954062</v>
      </c>
      <c r="K12" s="106">
        <f t="shared" si="11"/>
        <v>1.4284342886192031E-3</v>
      </c>
      <c r="L12" s="109">
        <f t="shared" si="12"/>
        <v>32.917519043980903</v>
      </c>
      <c r="M12" s="106">
        <f t="shared" si="13"/>
        <v>4.7580128748639578E-4</v>
      </c>
      <c r="N12" s="110">
        <f t="shared" si="14"/>
        <v>0.13031208160671348</v>
      </c>
      <c r="O12" s="111">
        <f t="shared" si="15"/>
        <v>0.25905147455834876</v>
      </c>
      <c r="P12" s="112">
        <f t="shared" si="16"/>
        <v>32.917519043980903</v>
      </c>
      <c r="Q12" s="112">
        <f t="shared" si="16"/>
        <v>4.7580128748639578E-4</v>
      </c>
      <c r="R12" s="113">
        <f t="shared" si="16"/>
        <v>0.13031208160671348</v>
      </c>
      <c r="S12" s="113">
        <f t="shared" si="17"/>
        <v>4.7580128748639578E-4</v>
      </c>
      <c r="T12" s="114">
        <f t="shared" si="18"/>
        <v>3.3306090124047704E-4</v>
      </c>
      <c r="U12" s="115">
        <f t="shared" si="1"/>
        <v>-4.7580128748639578E-4</v>
      </c>
      <c r="V12" s="115">
        <f t="shared" si="19"/>
        <v>-32.917519043980903</v>
      </c>
      <c r="W12" s="116">
        <f t="shared" si="2"/>
        <v>-4.7580128748639578E-4</v>
      </c>
      <c r="X12" s="116">
        <f t="shared" si="3"/>
        <v>0.13031208160671348</v>
      </c>
    </row>
    <row r="13" spans="2:24" s="117" customFormat="1" ht="13.9" x14ac:dyDescent="0.4">
      <c r="B13" s="118">
        <f t="shared" si="4"/>
        <v>1.6955219736399594E-3</v>
      </c>
      <c r="C13" s="119">
        <f t="shared" si="5"/>
        <v>1.5670646591032258</v>
      </c>
      <c r="D13" s="118">
        <f>B13</f>
        <v>1.6955219736399594E-3</v>
      </c>
      <c r="E13" s="120">
        <f t="shared" si="0"/>
        <v>1</v>
      </c>
      <c r="F13" s="119">
        <f t="shared" si="6"/>
        <v>0.57179441792705965</v>
      </c>
      <c r="G13" s="119">
        <f t="shared" si="7"/>
        <v>2.3353268660324478</v>
      </c>
      <c r="H13" s="119">
        <f t="shared" si="8"/>
        <v>0.42820558207294035</v>
      </c>
      <c r="I13" s="106">
        <f t="shared" si="9"/>
        <v>1.6955219736399594E-3</v>
      </c>
      <c r="J13" s="109">
        <f t="shared" si="10"/>
        <v>33.5</v>
      </c>
      <c r="K13" s="106">
        <f t="shared" si="11"/>
        <v>1.6940861989542383E-3</v>
      </c>
      <c r="L13" s="109">
        <f t="shared" si="12"/>
        <v>33.556799986116935</v>
      </c>
      <c r="M13" s="106">
        <f t="shared" si="13"/>
        <v>7.2295240735601417E-4</v>
      </c>
      <c r="N13" s="110">
        <f t="shared" si="14"/>
        <v>0.18256074053207727</v>
      </c>
      <c r="O13" s="111">
        <f t="shared" si="15"/>
        <v>0.34258497280172173</v>
      </c>
      <c r="P13" s="112">
        <f t="shared" si="16"/>
        <v>33.556799986116935</v>
      </c>
      <c r="Q13" s="112">
        <f t="shared" si="16"/>
        <v>7.2295240735601417E-4</v>
      </c>
      <c r="R13" s="113">
        <f t="shared" si="16"/>
        <v>0.18256074053207727</v>
      </c>
      <c r="S13" s="113">
        <f t="shared" si="17"/>
        <v>7.2295240735601417E-4</v>
      </c>
      <c r="T13" s="114">
        <f t="shared" si="18"/>
        <v>5.0606668514920983E-4</v>
      </c>
      <c r="U13" s="115">
        <f t="shared" si="1"/>
        <v>-7.2295240735601417E-4</v>
      </c>
      <c r="V13" s="115">
        <f t="shared" si="19"/>
        <v>-33.556799986116935</v>
      </c>
      <c r="W13" s="116">
        <f t="shared" si="2"/>
        <v>-7.2295240735601417E-4</v>
      </c>
      <c r="X13" s="116">
        <f t="shared" si="3"/>
        <v>0.18256074053207727</v>
      </c>
    </row>
    <row r="14" spans="2:24" s="117" customFormat="1" ht="13.9" x14ac:dyDescent="0.4">
      <c r="B14" s="106">
        <f t="shared" si="4"/>
        <v>1.6955219736399594E-3</v>
      </c>
      <c r="C14" s="107">
        <f t="shared" si="5"/>
        <v>1.5670646591032258</v>
      </c>
      <c r="D14" s="106">
        <f t="shared" ref="D14:D70" si="20">E14*B14</f>
        <v>1.8650741710039556E-3</v>
      </c>
      <c r="E14" s="108">
        <v>1.1000000000000001</v>
      </c>
      <c r="F14" s="107">
        <f t="shared" si="6"/>
        <v>0.57179441792705965</v>
      </c>
      <c r="G14" s="107">
        <f t="shared" si="7"/>
        <v>2.3353268660324478</v>
      </c>
      <c r="H14" s="107">
        <f t="shared" ref="H14:H70" si="21">1-F14/(C14*(E14-1)^2+E14)</f>
        <v>0.48748815819955837</v>
      </c>
      <c r="I14" s="106">
        <f t="shared" si="9"/>
        <v>1.8650741710039556E-3</v>
      </c>
      <c r="J14" s="109">
        <f t="shared" si="10"/>
        <v>33.029460901025189</v>
      </c>
      <c r="K14" s="106">
        <f t="shared" si="11"/>
        <v>1.8633370797063861E-3</v>
      </c>
      <c r="L14" s="109">
        <f t="shared" si="12"/>
        <v>33.091063295433877</v>
      </c>
      <c r="M14" s="106">
        <f t="shared" si="13"/>
        <v>9.0568170793652969E-4</v>
      </c>
      <c r="N14" s="110">
        <f t="shared" si="14"/>
        <v>0.2210129969944804</v>
      </c>
      <c r="O14" s="111">
        <f t="shared" si="15"/>
        <v>0.39831881338096986</v>
      </c>
      <c r="P14" s="112">
        <f t="shared" si="16"/>
        <v>33.091063295433877</v>
      </c>
      <c r="Q14" s="112">
        <f t="shared" si="16"/>
        <v>9.0568170793652969E-4</v>
      </c>
      <c r="R14" s="113">
        <f t="shared" si="16"/>
        <v>0.2210129969944804</v>
      </c>
      <c r="S14" s="113">
        <f t="shared" si="17"/>
        <v>9.0568170793652969E-4</v>
      </c>
      <c r="T14" s="114">
        <f t="shared" si="18"/>
        <v>6.3397719555557074E-4</v>
      </c>
      <c r="U14" s="115">
        <f t="shared" si="1"/>
        <v>-9.0568170793652969E-4</v>
      </c>
      <c r="V14" s="115">
        <f t="shared" si="19"/>
        <v>-33.091063295433877</v>
      </c>
      <c r="W14" s="116">
        <f t="shared" si="2"/>
        <v>-9.0568170793652969E-4</v>
      </c>
      <c r="X14" s="116">
        <f t="shared" si="3"/>
        <v>0.2210129969944804</v>
      </c>
    </row>
    <row r="15" spans="2:24" s="117" customFormat="1" ht="13.9" x14ac:dyDescent="0.4">
      <c r="B15" s="106">
        <f t="shared" si="4"/>
        <v>1.6955219736399594E-3</v>
      </c>
      <c r="C15" s="107">
        <f t="shared" si="5"/>
        <v>1.5670646591032258</v>
      </c>
      <c r="D15" s="106">
        <f t="shared" si="20"/>
        <v>2.034626368367951E-3</v>
      </c>
      <c r="E15" s="108">
        <v>1.2</v>
      </c>
      <c r="F15" s="107">
        <f t="shared" si="6"/>
        <v>0.57179441792705965</v>
      </c>
      <c r="G15" s="107">
        <f t="shared" si="7"/>
        <v>2.3353268660324478</v>
      </c>
      <c r="H15" s="107">
        <f t="shared" si="21"/>
        <v>0.54715902151345008</v>
      </c>
      <c r="I15" s="106">
        <f t="shared" si="9"/>
        <v>2.034626368367951E-3</v>
      </c>
      <c r="J15" s="109">
        <f t="shared" si="10"/>
        <v>31.836979803257723</v>
      </c>
      <c r="K15" s="106">
        <f t="shared" si="11"/>
        <v>2.0325593194451255E-3</v>
      </c>
      <c r="L15" s="109">
        <f t="shared" si="12"/>
        <v>31.901756161854628</v>
      </c>
      <c r="M15" s="106">
        <f t="shared" si="13"/>
        <v>1.1093224961210525E-3</v>
      </c>
      <c r="N15" s="110">
        <f t="shared" si="14"/>
        <v>0.26495848217170059</v>
      </c>
      <c r="O15" s="111">
        <f t="shared" si="15"/>
        <v>0.45684365611522193</v>
      </c>
      <c r="P15" s="112">
        <f t="shared" si="16"/>
        <v>31.901756161854628</v>
      </c>
      <c r="Q15" s="112">
        <f t="shared" si="16"/>
        <v>1.1093224961210525E-3</v>
      </c>
      <c r="R15" s="113">
        <f t="shared" si="16"/>
        <v>0.26495848217170059</v>
      </c>
      <c r="S15" s="113">
        <f t="shared" si="17"/>
        <v>1.1093224961210525E-3</v>
      </c>
      <c r="T15" s="114">
        <f t="shared" si="18"/>
        <v>7.7652574728473672E-4</v>
      </c>
      <c r="U15" s="115">
        <f t="shared" si="1"/>
        <v>-1.1093224961210525E-3</v>
      </c>
      <c r="V15" s="115">
        <f t="shared" si="19"/>
        <v>-31.901756161854628</v>
      </c>
      <c r="W15" s="116">
        <f t="shared" si="2"/>
        <v>-1.1093224961210525E-3</v>
      </c>
      <c r="X15" s="116">
        <f t="shared" si="3"/>
        <v>0.26495848217170059</v>
      </c>
    </row>
    <row r="16" spans="2:24" s="117" customFormat="1" ht="13.9" x14ac:dyDescent="0.4">
      <c r="B16" s="106">
        <f t="shared" si="4"/>
        <v>1.6955219736399594E-3</v>
      </c>
      <c r="C16" s="107">
        <f t="shared" si="5"/>
        <v>1.5670646591032258</v>
      </c>
      <c r="D16" s="106">
        <f t="shared" si="20"/>
        <v>2.2041785657319472E-3</v>
      </c>
      <c r="E16" s="108">
        <v>1.3</v>
      </c>
      <c r="F16" s="107">
        <f t="shared" si="6"/>
        <v>0.57179441792705965</v>
      </c>
      <c r="G16" s="107">
        <f t="shared" si="7"/>
        <v>2.3353268660324478</v>
      </c>
      <c r="H16" s="107">
        <f t="shared" si="21"/>
        <v>0.60320596458375264</v>
      </c>
      <c r="I16" s="106">
        <f t="shared" si="9"/>
        <v>2.2041785657319472E-3</v>
      </c>
      <c r="J16" s="109">
        <f t="shared" si="10"/>
        <v>30.22131678903855</v>
      </c>
      <c r="K16" s="106">
        <f t="shared" si="11"/>
        <v>2.2017529278624305E-3</v>
      </c>
      <c r="L16" s="109">
        <f t="shared" si="12"/>
        <v>30.287929967733142</v>
      </c>
      <c r="M16" s="106">
        <f t="shared" si="13"/>
        <v>1.3252202345962333E-3</v>
      </c>
      <c r="N16" s="110">
        <f t="shared" si="14"/>
        <v>0.31203708984182188</v>
      </c>
      <c r="O16" s="111">
        <f t="shared" si="15"/>
        <v>0.51416745464559843</v>
      </c>
      <c r="P16" s="112">
        <f t="shared" si="16"/>
        <v>30.287929967733142</v>
      </c>
      <c r="Q16" s="112">
        <f t="shared" si="16"/>
        <v>1.3252202345962333E-3</v>
      </c>
      <c r="R16" s="113">
        <f t="shared" si="16"/>
        <v>0.31203708984182188</v>
      </c>
      <c r="S16" s="113">
        <f t="shared" si="17"/>
        <v>1.3252202345962333E-3</v>
      </c>
      <c r="T16" s="114">
        <f t="shared" si="18"/>
        <v>9.2765416421736332E-4</v>
      </c>
      <c r="U16" s="115">
        <f t="shared" si="1"/>
        <v>-1.3252202345962333E-3</v>
      </c>
      <c r="V16" s="115">
        <f t="shared" si="19"/>
        <v>-30.287929967733142</v>
      </c>
      <c r="W16" s="116">
        <f t="shared" si="2"/>
        <v>-1.3252202345962333E-3</v>
      </c>
      <c r="X16" s="116">
        <f t="shared" si="3"/>
        <v>0.31203708984182188</v>
      </c>
    </row>
    <row r="17" spans="2:24" s="117" customFormat="1" ht="13.9" x14ac:dyDescent="0.4">
      <c r="B17" s="106">
        <f t="shared" si="4"/>
        <v>1.6955219736399594E-3</v>
      </c>
      <c r="C17" s="107">
        <f t="shared" si="5"/>
        <v>1.5670646591032258</v>
      </c>
      <c r="D17" s="106">
        <f t="shared" si="20"/>
        <v>2.3737307630959429E-3</v>
      </c>
      <c r="E17" s="108">
        <v>1.4</v>
      </c>
      <c r="F17" s="107">
        <f t="shared" si="6"/>
        <v>0.57179441792705965</v>
      </c>
      <c r="G17" s="107">
        <f t="shared" si="7"/>
        <v>2.3353268660324478</v>
      </c>
      <c r="H17" s="107">
        <f t="shared" si="21"/>
        <v>0.65361125183112345</v>
      </c>
      <c r="I17" s="106">
        <f t="shared" si="9"/>
        <v>2.3737307630959429E-3</v>
      </c>
      <c r="J17" s="109">
        <f t="shared" si="10"/>
        <v>28.411666465748297</v>
      </c>
      <c r="K17" s="106">
        <f t="shared" si="11"/>
        <v>2.370917914645357E-3</v>
      </c>
      <c r="L17" s="109">
        <f t="shared" si="12"/>
        <v>28.479108112468868</v>
      </c>
      <c r="M17" s="106">
        <f t="shared" si="13"/>
        <v>1.546732525870508E-3</v>
      </c>
      <c r="N17" s="110">
        <f t="shared" si="14"/>
        <v>0.36020641511090601</v>
      </c>
      <c r="O17" s="111">
        <f t="shared" si="15"/>
        <v>0.56778741129964949</v>
      </c>
      <c r="P17" s="112">
        <f t="shared" si="16"/>
        <v>28.479108112468868</v>
      </c>
      <c r="Q17" s="112">
        <f t="shared" si="16"/>
        <v>1.546732525870508E-3</v>
      </c>
      <c r="R17" s="113">
        <f t="shared" si="16"/>
        <v>0.36020641511090601</v>
      </c>
      <c r="S17" s="113">
        <f t="shared" si="17"/>
        <v>1.546732525870508E-3</v>
      </c>
      <c r="T17" s="114">
        <f t="shared" si="18"/>
        <v>1.0827127681093556E-3</v>
      </c>
      <c r="U17" s="115">
        <f t="shared" si="1"/>
        <v>-1.546732525870508E-3</v>
      </c>
      <c r="V17" s="115">
        <f t="shared" si="19"/>
        <v>-28.479108112468868</v>
      </c>
      <c r="W17" s="116">
        <f t="shared" si="2"/>
        <v>-1.546732525870508E-3</v>
      </c>
      <c r="X17" s="116">
        <f t="shared" si="3"/>
        <v>0.36020641511090601</v>
      </c>
    </row>
    <row r="18" spans="2:24" s="117" customFormat="1" ht="13.9" x14ac:dyDescent="0.4">
      <c r="B18" s="106">
        <f t="shared" si="4"/>
        <v>1.6955219736399594E-3</v>
      </c>
      <c r="C18" s="107">
        <f t="shared" si="5"/>
        <v>1.5670646591032258</v>
      </c>
      <c r="D18" s="106">
        <f t="shared" si="20"/>
        <v>2.543282960459939E-3</v>
      </c>
      <c r="E18" s="108">
        <v>1.5</v>
      </c>
      <c r="F18" s="107">
        <f t="shared" si="6"/>
        <v>0.57179441792705965</v>
      </c>
      <c r="G18" s="107">
        <f t="shared" si="7"/>
        <v>2.3353268660324478</v>
      </c>
      <c r="H18" s="107">
        <f t="shared" si="21"/>
        <v>0.6977457211288991</v>
      </c>
      <c r="I18" s="106">
        <f t="shared" si="9"/>
        <v>2.543282960459939E-3</v>
      </c>
      <c r="J18" s="109">
        <f t="shared" si="10"/>
        <v>26.562479515514081</v>
      </c>
      <c r="K18" s="106">
        <f t="shared" si="11"/>
        <v>2.5400542894753811E-3</v>
      </c>
      <c r="L18" s="109">
        <f t="shared" si="12"/>
        <v>26.630035417053453</v>
      </c>
      <c r="M18" s="106">
        <f t="shared" si="13"/>
        <v>1.7693810645058542E-3</v>
      </c>
      <c r="N18" s="110">
        <f t="shared" si="14"/>
        <v>0.40785201646211089</v>
      </c>
      <c r="O18" s="111">
        <f t="shared" si="15"/>
        <v>0.61643545000644762</v>
      </c>
      <c r="P18" s="112">
        <f t="shared" si="16"/>
        <v>26.630035417053453</v>
      </c>
      <c r="Q18" s="112">
        <f t="shared" si="16"/>
        <v>1.7693810645058542E-3</v>
      </c>
      <c r="R18" s="113">
        <f t="shared" si="16"/>
        <v>0.40785201646211089</v>
      </c>
      <c r="S18" s="113">
        <f t="shared" si="17"/>
        <v>1.7693810645058542E-3</v>
      </c>
      <c r="T18" s="114">
        <f t="shared" si="18"/>
        <v>1.2385667451540981E-3</v>
      </c>
      <c r="U18" s="115">
        <f t="shared" si="1"/>
        <v>-1.7693810645058542E-3</v>
      </c>
      <c r="V18" s="115">
        <f t="shared" si="19"/>
        <v>-26.630035417053453</v>
      </c>
      <c r="W18" s="116">
        <f t="shared" si="2"/>
        <v>-1.7693810645058542E-3</v>
      </c>
      <c r="X18" s="116">
        <f t="shared" si="3"/>
        <v>0.40785201646211089</v>
      </c>
    </row>
    <row r="19" spans="2:24" s="117" customFormat="1" ht="13.9" x14ac:dyDescent="0.4">
      <c r="B19" s="106">
        <f t="shared" si="4"/>
        <v>1.6955219736399594E-3</v>
      </c>
      <c r="C19" s="107">
        <f t="shared" si="5"/>
        <v>1.5670646591032258</v>
      </c>
      <c r="D19" s="106">
        <f t="shared" si="20"/>
        <v>2.7128351578239352E-3</v>
      </c>
      <c r="E19" s="108">
        <v>1.6</v>
      </c>
      <c r="F19" s="107">
        <f t="shared" si="6"/>
        <v>0.57179441792705965</v>
      </c>
      <c r="G19" s="107">
        <f t="shared" si="7"/>
        <v>2.3353268660324478</v>
      </c>
      <c r="H19" s="107">
        <f t="shared" si="21"/>
        <v>0.73578717087231471</v>
      </c>
      <c r="I19" s="106">
        <f t="shared" si="9"/>
        <v>2.7128351578239352E-3</v>
      </c>
      <c r="J19" s="109">
        <f t="shared" si="10"/>
        <v>24.767306565504928</v>
      </c>
      <c r="K19" s="106">
        <f t="shared" si="11"/>
        <v>2.7091620620297318E-3</v>
      </c>
      <c r="L19" s="109">
        <f t="shared" si="12"/>
        <v>24.834496185520429</v>
      </c>
      <c r="M19" s="106">
        <f t="shared" si="13"/>
        <v>1.9904517424207705E-3</v>
      </c>
      <c r="N19" s="110">
        <f t="shared" si="14"/>
        <v>0.45380355624828561</v>
      </c>
      <c r="O19" s="111">
        <f t="shared" si="15"/>
        <v>0.65970582933774313</v>
      </c>
      <c r="P19" s="112">
        <f t="shared" si="16"/>
        <v>24.834496185520429</v>
      </c>
      <c r="Q19" s="112">
        <f t="shared" si="16"/>
        <v>1.9904517424207705E-3</v>
      </c>
      <c r="R19" s="113">
        <f t="shared" si="16"/>
        <v>0.45380355624828561</v>
      </c>
      <c r="S19" s="113">
        <f t="shared" si="17"/>
        <v>1.9904517424207705E-3</v>
      </c>
      <c r="T19" s="114">
        <f t="shared" si="18"/>
        <v>1.3933162196945394E-3</v>
      </c>
      <c r="U19" s="115">
        <f t="shared" si="1"/>
        <v>-1.9904517424207705E-3</v>
      </c>
      <c r="V19" s="115">
        <f t="shared" si="19"/>
        <v>-24.834496185520429</v>
      </c>
      <c r="W19" s="116">
        <f t="shared" si="2"/>
        <v>-1.9904517424207705E-3</v>
      </c>
      <c r="X19" s="116">
        <f t="shared" si="3"/>
        <v>0.45380355624828561</v>
      </c>
    </row>
    <row r="20" spans="2:24" s="117" customFormat="1" ht="13.9" x14ac:dyDescent="0.4">
      <c r="B20" s="106">
        <f t="shared" si="4"/>
        <v>1.6955219736399594E-3</v>
      </c>
      <c r="C20" s="107">
        <f t="shared" si="5"/>
        <v>1.5670646591032258</v>
      </c>
      <c r="D20" s="106">
        <f t="shared" si="20"/>
        <v>2.8823873551879309E-3</v>
      </c>
      <c r="E20" s="108">
        <v>1.7</v>
      </c>
      <c r="F20" s="107">
        <f t="shared" si="6"/>
        <v>0.57179441792705965</v>
      </c>
      <c r="G20" s="107">
        <f t="shared" si="7"/>
        <v>2.3353268660324478</v>
      </c>
      <c r="H20" s="107">
        <f t="shared" si="21"/>
        <v>0.76830370118591729</v>
      </c>
      <c r="I20" s="106">
        <f t="shared" si="9"/>
        <v>2.8823873551879309E-3</v>
      </c>
      <c r="J20" s="109">
        <f t="shared" si="10"/>
        <v>23.076657980150532</v>
      </c>
      <c r="K20" s="106">
        <f t="shared" si="11"/>
        <v>2.878241241980729E-3</v>
      </c>
      <c r="L20" s="109">
        <f t="shared" si="12"/>
        <v>23.143173847312514</v>
      </c>
      <c r="M20" s="106">
        <f t="shared" si="13"/>
        <v>2.2084777908395049E-3</v>
      </c>
      <c r="N20" s="110">
        <f t="shared" si="14"/>
        <v>0.49729037112462626</v>
      </c>
      <c r="O20" s="111">
        <f t="shared" si="15"/>
        <v>0.69771896714268933</v>
      </c>
      <c r="P20" s="112">
        <f t="shared" si="16"/>
        <v>23.143173847312514</v>
      </c>
      <c r="Q20" s="112">
        <f t="shared" si="16"/>
        <v>2.2084777908395049E-3</v>
      </c>
      <c r="R20" s="113">
        <f t="shared" si="16"/>
        <v>0.49729037112462626</v>
      </c>
      <c r="S20" s="113">
        <f t="shared" si="17"/>
        <v>2.2084777908395049E-3</v>
      </c>
      <c r="T20" s="114">
        <f t="shared" si="18"/>
        <v>1.5459344535876534E-3</v>
      </c>
      <c r="U20" s="115">
        <f t="shared" si="1"/>
        <v>-2.2084777908395049E-3</v>
      </c>
      <c r="V20" s="115">
        <f t="shared" si="19"/>
        <v>-23.143173847312514</v>
      </c>
      <c r="W20" s="116">
        <f t="shared" si="2"/>
        <v>-2.2084777908395049E-3</v>
      </c>
      <c r="X20" s="116">
        <f t="shared" si="3"/>
        <v>0.49729037112462626</v>
      </c>
    </row>
    <row r="21" spans="2:24" s="117" customFormat="1" ht="13.9" x14ac:dyDescent="0.4">
      <c r="B21" s="106">
        <f t="shared" si="4"/>
        <v>1.6955219736399594E-3</v>
      </c>
      <c r="C21" s="107">
        <f t="shared" si="5"/>
        <v>1.5670646591032258</v>
      </c>
      <c r="D21" s="106">
        <f t="shared" si="20"/>
        <v>3.051939552551927E-3</v>
      </c>
      <c r="E21" s="108">
        <v>1.8</v>
      </c>
      <c r="F21" s="107">
        <f t="shared" si="6"/>
        <v>0.57179441792705965</v>
      </c>
      <c r="G21" s="107">
        <f t="shared" si="7"/>
        <v>2.3353268660324478</v>
      </c>
      <c r="H21" s="107">
        <f t="shared" si="21"/>
        <v>0.796000550841514</v>
      </c>
      <c r="I21" s="106">
        <f t="shared" si="9"/>
        <v>3.051939552551927E-3</v>
      </c>
      <c r="J21" s="109">
        <f t="shared" si="10"/>
        <v>21.513268403095694</v>
      </c>
      <c r="K21" s="106">
        <f t="shared" si="11"/>
        <v>3.0472918389951235E-3</v>
      </c>
      <c r="L21" s="109">
        <f t="shared" si="12"/>
        <v>21.578925597839767</v>
      </c>
      <c r="M21" s="106">
        <f t="shared" si="13"/>
        <v>2.4227977321936408E-3</v>
      </c>
      <c r="N21" s="110">
        <f t="shared" si="14"/>
        <v>0.53786823105706372</v>
      </c>
      <c r="O21" s="111">
        <f t="shared" si="15"/>
        <v>0.73087399910259532</v>
      </c>
      <c r="P21" s="112">
        <f t="shared" si="16"/>
        <v>21.578925597839767</v>
      </c>
      <c r="Q21" s="112">
        <f t="shared" si="16"/>
        <v>2.4227977321936408E-3</v>
      </c>
      <c r="R21" s="113">
        <f t="shared" si="16"/>
        <v>0.53786823105706372</v>
      </c>
      <c r="S21" s="113">
        <f t="shared" si="17"/>
        <v>2.4227977321936408E-3</v>
      </c>
      <c r="T21" s="114">
        <f t="shared" si="18"/>
        <v>1.6959584125355483E-3</v>
      </c>
      <c r="U21" s="115">
        <f t="shared" si="1"/>
        <v>-2.4227977321936408E-3</v>
      </c>
      <c r="V21" s="115">
        <f t="shared" si="19"/>
        <v>-21.578925597839767</v>
      </c>
      <c r="W21" s="116">
        <f t="shared" si="2"/>
        <v>-2.4227977321936408E-3</v>
      </c>
      <c r="X21" s="116">
        <f t="shared" si="3"/>
        <v>0.53786823105706372</v>
      </c>
    </row>
    <row r="22" spans="2:24" s="117" customFormat="1" ht="13.9" x14ac:dyDescent="0.4">
      <c r="B22" s="106">
        <f t="shared" si="4"/>
        <v>1.6955219736399594E-3</v>
      </c>
      <c r="C22" s="107">
        <f t="shared" si="5"/>
        <v>1.5670646591032258</v>
      </c>
      <c r="D22" s="106">
        <f t="shared" si="20"/>
        <v>3.2214917499159227E-3</v>
      </c>
      <c r="E22" s="108">
        <v>1.9</v>
      </c>
      <c r="F22" s="107">
        <f t="shared" si="6"/>
        <v>0.57179441792705965</v>
      </c>
      <c r="G22" s="107">
        <f t="shared" si="7"/>
        <v>2.3353268660324478</v>
      </c>
      <c r="H22" s="107">
        <f t="shared" si="21"/>
        <v>0.81958464603012271</v>
      </c>
      <c r="I22" s="106">
        <f t="shared" si="9"/>
        <v>3.2214917499159227E-3</v>
      </c>
      <c r="J22" s="109">
        <f t="shared" si="10"/>
        <v>20.083157372913636</v>
      </c>
      <c r="K22" s="106">
        <f t="shared" si="11"/>
        <v>3.216313862735428E-3</v>
      </c>
      <c r="L22" s="109">
        <f t="shared" si="12"/>
        <v>20.147855098702738</v>
      </c>
      <c r="M22" s="106">
        <f t="shared" si="13"/>
        <v>2.6332349361789706E-3</v>
      </c>
      <c r="N22" s="110">
        <f t="shared" si="14"/>
        <v>0.57534017100210311</v>
      </c>
      <c r="O22" s="111">
        <f t="shared" si="15"/>
        <v>0.75968820781489976</v>
      </c>
      <c r="P22" s="112">
        <f t="shared" si="16"/>
        <v>20.147855098702738</v>
      </c>
      <c r="Q22" s="112">
        <f t="shared" si="16"/>
        <v>2.6332349361789706E-3</v>
      </c>
      <c r="R22" s="113">
        <f t="shared" si="16"/>
        <v>0.57534017100210311</v>
      </c>
      <c r="S22" s="113">
        <f t="shared" si="17"/>
        <v>2.6332349361789706E-3</v>
      </c>
      <c r="T22" s="114">
        <f t="shared" si="18"/>
        <v>1.8432644553252795E-3</v>
      </c>
      <c r="U22" s="115">
        <f t="shared" si="1"/>
        <v>-2.6332349361789706E-3</v>
      </c>
      <c r="V22" s="115">
        <f t="shared" si="19"/>
        <v>-20.147855098702738</v>
      </c>
      <c r="W22" s="116">
        <f t="shared" si="2"/>
        <v>-2.6332349361789706E-3</v>
      </c>
      <c r="X22" s="116">
        <f t="shared" si="3"/>
        <v>0.57534017100210311</v>
      </c>
    </row>
    <row r="23" spans="2:24" s="117" customFormat="1" ht="13.9" x14ac:dyDescent="0.4">
      <c r="B23" s="106">
        <f t="shared" si="4"/>
        <v>1.6955219736399594E-3</v>
      </c>
      <c r="C23" s="107">
        <f t="shared" si="5"/>
        <v>1.5670646591032258</v>
      </c>
      <c r="D23" s="106">
        <f t="shared" si="20"/>
        <v>3.3910439472799188E-3</v>
      </c>
      <c r="E23" s="108">
        <v>2</v>
      </c>
      <c r="F23" s="107">
        <f t="shared" si="6"/>
        <v>0.57179441792705965</v>
      </c>
      <c r="G23" s="107">
        <f t="shared" si="7"/>
        <v>2.3353268660324478</v>
      </c>
      <c r="H23" s="107">
        <f t="shared" si="21"/>
        <v>0.83970169521098303</v>
      </c>
      <c r="I23" s="106">
        <f t="shared" si="9"/>
        <v>3.3910439472799188E-3</v>
      </c>
      <c r="J23" s="109">
        <f t="shared" si="10"/>
        <v>18.782950802143318</v>
      </c>
      <c r="K23" s="106">
        <f t="shared" si="11"/>
        <v>3.3853073228592564E-3</v>
      </c>
      <c r="L23" s="109">
        <f t="shared" si="12"/>
        <v>18.846644613772984</v>
      </c>
      <c r="M23" s="106">
        <f t="shared" si="13"/>
        <v>2.8398854277366663E-3</v>
      </c>
      <c r="N23" s="110">
        <f t="shared" si="14"/>
        <v>0.60968458214189303</v>
      </c>
      <c r="O23" s="111">
        <f t="shared" si="15"/>
        <v>0.78470259408808163</v>
      </c>
      <c r="P23" s="112">
        <f t="shared" si="16"/>
        <v>18.846644613772984</v>
      </c>
      <c r="Q23" s="112">
        <f t="shared" si="16"/>
        <v>2.8398854277366663E-3</v>
      </c>
      <c r="R23" s="113">
        <f t="shared" si="16"/>
        <v>0.60968458214189303</v>
      </c>
      <c r="S23" s="113">
        <f t="shared" si="17"/>
        <v>2.8398854277366663E-3</v>
      </c>
      <c r="T23" s="114">
        <f t="shared" si="18"/>
        <v>1.9879197994156664E-3</v>
      </c>
      <c r="U23" s="115">
        <f t="shared" si="1"/>
        <v>-2.8398854277366663E-3</v>
      </c>
      <c r="V23" s="115">
        <f t="shared" si="19"/>
        <v>-18.846644613772984</v>
      </c>
      <c r="W23" s="116">
        <f t="shared" si="2"/>
        <v>-2.8398854277366663E-3</v>
      </c>
      <c r="X23" s="116">
        <f t="shared" si="3"/>
        <v>0.60968458214189303</v>
      </c>
    </row>
    <row r="24" spans="2:24" s="117" customFormat="1" ht="13.9" x14ac:dyDescent="0.4">
      <c r="B24" s="106">
        <f t="shared" si="4"/>
        <v>1.6955219736399594E-3</v>
      </c>
      <c r="C24" s="107">
        <f t="shared" si="5"/>
        <v>1.5670646591032258</v>
      </c>
      <c r="D24" s="106">
        <f t="shared" si="20"/>
        <v>3.560596144643915E-3</v>
      </c>
      <c r="E24" s="108">
        <v>2.1</v>
      </c>
      <c r="F24" s="107">
        <f t="shared" si="6"/>
        <v>0.57179441792705965</v>
      </c>
      <c r="G24" s="107">
        <f t="shared" si="7"/>
        <v>2.3353268660324478</v>
      </c>
      <c r="H24" s="107">
        <f t="shared" si="21"/>
        <v>0.85691361182270775</v>
      </c>
      <c r="I24" s="106">
        <f t="shared" si="9"/>
        <v>3.560596144643915E-3</v>
      </c>
      <c r="J24" s="109">
        <f t="shared" si="10"/>
        <v>17.604452041986505</v>
      </c>
      <c r="K24" s="106">
        <f t="shared" si="11"/>
        <v>3.5542722290186645E-3</v>
      </c>
      <c r="L24" s="109">
        <f t="shared" si="12"/>
        <v>17.667134386055771</v>
      </c>
      <c r="M24" s="106">
        <f t="shared" si="13"/>
        <v>3.0429853598862105E-3</v>
      </c>
      <c r="N24" s="110">
        <f t="shared" si="14"/>
        <v>0.64099623653973814</v>
      </c>
      <c r="O24" s="111">
        <f t="shared" si="15"/>
        <v>0.8064316670870415</v>
      </c>
      <c r="P24" s="112">
        <f t="shared" si="16"/>
        <v>17.667134386055771</v>
      </c>
      <c r="Q24" s="112">
        <f t="shared" si="16"/>
        <v>3.0429853598862105E-3</v>
      </c>
      <c r="R24" s="113">
        <f t="shared" si="16"/>
        <v>0.64099623653973814</v>
      </c>
      <c r="S24" s="113">
        <f t="shared" si="17"/>
        <v>3.0429853598862105E-3</v>
      </c>
      <c r="T24" s="114">
        <f t="shared" si="18"/>
        <v>2.1300897519203475E-3</v>
      </c>
      <c r="U24" s="115">
        <f t="shared" si="1"/>
        <v>-3.0429853598862105E-3</v>
      </c>
      <c r="V24" s="115">
        <f t="shared" si="19"/>
        <v>-17.667134386055771</v>
      </c>
      <c r="W24" s="116">
        <f t="shared" si="2"/>
        <v>-3.0429853598862105E-3</v>
      </c>
      <c r="X24" s="116">
        <f t="shared" si="3"/>
        <v>0.64099623653973814</v>
      </c>
    </row>
    <row r="25" spans="2:24" s="117" customFormat="1" ht="13.9" x14ac:dyDescent="0.4">
      <c r="B25" s="106">
        <f t="shared" si="4"/>
        <v>1.6955219736399594E-3</v>
      </c>
      <c r="C25" s="107">
        <f t="shared" si="5"/>
        <v>1.5670646591032258</v>
      </c>
      <c r="D25" s="106">
        <f t="shared" si="20"/>
        <v>3.7301483420079111E-3</v>
      </c>
      <c r="E25" s="108">
        <v>2.2000000000000002</v>
      </c>
      <c r="F25" s="107">
        <f t="shared" si="6"/>
        <v>0.57179441792705965</v>
      </c>
      <c r="G25" s="107">
        <f t="shared" si="7"/>
        <v>2.3353268660324478</v>
      </c>
      <c r="H25" s="107">
        <f t="shared" si="21"/>
        <v>0.87169639004499055</v>
      </c>
      <c r="I25" s="106">
        <f t="shared" si="9"/>
        <v>3.7301483420079111E-3</v>
      </c>
      <c r="J25" s="109">
        <f t="shared" si="10"/>
        <v>16.537370350632624</v>
      </c>
      <c r="K25" s="106">
        <f t="shared" si="11"/>
        <v>3.7232085908617003E-3</v>
      </c>
      <c r="L25" s="109">
        <f t="shared" si="12"/>
        <v>16.599057195227211</v>
      </c>
      <c r="M25" s="106">
        <f t="shared" si="13"/>
        <v>3.2428318756318247E-3</v>
      </c>
      <c r="N25" s="110">
        <f t="shared" si="14"/>
        <v>0.66944121329981143</v>
      </c>
      <c r="O25" s="111">
        <f t="shared" si="15"/>
        <v>0.82534036090948948</v>
      </c>
      <c r="P25" s="112">
        <f t="shared" si="16"/>
        <v>16.599057195227211</v>
      </c>
      <c r="Q25" s="112">
        <f t="shared" si="16"/>
        <v>3.2428318756318247E-3</v>
      </c>
      <c r="R25" s="113">
        <f t="shared" si="16"/>
        <v>0.66944121329981143</v>
      </c>
      <c r="S25" s="113">
        <f t="shared" si="17"/>
        <v>3.2428318756318247E-3</v>
      </c>
      <c r="T25" s="114">
        <f t="shared" si="18"/>
        <v>2.2699823129422774E-3</v>
      </c>
      <c r="U25" s="115">
        <f t="shared" si="1"/>
        <v>-3.2428318756318247E-3</v>
      </c>
      <c r="V25" s="115">
        <f t="shared" si="19"/>
        <v>-16.599057195227211</v>
      </c>
      <c r="W25" s="116">
        <f t="shared" si="2"/>
        <v>-3.2428318756318247E-3</v>
      </c>
      <c r="X25" s="116">
        <f t="shared" si="3"/>
        <v>0.66944121329981143</v>
      </c>
    </row>
    <row r="26" spans="2:24" s="117" customFormat="1" ht="13.9" x14ac:dyDescent="0.4">
      <c r="B26" s="106">
        <f t="shared" si="4"/>
        <v>1.6955219736399594E-3</v>
      </c>
      <c r="C26" s="107">
        <f t="shared" si="5"/>
        <v>1.5670646591032258</v>
      </c>
      <c r="D26" s="106">
        <f t="shared" si="20"/>
        <v>3.8997005393719064E-3</v>
      </c>
      <c r="E26" s="108">
        <v>2.2999999999999998</v>
      </c>
      <c r="F26" s="107">
        <f t="shared" si="6"/>
        <v>0.57179441792705965</v>
      </c>
      <c r="G26" s="107">
        <f t="shared" si="7"/>
        <v>2.3353268660324478</v>
      </c>
      <c r="H26" s="107">
        <f t="shared" si="21"/>
        <v>0.88444720818865752</v>
      </c>
      <c r="I26" s="106">
        <f t="shared" si="9"/>
        <v>3.8997005393719064E-3</v>
      </c>
      <c r="J26" s="109">
        <f t="shared" si="10"/>
        <v>15.570880599606838</v>
      </c>
      <c r="K26" s="106">
        <f t="shared" si="11"/>
        <v>3.892116418030638E-3</v>
      </c>
      <c r="L26" s="109">
        <f t="shared" si="12"/>
        <v>15.631602371079621</v>
      </c>
      <c r="M26" s="106">
        <f t="shared" si="13"/>
        <v>3.439737845411594E-3</v>
      </c>
      <c r="N26" s="110">
        <f t="shared" si="14"/>
        <v>0.69522428410797543</v>
      </c>
      <c r="O26" s="111">
        <f t="shared" si="15"/>
        <v>0.84183646134890111</v>
      </c>
      <c r="P26" s="112">
        <f t="shared" si="16"/>
        <v>15.631602371079621</v>
      </c>
      <c r="Q26" s="112">
        <f t="shared" si="16"/>
        <v>3.439737845411594E-3</v>
      </c>
      <c r="R26" s="113">
        <f t="shared" si="16"/>
        <v>0.69522428410797543</v>
      </c>
      <c r="S26" s="113">
        <f t="shared" si="17"/>
        <v>3.439737845411594E-3</v>
      </c>
      <c r="T26" s="114">
        <f t="shared" si="18"/>
        <v>2.4078164917881156E-3</v>
      </c>
      <c r="U26" s="115">
        <f t="shared" si="1"/>
        <v>-3.439737845411594E-3</v>
      </c>
      <c r="V26" s="115">
        <f t="shared" si="19"/>
        <v>-15.631602371079621</v>
      </c>
      <c r="W26" s="116">
        <f t="shared" si="2"/>
        <v>-3.439737845411594E-3</v>
      </c>
      <c r="X26" s="116">
        <f t="shared" si="3"/>
        <v>0.69522428410797543</v>
      </c>
    </row>
    <row r="27" spans="2:24" s="117" customFormat="1" ht="13.9" x14ac:dyDescent="0.4">
      <c r="B27" s="106">
        <f t="shared" si="4"/>
        <v>1.6955219736399594E-3</v>
      </c>
      <c r="C27" s="107">
        <f t="shared" si="5"/>
        <v>1.5670646591032258</v>
      </c>
      <c r="D27" s="106">
        <f t="shared" si="20"/>
        <v>4.0692527367359021E-3</v>
      </c>
      <c r="E27" s="108">
        <v>2.4</v>
      </c>
      <c r="F27" s="107">
        <f t="shared" si="6"/>
        <v>0.57179441792705965</v>
      </c>
      <c r="G27" s="107">
        <f t="shared" si="7"/>
        <v>2.3353268660324478</v>
      </c>
      <c r="H27" s="107">
        <f t="shared" si="21"/>
        <v>0.89549483967387045</v>
      </c>
      <c r="I27" s="106">
        <f t="shared" si="9"/>
        <v>4.0692527367359021E-3</v>
      </c>
      <c r="J27" s="109">
        <f t="shared" si="10"/>
        <v>14.694468198345781</v>
      </c>
      <c r="K27" s="106">
        <f t="shared" si="11"/>
        <v>4.0609957201635308E-3</v>
      </c>
      <c r="L27" s="109">
        <f t="shared" si="12"/>
        <v>14.754263703276777</v>
      </c>
      <c r="M27" s="106">
        <f t="shared" si="13"/>
        <v>3.634007328590701E-3</v>
      </c>
      <c r="N27" s="110">
        <f t="shared" si="14"/>
        <v>0.71856641192943105</v>
      </c>
      <c r="O27" s="111">
        <f t="shared" si="15"/>
        <v>0.85627126608757709</v>
      </c>
      <c r="P27" s="112">
        <f t="shared" si="16"/>
        <v>14.754263703276777</v>
      </c>
      <c r="Q27" s="112">
        <f t="shared" si="16"/>
        <v>3.634007328590701E-3</v>
      </c>
      <c r="R27" s="113">
        <f t="shared" si="16"/>
        <v>0.71856641192943105</v>
      </c>
      <c r="S27" s="113">
        <f t="shared" si="17"/>
        <v>3.634007328590701E-3</v>
      </c>
      <c r="T27" s="114">
        <f t="shared" si="18"/>
        <v>2.5438051300134905E-3</v>
      </c>
      <c r="U27" s="115">
        <f t="shared" si="1"/>
        <v>-3.634007328590701E-3</v>
      </c>
      <c r="V27" s="115">
        <f t="shared" si="19"/>
        <v>-14.754263703276777</v>
      </c>
      <c r="W27" s="116">
        <f t="shared" si="2"/>
        <v>-3.634007328590701E-3</v>
      </c>
      <c r="X27" s="116">
        <f t="shared" si="3"/>
        <v>0.71856641192943105</v>
      </c>
    </row>
    <row r="28" spans="2:24" s="117" customFormat="1" ht="15.75" customHeight="1" x14ac:dyDescent="0.4">
      <c r="B28" s="106">
        <f t="shared" si="4"/>
        <v>1.6955219736399594E-3</v>
      </c>
      <c r="C28" s="107">
        <f t="shared" si="5"/>
        <v>1.5670646591032258</v>
      </c>
      <c r="D28" s="106">
        <f t="shared" si="20"/>
        <v>4.2388049340998987E-3</v>
      </c>
      <c r="E28" s="108">
        <v>2.5</v>
      </c>
      <c r="F28" s="107">
        <f t="shared" si="6"/>
        <v>0.57179441792705965</v>
      </c>
      <c r="G28" s="107">
        <f t="shared" si="7"/>
        <v>2.3353268660324478</v>
      </c>
      <c r="H28" s="107">
        <f t="shared" si="21"/>
        <v>0.90511046540022722</v>
      </c>
      <c r="I28" s="106">
        <f t="shared" si="9"/>
        <v>4.2388049340998987E-3</v>
      </c>
      <c r="J28" s="109">
        <f t="shared" si="10"/>
        <v>13.898349255561849</v>
      </c>
      <c r="K28" s="106">
        <f t="shared" si="11"/>
        <v>4.2298465068935504E-3</v>
      </c>
      <c r="L28" s="109">
        <f t="shared" si="12"/>
        <v>13.95726164696217</v>
      </c>
      <c r="M28" s="106">
        <f t="shared" si="13"/>
        <v>3.8259233548304651E-3</v>
      </c>
      <c r="N28" s="110">
        <f t="shared" si="14"/>
        <v>0.73968994599422611</v>
      </c>
      <c r="O28" s="111">
        <f t="shared" si="15"/>
        <v>0.86894417792822565</v>
      </c>
      <c r="P28" s="112">
        <f t="shared" si="16"/>
        <v>13.95726164696217</v>
      </c>
      <c r="Q28" s="112">
        <f t="shared" si="16"/>
        <v>3.8259233548304651E-3</v>
      </c>
      <c r="R28" s="113">
        <f t="shared" si="16"/>
        <v>0.73968994599422611</v>
      </c>
      <c r="S28" s="113">
        <f t="shared" si="17"/>
        <v>3.8259233548304651E-3</v>
      </c>
      <c r="T28" s="114">
        <f t="shared" si="18"/>
        <v>2.6781463483813253E-3</v>
      </c>
      <c r="U28" s="115">
        <f t="shared" si="1"/>
        <v>-3.8259233548304651E-3</v>
      </c>
      <c r="V28" s="115">
        <f t="shared" si="19"/>
        <v>-13.95726164696217</v>
      </c>
      <c r="W28" s="116">
        <f t="shared" si="2"/>
        <v>-3.8259233548304651E-3</v>
      </c>
      <c r="X28" s="116">
        <f t="shared" si="3"/>
        <v>0.73968994599422611</v>
      </c>
    </row>
    <row r="29" spans="2:24" s="117" customFormat="1" ht="15.75" customHeight="1" x14ac:dyDescent="0.4">
      <c r="B29" s="106">
        <f t="shared" si="4"/>
        <v>1.6955219736399594E-3</v>
      </c>
      <c r="C29" s="107">
        <f t="shared" si="5"/>
        <v>1.5670646591032258</v>
      </c>
      <c r="D29" s="106">
        <f t="shared" si="20"/>
        <v>4.4083571314638944E-3</v>
      </c>
      <c r="E29" s="108">
        <v>2.6</v>
      </c>
      <c r="F29" s="107">
        <f t="shared" si="6"/>
        <v>0.57179441792705965</v>
      </c>
      <c r="G29" s="107">
        <f t="shared" si="7"/>
        <v>2.3353268660324478</v>
      </c>
      <c r="H29" s="107">
        <f t="shared" si="21"/>
        <v>0.91351760219603273</v>
      </c>
      <c r="I29" s="106">
        <f t="shared" si="9"/>
        <v>4.4083571314638944E-3</v>
      </c>
      <c r="J29" s="109">
        <f t="shared" si="10"/>
        <v>13.173645304257654</v>
      </c>
      <c r="K29" s="106">
        <f t="shared" si="11"/>
        <v>4.3986687878483236E-3</v>
      </c>
      <c r="L29" s="109">
        <f t="shared" si="12"/>
        <v>13.231719437482054</v>
      </c>
      <c r="M29" s="106">
        <f t="shared" si="13"/>
        <v>4.0157428273275928E-3</v>
      </c>
      <c r="N29" s="110">
        <f t="shared" si="14"/>
        <v>0.75880940519226425</v>
      </c>
      <c r="O29" s="111">
        <f t="shared" si="15"/>
        <v>0.88010881594236157</v>
      </c>
      <c r="P29" s="112">
        <f t="shared" si="16"/>
        <v>13.231719437482054</v>
      </c>
      <c r="Q29" s="112">
        <f t="shared" si="16"/>
        <v>4.0157428273275928E-3</v>
      </c>
      <c r="R29" s="113">
        <f t="shared" si="16"/>
        <v>0.75880940519226425</v>
      </c>
      <c r="S29" s="113">
        <f t="shared" si="17"/>
        <v>4.0157428273275928E-3</v>
      </c>
      <c r="T29" s="114">
        <f t="shared" si="18"/>
        <v>2.8110199791293155E-3</v>
      </c>
      <c r="U29" s="115">
        <f t="shared" si="1"/>
        <v>-4.0157428273275928E-3</v>
      </c>
      <c r="V29" s="115">
        <f t="shared" si="19"/>
        <v>-13.231719437482054</v>
      </c>
      <c r="W29" s="116">
        <f t="shared" si="2"/>
        <v>-4.0157428273275928E-3</v>
      </c>
      <c r="X29" s="116">
        <f t="shared" si="3"/>
        <v>0.75880940519226425</v>
      </c>
    </row>
    <row r="30" spans="2:24" s="117" customFormat="1" ht="13.9" x14ac:dyDescent="0.4">
      <c r="B30" s="106">
        <f t="shared" si="4"/>
        <v>1.6955219736399594E-3</v>
      </c>
      <c r="C30" s="107">
        <f t="shared" si="5"/>
        <v>1.5670646591032258</v>
      </c>
      <c r="D30" s="106">
        <f t="shared" si="20"/>
        <v>4.5779093288278909E-3</v>
      </c>
      <c r="E30" s="108">
        <v>2.7</v>
      </c>
      <c r="F30" s="107">
        <f t="shared" si="6"/>
        <v>0.57179441792705965</v>
      </c>
      <c r="G30" s="107">
        <f t="shared" si="7"/>
        <v>2.3353268660324478</v>
      </c>
      <c r="H30" s="107">
        <f t="shared" si="21"/>
        <v>0.92090069113374595</v>
      </c>
      <c r="I30" s="106">
        <f t="shared" si="9"/>
        <v>4.5779093288278909E-3</v>
      </c>
      <c r="J30" s="109">
        <f t="shared" si="10"/>
        <v>12.512421007693957</v>
      </c>
      <c r="K30" s="106">
        <f t="shared" si="11"/>
        <v>4.5674625726512671E-3</v>
      </c>
      <c r="L30" s="109">
        <f t="shared" si="12"/>
        <v>12.5697017365513</v>
      </c>
      <c r="M30" s="106">
        <f t="shared" si="13"/>
        <v>4.2036954043954723E-3</v>
      </c>
      <c r="N30" s="110">
        <f t="shared" si="14"/>
        <v>0.77612616878791263</v>
      </c>
      <c r="O30" s="111">
        <f t="shared" si="15"/>
        <v>0.8899793628842495</v>
      </c>
      <c r="P30" s="112">
        <f t="shared" si="16"/>
        <v>12.5697017365513</v>
      </c>
      <c r="Q30" s="112">
        <f t="shared" si="16"/>
        <v>4.2036954043954723E-3</v>
      </c>
      <c r="R30" s="113">
        <f t="shared" si="16"/>
        <v>0.77612616878791263</v>
      </c>
      <c r="S30" s="113">
        <f t="shared" si="17"/>
        <v>4.2036954043954723E-3</v>
      </c>
      <c r="T30" s="114">
        <f t="shared" si="18"/>
        <v>2.9425867830768304E-3</v>
      </c>
      <c r="U30" s="115">
        <f t="shared" si="1"/>
        <v>-4.2036954043954723E-3</v>
      </c>
      <c r="V30" s="115">
        <f t="shared" si="19"/>
        <v>-12.5697017365513</v>
      </c>
      <c r="W30" s="116">
        <f t="shared" si="2"/>
        <v>-4.2036954043954723E-3</v>
      </c>
      <c r="X30" s="116">
        <f t="shared" si="3"/>
        <v>0.77612616878791263</v>
      </c>
    </row>
    <row r="31" spans="2:24" s="117" customFormat="1" ht="13.9" x14ac:dyDescent="0.4">
      <c r="B31" s="106">
        <f t="shared" si="4"/>
        <v>1.6955219736399594E-3</v>
      </c>
      <c r="C31" s="107">
        <f t="shared" si="5"/>
        <v>1.5670646591032258</v>
      </c>
      <c r="D31" s="106">
        <f t="shared" si="20"/>
        <v>4.7474615261918858E-3</v>
      </c>
      <c r="E31" s="108">
        <v>2.8</v>
      </c>
      <c r="F31" s="107">
        <f t="shared" si="6"/>
        <v>0.57179441792705965</v>
      </c>
      <c r="G31" s="107">
        <f t="shared" si="7"/>
        <v>2.3353268660324478</v>
      </c>
      <c r="H31" s="107">
        <f t="shared" si="21"/>
        <v>0.92741228842051482</v>
      </c>
      <c r="I31" s="106">
        <f t="shared" si="9"/>
        <v>4.7474615261918858E-3</v>
      </c>
      <c r="J31" s="109">
        <f t="shared" si="10"/>
        <v>11.907649205180343</v>
      </c>
      <c r="K31" s="106">
        <f t="shared" si="11"/>
        <v>4.7362278709209265E-3</v>
      </c>
      <c r="L31" s="109">
        <f t="shared" si="12"/>
        <v>11.964180311649327</v>
      </c>
      <c r="M31" s="106">
        <f t="shared" si="13"/>
        <v>4.3899844927017947E-3</v>
      </c>
      <c r="N31" s="110">
        <f t="shared" si="14"/>
        <v>0.791825807804721</v>
      </c>
      <c r="O31" s="111">
        <f t="shared" si="15"/>
        <v>0.8987365217548402</v>
      </c>
      <c r="P31" s="112">
        <f t="shared" si="16"/>
        <v>11.964180311649327</v>
      </c>
      <c r="Q31" s="112">
        <f t="shared" si="16"/>
        <v>4.3899844927017947E-3</v>
      </c>
      <c r="R31" s="113">
        <f t="shared" si="16"/>
        <v>0.791825807804721</v>
      </c>
      <c r="S31" s="113">
        <f t="shared" si="17"/>
        <v>4.3899844927017947E-3</v>
      </c>
      <c r="T31" s="114">
        <f t="shared" si="18"/>
        <v>3.072989144891256E-3</v>
      </c>
      <c r="U31" s="115">
        <f t="shared" si="1"/>
        <v>-4.3899844927017947E-3</v>
      </c>
      <c r="V31" s="115">
        <f t="shared" si="19"/>
        <v>-11.964180311649327</v>
      </c>
      <c r="W31" s="116">
        <f t="shared" si="2"/>
        <v>-4.3899844927017947E-3</v>
      </c>
      <c r="X31" s="116">
        <f t="shared" si="3"/>
        <v>0.791825807804721</v>
      </c>
    </row>
    <row r="32" spans="2:24" s="117" customFormat="1" ht="13.9" x14ac:dyDescent="0.4">
      <c r="B32" s="106">
        <f t="shared" si="4"/>
        <v>1.6955219736399594E-3</v>
      </c>
      <c r="C32" s="107">
        <f t="shared" si="5"/>
        <v>1.5670646591032258</v>
      </c>
      <c r="D32" s="106">
        <f t="shared" si="20"/>
        <v>4.9170137235558823E-3</v>
      </c>
      <c r="E32" s="108">
        <v>2.9</v>
      </c>
      <c r="F32" s="107">
        <f t="shared" si="6"/>
        <v>0.57179441792705965</v>
      </c>
      <c r="G32" s="107">
        <f t="shared" si="7"/>
        <v>2.3353268660324478</v>
      </c>
      <c r="H32" s="107">
        <f t="shared" si="21"/>
        <v>0.93317897541903871</v>
      </c>
      <c r="I32" s="106">
        <f t="shared" si="9"/>
        <v>4.9170137235558823E-3</v>
      </c>
      <c r="J32" s="109">
        <f t="shared" si="10"/>
        <v>11.353140804652785</v>
      </c>
      <c r="K32" s="106">
        <f t="shared" si="11"/>
        <v>4.9049646922703135E-3</v>
      </c>
      <c r="L32" s="109">
        <f t="shared" si="12"/>
        <v>11.408964353794726</v>
      </c>
      <c r="M32" s="106">
        <f t="shared" si="13"/>
        <v>4.5747892638714942E-3</v>
      </c>
      <c r="N32" s="110">
        <f t="shared" si="14"/>
        <v>0.80607714021272103</v>
      </c>
      <c r="O32" s="111">
        <f t="shared" si="15"/>
        <v>0.90653281827623478</v>
      </c>
      <c r="P32" s="112">
        <f t="shared" si="16"/>
        <v>11.408964353794726</v>
      </c>
      <c r="Q32" s="112">
        <f t="shared" si="16"/>
        <v>4.5747892638714942E-3</v>
      </c>
      <c r="R32" s="113">
        <f t="shared" si="16"/>
        <v>0.80607714021272103</v>
      </c>
      <c r="S32" s="113">
        <f t="shared" si="17"/>
        <v>4.5747892638714942E-3</v>
      </c>
      <c r="T32" s="114">
        <f t="shared" si="18"/>
        <v>3.2023524847100459E-3</v>
      </c>
      <c r="U32" s="115">
        <f t="shared" si="1"/>
        <v>-4.5747892638714942E-3</v>
      </c>
      <c r="V32" s="115">
        <f t="shared" si="19"/>
        <v>-11.408964353794726</v>
      </c>
      <c r="W32" s="116">
        <f t="shared" si="2"/>
        <v>-4.5747892638714942E-3</v>
      </c>
      <c r="X32" s="116">
        <f t="shared" si="3"/>
        <v>0.80607714021272103</v>
      </c>
    </row>
    <row r="33" spans="2:24" s="117" customFormat="1" ht="13.9" x14ac:dyDescent="0.4">
      <c r="B33" s="106">
        <f t="shared" si="4"/>
        <v>1.6955219736399594E-3</v>
      </c>
      <c r="C33" s="107">
        <f t="shared" si="5"/>
        <v>1.5670646591032258</v>
      </c>
      <c r="D33" s="106">
        <f t="shared" si="20"/>
        <v>5.086565920919878E-3</v>
      </c>
      <c r="E33" s="108">
        <v>3</v>
      </c>
      <c r="F33" s="107">
        <f t="shared" si="6"/>
        <v>0.57179441792705965</v>
      </c>
      <c r="G33" s="107">
        <f t="shared" si="7"/>
        <v>2.3353268660324478</v>
      </c>
      <c r="H33" s="107">
        <f t="shared" si="21"/>
        <v>0.93830616512139531</v>
      </c>
      <c r="I33" s="106">
        <f t="shared" si="9"/>
        <v>5.086565920919878E-3</v>
      </c>
      <c r="J33" s="109">
        <f t="shared" si="10"/>
        <v>10.843460885430849</v>
      </c>
      <c r="K33" s="106">
        <f t="shared" si="11"/>
        <v>5.0736730463082367E-3</v>
      </c>
      <c r="L33" s="109">
        <f t="shared" si="12"/>
        <v>10.898616864035509</v>
      </c>
      <c r="M33" s="106">
        <f t="shared" si="13"/>
        <v>4.7582670742630489E-3</v>
      </c>
      <c r="N33" s="110">
        <f t="shared" si="14"/>
        <v>0.81903236644532229</v>
      </c>
      <c r="O33" s="111">
        <f t="shared" si="15"/>
        <v>0.9134971794919069</v>
      </c>
      <c r="P33" s="112">
        <f t="shared" si="16"/>
        <v>10.898616864035509</v>
      </c>
      <c r="Q33" s="112">
        <f t="shared" si="16"/>
        <v>4.7582670742630489E-3</v>
      </c>
      <c r="R33" s="113">
        <f t="shared" si="16"/>
        <v>0.81903236644532229</v>
      </c>
      <c r="S33" s="113">
        <f t="shared" si="17"/>
        <v>4.7582670742630489E-3</v>
      </c>
      <c r="T33" s="114">
        <f t="shared" si="18"/>
        <v>3.330786951984134E-3</v>
      </c>
      <c r="U33" s="115">
        <f t="shared" si="1"/>
        <v>-4.7582670742630489E-3</v>
      </c>
      <c r="V33" s="115">
        <f t="shared" si="19"/>
        <v>-10.898616864035509</v>
      </c>
      <c r="W33" s="116">
        <f t="shared" si="2"/>
        <v>-4.7582670742630489E-3</v>
      </c>
      <c r="X33" s="116">
        <f t="shared" si="3"/>
        <v>0.81903236644532229</v>
      </c>
    </row>
    <row r="34" spans="2:24" s="117" customFormat="1" ht="13.9" x14ac:dyDescent="0.4">
      <c r="B34" s="106">
        <f t="shared" si="4"/>
        <v>1.6955219736399594E-3</v>
      </c>
      <c r="C34" s="107">
        <f t="shared" si="5"/>
        <v>1.5670646591032258</v>
      </c>
      <c r="D34" s="106">
        <f t="shared" si="20"/>
        <v>5.4256703156478703E-3</v>
      </c>
      <c r="E34" s="108">
        <v>3.2</v>
      </c>
      <c r="F34" s="107">
        <f t="shared" si="6"/>
        <v>0.57179441792705965</v>
      </c>
      <c r="G34" s="107">
        <f t="shared" si="7"/>
        <v>2.3353268660324478</v>
      </c>
      <c r="H34" s="107">
        <f t="shared" si="21"/>
        <v>0.94698043583333402</v>
      </c>
      <c r="I34" s="106">
        <f t="shared" si="9"/>
        <v>5.4256703156478703E-3</v>
      </c>
      <c r="J34" s="109">
        <f t="shared" si="10"/>
        <v>9.9401062697880818</v>
      </c>
      <c r="K34" s="106">
        <f t="shared" si="11"/>
        <v>5.4110043908599621E-3</v>
      </c>
      <c r="L34" s="109">
        <f t="shared" si="12"/>
        <v>9.9940380093104562</v>
      </c>
      <c r="M34" s="106">
        <f t="shared" si="13"/>
        <v>5.1217769308705176E-3</v>
      </c>
      <c r="N34" s="110">
        <f t="shared" si="14"/>
        <v>0.84158521680605458</v>
      </c>
      <c r="O34" s="111">
        <f t="shared" si="15"/>
        <v>0.92535047062457287</v>
      </c>
      <c r="P34" s="112">
        <f t="shared" si="16"/>
        <v>9.9940380093104562</v>
      </c>
      <c r="Q34" s="112">
        <f t="shared" si="16"/>
        <v>5.1217769308705176E-3</v>
      </c>
      <c r="R34" s="113">
        <f t="shared" si="16"/>
        <v>0.84158521680605458</v>
      </c>
      <c r="S34" s="113">
        <f t="shared" si="17"/>
        <v>5.1217769308705176E-3</v>
      </c>
      <c r="T34" s="114">
        <f t="shared" si="18"/>
        <v>3.5852438516093626E-3</v>
      </c>
      <c r="U34" s="115">
        <f t="shared" si="1"/>
        <v>-5.1217769308705176E-3</v>
      </c>
      <c r="V34" s="115">
        <f t="shared" si="19"/>
        <v>-9.9940380093104562</v>
      </c>
      <c r="W34" s="116">
        <f t="shared" si="2"/>
        <v>-5.1217769308705176E-3</v>
      </c>
      <c r="X34" s="116">
        <f t="shared" si="3"/>
        <v>0.84158521680605458</v>
      </c>
    </row>
    <row r="35" spans="2:24" s="117" customFormat="1" ht="13.9" x14ac:dyDescent="0.4">
      <c r="B35" s="106">
        <f t="shared" si="4"/>
        <v>1.6955219736399594E-3</v>
      </c>
      <c r="C35" s="107">
        <f t="shared" si="5"/>
        <v>1.5670646591032258</v>
      </c>
      <c r="D35" s="106">
        <f t="shared" si="20"/>
        <v>5.7647747103758617E-3</v>
      </c>
      <c r="E35" s="108">
        <v>3.4</v>
      </c>
      <c r="F35" s="107">
        <f t="shared" si="6"/>
        <v>0.57179441792705965</v>
      </c>
      <c r="G35" s="107">
        <f t="shared" si="7"/>
        <v>2.3353268660324478</v>
      </c>
      <c r="H35" s="107">
        <f t="shared" si="21"/>
        <v>0.95398511496071614</v>
      </c>
      <c r="I35" s="106">
        <f t="shared" si="9"/>
        <v>5.7647747103758617E-3</v>
      </c>
      <c r="J35" s="109">
        <f t="shared" si="10"/>
        <v>9.1660485686011128</v>
      </c>
      <c r="K35" s="106">
        <f t="shared" si="11"/>
        <v>5.7482219813474039E-3</v>
      </c>
      <c r="L35" s="109">
        <f t="shared" si="12"/>
        <v>9.2188887735834619</v>
      </c>
      <c r="M35" s="106">
        <f t="shared" si="13"/>
        <v>5.4814273402398984E-3</v>
      </c>
      <c r="N35" s="110">
        <f t="shared" si="14"/>
        <v>0.86040631417753954</v>
      </c>
      <c r="O35" s="111">
        <f t="shared" si="15"/>
        <v>0.93498829242959414</v>
      </c>
      <c r="P35" s="112">
        <f t="shared" si="16"/>
        <v>9.2188887735834619</v>
      </c>
      <c r="Q35" s="112">
        <f t="shared" si="16"/>
        <v>5.4814273402398984E-3</v>
      </c>
      <c r="R35" s="113">
        <f t="shared" si="16"/>
        <v>0.86040631417753954</v>
      </c>
      <c r="S35" s="113">
        <f t="shared" si="17"/>
        <v>5.4814273402398984E-3</v>
      </c>
      <c r="T35" s="114">
        <f t="shared" si="18"/>
        <v>3.8369991381679278E-3</v>
      </c>
      <c r="U35" s="115">
        <f t="shared" si="1"/>
        <v>-5.4814273402398984E-3</v>
      </c>
      <c r="V35" s="115">
        <f t="shared" si="19"/>
        <v>-9.2188887735834619</v>
      </c>
      <c r="W35" s="116">
        <f t="shared" si="2"/>
        <v>-5.4814273402398984E-3</v>
      </c>
      <c r="X35" s="116">
        <f t="shared" si="3"/>
        <v>0.86040631417753954</v>
      </c>
    </row>
    <row r="36" spans="2:24" s="117" customFormat="1" ht="13.9" x14ac:dyDescent="0.4">
      <c r="B36" s="106">
        <f t="shared" si="4"/>
        <v>1.6955219736399594E-3</v>
      </c>
      <c r="C36" s="107">
        <f t="shared" si="5"/>
        <v>1.5670646591032258</v>
      </c>
      <c r="D36" s="106">
        <f t="shared" si="20"/>
        <v>6.103879105103854E-3</v>
      </c>
      <c r="E36" s="108">
        <v>3.6</v>
      </c>
      <c r="F36" s="107">
        <f t="shared" si="6"/>
        <v>0.57179441792705965</v>
      </c>
      <c r="G36" s="107">
        <f t="shared" si="7"/>
        <v>2.3353268660324478</v>
      </c>
      <c r="H36" s="107">
        <f t="shared" si="21"/>
        <v>0.95971394124179232</v>
      </c>
      <c r="I36" s="106">
        <f t="shared" si="9"/>
        <v>6.103879105103854E-3</v>
      </c>
      <c r="J36" s="109">
        <f t="shared" si="10"/>
        <v>8.4969326980376625</v>
      </c>
      <c r="K36" s="106">
        <f t="shared" si="11"/>
        <v>6.0853258944642222E-3</v>
      </c>
      <c r="L36" s="109">
        <f t="shared" si="12"/>
        <v>8.548796947990688</v>
      </c>
      <c r="M36" s="106">
        <f t="shared" si="13"/>
        <v>5.8379237107893719E-3</v>
      </c>
      <c r="N36" s="110">
        <f t="shared" si="14"/>
        <v>0.87622336089976782</v>
      </c>
      <c r="O36" s="111">
        <f t="shared" si="15"/>
        <v>0.9429152959198599</v>
      </c>
      <c r="P36" s="112">
        <f t="shared" si="16"/>
        <v>8.548796947990688</v>
      </c>
      <c r="Q36" s="112">
        <f t="shared" si="16"/>
        <v>5.8379237107893719E-3</v>
      </c>
      <c r="R36" s="113">
        <f t="shared" si="16"/>
        <v>0.87622336089976782</v>
      </c>
      <c r="S36" s="113">
        <f t="shared" si="17"/>
        <v>5.8379237107893719E-3</v>
      </c>
      <c r="T36" s="114">
        <f t="shared" si="18"/>
        <v>4.0865465975525612E-3</v>
      </c>
      <c r="U36" s="115">
        <f t="shared" si="1"/>
        <v>-5.8379237107893719E-3</v>
      </c>
      <c r="V36" s="115">
        <f t="shared" si="19"/>
        <v>-8.548796947990688</v>
      </c>
      <c r="W36" s="116">
        <f t="shared" si="2"/>
        <v>-5.8379237107893719E-3</v>
      </c>
      <c r="X36" s="116">
        <f t="shared" si="3"/>
        <v>0.87622336089976782</v>
      </c>
    </row>
    <row r="37" spans="2:24" s="117" customFormat="1" ht="13.9" x14ac:dyDescent="0.4">
      <c r="B37" s="106">
        <f t="shared" si="4"/>
        <v>1.6955219736399594E-3</v>
      </c>
      <c r="C37" s="107">
        <f t="shared" si="5"/>
        <v>1.5670646591032258</v>
      </c>
      <c r="D37" s="106">
        <f t="shared" si="20"/>
        <v>6.4429834998318454E-3</v>
      </c>
      <c r="E37" s="108">
        <v>3.8</v>
      </c>
      <c r="F37" s="107">
        <f t="shared" si="6"/>
        <v>0.57179441792705965</v>
      </c>
      <c r="G37" s="107">
        <f t="shared" si="7"/>
        <v>2.3353268660324478</v>
      </c>
      <c r="H37" s="107">
        <f t="shared" si="21"/>
        <v>0.96445343827387298</v>
      </c>
      <c r="I37" s="106">
        <f t="shared" si="9"/>
        <v>6.4429834998318454E-3</v>
      </c>
      <c r="J37" s="109">
        <f t="shared" si="10"/>
        <v>7.9138186135864075</v>
      </c>
      <c r="K37" s="106">
        <f t="shared" si="11"/>
        <v>6.4223162068272064E-3</v>
      </c>
      <c r="L37" s="109">
        <f t="shared" si="12"/>
        <v>7.9648072163344068</v>
      </c>
      <c r="M37" s="106">
        <f t="shared" si="13"/>
        <v>6.1918146859864884E-3</v>
      </c>
      <c r="N37" s="110">
        <f t="shared" si="14"/>
        <v>0.88960897942891526</v>
      </c>
      <c r="O37" s="111">
        <f t="shared" si="15"/>
        <v>0.9495042620118177</v>
      </c>
      <c r="P37" s="112">
        <f t="shared" si="16"/>
        <v>7.9648072163344068</v>
      </c>
      <c r="Q37" s="112">
        <f t="shared" si="16"/>
        <v>6.1918146859864884E-3</v>
      </c>
      <c r="R37" s="113">
        <f t="shared" si="16"/>
        <v>0.88960897942891526</v>
      </c>
      <c r="S37" s="113">
        <f t="shared" si="17"/>
        <v>6.1918146859864884E-3</v>
      </c>
      <c r="T37" s="114">
        <f t="shared" si="18"/>
        <v>4.3342702801905421E-3</v>
      </c>
      <c r="U37" s="115">
        <f t="shared" si="1"/>
        <v>-6.1918146859864884E-3</v>
      </c>
      <c r="V37" s="115">
        <f t="shared" si="19"/>
        <v>-7.9648072163344068</v>
      </c>
      <c r="W37" s="116">
        <f t="shared" si="2"/>
        <v>-6.1918146859864884E-3</v>
      </c>
      <c r="X37" s="116">
        <f t="shared" si="3"/>
        <v>0.88960897942891526</v>
      </c>
    </row>
    <row r="38" spans="2:24" s="117" customFormat="1" ht="13.9" x14ac:dyDescent="0.4">
      <c r="B38" s="106">
        <f t="shared" si="4"/>
        <v>1.6955219736399594E-3</v>
      </c>
      <c r="C38" s="107">
        <f t="shared" si="5"/>
        <v>1.5670646591032258</v>
      </c>
      <c r="D38" s="106">
        <f t="shared" si="20"/>
        <v>6.7820878945598377E-3</v>
      </c>
      <c r="E38" s="108">
        <v>4</v>
      </c>
      <c r="F38" s="107">
        <f t="shared" si="6"/>
        <v>0.57179441792705965</v>
      </c>
      <c r="G38" s="107">
        <f t="shared" si="7"/>
        <v>2.3353268660324478</v>
      </c>
      <c r="H38" s="107">
        <f t="shared" si="21"/>
        <v>0.96841539867209403</v>
      </c>
      <c r="I38" s="106">
        <f t="shared" si="9"/>
        <v>6.7820878945598377E-3</v>
      </c>
      <c r="J38" s="109">
        <f t="shared" si="10"/>
        <v>7.4018501147370301</v>
      </c>
      <c r="K38" s="106">
        <f t="shared" si="11"/>
        <v>6.7591929949750501E-3</v>
      </c>
      <c r="L38" s="109">
        <f t="shared" si="12"/>
        <v>7.4520501127975347</v>
      </c>
      <c r="M38" s="106">
        <f t="shared" si="13"/>
        <v>6.5435306647106898E-3</v>
      </c>
      <c r="N38" s="110">
        <f t="shared" si="14"/>
        <v>0.90101427496506314</v>
      </c>
      <c r="O38" s="111">
        <f t="shared" si="15"/>
        <v>0.95503412968505463</v>
      </c>
      <c r="P38" s="112">
        <f t="shared" si="16"/>
        <v>7.4520501127975347</v>
      </c>
      <c r="Q38" s="112">
        <f t="shared" si="16"/>
        <v>6.5435306647106898E-3</v>
      </c>
      <c r="R38" s="113">
        <f t="shared" si="16"/>
        <v>0.90101427496506314</v>
      </c>
      <c r="S38" s="113">
        <f t="shared" si="17"/>
        <v>6.5435306647106898E-3</v>
      </c>
      <c r="T38" s="114">
        <f t="shared" si="18"/>
        <v>4.5804714652974837E-3</v>
      </c>
      <c r="U38" s="115">
        <f t="shared" si="1"/>
        <v>-6.5435306647106898E-3</v>
      </c>
      <c r="V38" s="115">
        <f t="shared" si="19"/>
        <v>-7.4520501127975347</v>
      </c>
      <c r="W38" s="116">
        <f t="shared" si="2"/>
        <v>-6.5435306647106898E-3</v>
      </c>
      <c r="X38" s="116">
        <f t="shared" si="3"/>
        <v>0.90101427496506314</v>
      </c>
    </row>
    <row r="39" spans="2:24" s="117" customFormat="1" ht="13.9" x14ac:dyDescent="0.4">
      <c r="B39" s="106">
        <f t="shared" si="4"/>
        <v>1.6955219736399594E-3</v>
      </c>
      <c r="C39" s="107">
        <f t="shared" si="5"/>
        <v>1.5670646591032258</v>
      </c>
      <c r="D39" s="106">
        <f t="shared" si="20"/>
        <v>7.1211922892878299E-3</v>
      </c>
      <c r="E39" s="108">
        <v>4.2</v>
      </c>
      <c r="F39" s="107">
        <f t="shared" si="6"/>
        <v>0.57179441792705965</v>
      </c>
      <c r="G39" s="107">
        <f t="shared" si="7"/>
        <v>2.3353268660324478</v>
      </c>
      <c r="H39" s="107">
        <f t="shared" si="21"/>
        <v>0.97175869506103119</v>
      </c>
      <c r="I39" s="106">
        <f t="shared" si="9"/>
        <v>7.1211922892878299E-3</v>
      </c>
      <c r="J39" s="109">
        <f t="shared" si="10"/>
        <v>6.9492661703804774</v>
      </c>
      <c r="K39" s="106">
        <f t="shared" si="11"/>
        <v>7.0959563353691236E-3</v>
      </c>
      <c r="L39" s="109">
        <f t="shared" si="12"/>
        <v>6.9987532310491991</v>
      </c>
      <c r="M39" s="106">
        <f t="shared" si="13"/>
        <v>6.8934124168625599E-3</v>
      </c>
      <c r="N39" s="110">
        <f t="shared" si="14"/>
        <v>0.91079591084609945</v>
      </c>
      <c r="O39" s="111">
        <f t="shared" si="15"/>
        <v>0.9597162622881571</v>
      </c>
      <c r="P39" s="112">
        <f t="shared" si="16"/>
        <v>6.9987532310491991</v>
      </c>
      <c r="Q39" s="112">
        <f t="shared" si="16"/>
        <v>6.8934124168625599E-3</v>
      </c>
      <c r="R39" s="113">
        <f t="shared" si="16"/>
        <v>0.91079591084609945</v>
      </c>
      <c r="S39" s="113">
        <f t="shared" si="17"/>
        <v>6.8934124168625599E-3</v>
      </c>
      <c r="T39" s="114">
        <f t="shared" si="18"/>
        <v>4.8253886918037912E-3</v>
      </c>
      <c r="U39" s="115">
        <f t="shared" si="1"/>
        <v>-6.8934124168625599E-3</v>
      </c>
      <c r="V39" s="115">
        <f t="shared" si="19"/>
        <v>-6.9987532310491991</v>
      </c>
      <c r="W39" s="116">
        <f t="shared" si="2"/>
        <v>-6.8934124168625599E-3</v>
      </c>
      <c r="X39" s="116">
        <f t="shared" si="3"/>
        <v>0.91079591084609945</v>
      </c>
    </row>
    <row r="40" spans="2:24" s="117" customFormat="1" ht="13.9" x14ac:dyDescent="0.4">
      <c r="B40" s="106">
        <f t="shared" si="4"/>
        <v>1.6955219736399594E-3</v>
      </c>
      <c r="C40" s="107">
        <f t="shared" si="5"/>
        <v>1.5670646591032258</v>
      </c>
      <c r="D40" s="106">
        <f t="shared" si="20"/>
        <v>7.4602966840158222E-3</v>
      </c>
      <c r="E40" s="108">
        <v>4.4000000000000004</v>
      </c>
      <c r="F40" s="107">
        <f t="shared" si="6"/>
        <v>0.57179441792705965</v>
      </c>
      <c r="G40" s="107">
        <f t="shared" si="7"/>
        <v>2.3353268660324478</v>
      </c>
      <c r="H40" s="107">
        <f t="shared" si="21"/>
        <v>0.97460414720978261</v>
      </c>
      <c r="I40" s="106">
        <f t="shared" si="9"/>
        <v>7.4602966840158222E-3</v>
      </c>
      <c r="J40" s="109">
        <f t="shared" si="10"/>
        <v>6.5466688444579395</v>
      </c>
      <c r="K40" s="106">
        <f t="shared" si="11"/>
        <v>7.4326063043942334E-3</v>
      </c>
      <c r="L40" s="109">
        <f t="shared" si="12"/>
        <v>6.5955089363295984</v>
      </c>
      <c r="M40" s="106">
        <f t="shared" si="13"/>
        <v>7.2417322757768552E-3</v>
      </c>
      <c r="N40" s="110">
        <f t="shared" si="14"/>
        <v>0.91923731213268156</v>
      </c>
      <c r="O40" s="111">
        <f t="shared" si="15"/>
        <v>0.96371275943796164</v>
      </c>
      <c r="P40" s="112">
        <f t="shared" si="16"/>
        <v>6.5955089363295984</v>
      </c>
      <c r="Q40" s="112">
        <f t="shared" si="16"/>
        <v>7.2417322757768552E-3</v>
      </c>
      <c r="R40" s="113">
        <f t="shared" si="16"/>
        <v>0.91923731213268156</v>
      </c>
      <c r="S40" s="113">
        <f t="shared" si="17"/>
        <v>7.2417322757768552E-3</v>
      </c>
      <c r="T40" s="114">
        <f t="shared" si="18"/>
        <v>5.0692125930437973E-3</v>
      </c>
      <c r="U40" s="115">
        <f t="shared" si="1"/>
        <v>-7.2417322757768552E-3</v>
      </c>
      <c r="V40" s="115">
        <f t="shared" si="19"/>
        <v>-6.5955089363295984</v>
      </c>
      <c r="W40" s="116">
        <f t="shared" si="2"/>
        <v>-7.2417322757768552E-3</v>
      </c>
      <c r="X40" s="116">
        <f t="shared" si="3"/>
        <v>0.91923731213268156</v>
      </c>
    </row>
    <row r="41" spans="2:24" s="117" customFormat="1" ht="13.9" x14ac:dyDescent="0.4">
      <c r="B41" s="106">
        <f t="shared" si="4"/>
        <v>1.6955219736399594E-3</v>
      </c>
      <c r="C41" s="107">
        <f t="shared" si="5"/>
        <v>1.5670646591032258</v>
      </c>
      <c r="D41" s="106">
        <f t="shared" si="20"/>
        <v>7.7994010787438128E-3</v>
      </c>
      <c r="E41" s="108">
        <v>4.5999999999999996</v>
      </c>
      <c r="F41" s="107">
        <f t="shared" si="6"/>
        <v>0.57179441792705965</v>
      </c>
      <c r="G41" s="107">
        <f t="shared" si="7"/>
        <v>2.3353268660324478</v>
      </c>
      <c r="H41" s="107">
        <f t="shared" si="21"/>
        <v>0.97704481145686406</v>
      </c>
      <c r="I41" s="106">
        <f t="shared" si="9"/>
        <v>7.7994010787438128E-3</v>
      </c>
      <c r="J41" s="109">
        <f t="shared" si="10"/>
        <v>6.1864796919869409</v>
      </c>
      <c r="K41" s="106">
        <f t="shared" si="11"/>
        <v>7.7691429783574087E-3</v>
      </c>
      <c r="L41" s="109">
        <f t="shared" si="12"/>
        <v>6.2347305283702514</v>
      </c>
      <c r="M41" s="106">
        <f t="shared" si="13"/>
        <v>7.5887098768663737E-3</v>
      </c>
      <c r="N41" s="110">
        <f t="shared" si="14"/>
        <v>0.92656503103696952</v>
      </c>
      <c r="O41" s="111">
        <f t="shared" si="15"/>
        <v>0.9671493645026058</v>
      </c>
      <c r="P41" s="112">
        <f t="shared" si="16"/>
        <v>6.2347305283702514</v>
      </c>
      <c r="Q41" s="112">
        <f t="shared" si="16"/>
        <v>7.5887098768663737E-3</v>
      </c>
      <c r="R41" s="113">
        <f t="shared" si="16"/>
        <v>0.92656503103696952</v>
      </c>
      <c r="S41" s="113">
        <f t="shared" si="17"/>
        <v>7.5887098768663737E-3</v>
      </c>
      <c r="T41" s="114">
        <f t="shared" si="18"/>
        <v>5.3120969138064607E-3</v>
      </c>
      <c r="U41" s="115">
        <f t="shared" si="1"/>
        <v>-7.5887098768663737E-3</v>
      </c>
      <c r="V41" s="115">
        <f t="shared" si="19"/>
        <v>-6.2347305283702514</v>
      </c>
      <c r="W41" s="116">
        <f t="shared" si="2"/>
        <v>-7.5887098768663737E-3</v>
      </c>
      <c r="X41" s="116">
        <f t="shared" si="3"/>
        <v>0.92656503103696952</v>
      </c>
    </row>
    <row r="42" spans="2:24" s="117" customFormat="1" ht="13.9" x14ac:dyDescent="0.4">
      <c r="B42" s="106">
        <f t="shared" si="4"/>
        <v>1.6955219736399594E-3</v>
      </c>
      <c r="C42" s="107">
        <f t="shared" si="5"/>
        <v>1.5670646591032258</v>
      </c>
      <c r="D42" s="106">
        <f t="shared" si="20"/>
        <v>8.1385054734718042E-3</v>
      </c>
      <c r="E42" s="108">
        <v>4.8</v>
      </c>
      <c r="F42" s="107">
        <f t="shared" si="6"/>
        <v>0.57179441792705965</v>
      </c>
      <c r="G42" s="107">
        <f t="shared" si="7"/>
        <v>2.3353268660324478</v>
      </c>
      <c r="H42" s="107">
        <f t="shared" si="21"/>
        <v>0.97915320861602939</v>
      </c>
      <c r="I42" s="106">
        <f t="shared" si="9"/>
        <v>8.1385054734718042E-3</v>
      </c>
      <c r="J42" s="109">
        <f t="shared" si="10"/>
        <v>5.862533717441937</v>
      </c>
      <c r="K42" s="106">
        <f t="shared" si="11"/>
        <v>8.1055664334886614E-3</v>
      </c>
      <c r="L42" s="109">
        <f t="shared" si="12"/>
        <v>5.9102459801897504</v>
      </c>
      <c r="M42" s="106">
        <f t="shared" si="13"/>
        <v>7.9345239148219705E-3</v>
      </c>
      <c r="N42" s="110">
        <f t="shared" si="14"/>
        <v>0.93296129997649213</v>
      </c>
      <c r="O42" s="111">
        <f t="shared" si="15"/>
        <v>0.97012466952250587</v>
      </c>
      <c r="P42" s="112">
        <f t="shared" si="16"/>
        <v>5.9102459801897504</v>
      </c>
      <c r="Q42" s="112">
        <f t="shared" si="16"/>
        <v>7.9345239148219705E-3</v>
      </c>
      <c r="R42" s="113">
        <f t="shared" si="16"/>
        <v>0.93296129997649213</v>
      </c>
      <c r="S42" s="113">
        <f t="shared" si="17"/>
        <v>7.9345239148219705E-3</v>
      </c>
      <c r="T42" s="114">
        <f t="shared" si="18"/>
        <v>5.5541667403753792E-3</v>
      </c>
      <c r="U42" s="115">
        <f t="shared" si="1"/>
        <v>-7.9345239148219705E-3</v>
      </c>
      <c r="V42" s="115">
        <f t="shared" si="19"/>
        <v>-5.9102459801897504</v>
      </c>
      <c r="W42" s="116">
        <f t="shared" si="2"/>
        <v>-7.9345239148219705E-3</v>
      </c>
      <c r="X42" s="116">
        <f t="shared" si="3"/>
        <v>0.93296129997649213</v>
      </c>
    </row>
    <row r="43" spans="2:24" s="117" customFormat="1" ht="13.9" x14ac:dyDescent="0.4">
      <c r="B43" s="106">
        <f t="shared" si="4"/>
        <v>1.6955219736399594E-3</v>
      </c>
      <c r="C43" s="107">
        <f t="shared" si="5"/>
        <v>1.5670646591032258</v>
      </c>
      <c r="D43" s="106">
        <f t="shared" si="20"/>
        <v>8.4776098681997973E-3</v>
      </c>
      <c r="E43" s="108">
        <v>5</v>
      </c>
      <c r="F43" s="107">
        <f t="shared" si="6"/>
        <v>0.57179441792705965</v>
      </c>
      <c r="G43" s="107">
        <f t="shared" si="7"/>
        <v>2.3353268660324478</v>
      </c>
      <c r="H43" s="107">
        <f t="shared" si="21"/>
        <v>0.98098647420967577</v>
      </c>
      <c r="I43" s="106">
        <f t="shared" si="9"/>
        <v>8.4776098681997973E-3</v>
      </c>
      <c r="J43" s="109">
        <f t="shared" si="10"/>
        <v>5.569773803362958</v>
      </c>
      <c r="K43" s="106">
        <f t="shared" si="11"/>
        <v>8.4418767459417572E-3</v>
      </c>
      <c r="L43" s="109">
        <f t="shared" si="12"/>
        <v>5.6169921727219885</v>
      </c>
      <c r="M43" s="106">
        <f t="shared" si="13"/>
        <v>8.2793209924631826E-3</v>
      </c>
      <c r="N43" s="110">
        <f t="shared" si="14"/>
        <v>0.93857364767329954</v>
      </c>
      <c r="O43" s="111">
        <f t="shared" si="15"/>
        <v>0.9727167575376382</v>
      </c>
      <c r="P43" s="112">
        <f t="shared" si="16"/>
        <v>5.6169921727219885</v>
      </c>
      <c r="Q43" s="112">
        <f t="shared" si="16"/>
        <v>8.2793209924631826E-3</v>
      </c>
      <c r="R43" s="113">
        <f t="shared" si="16"/>
        <v>0.93857364767329954</v>
      </c>
      <c r="S43" s="113">
        <f t="shared" si="17"/>
        <v>8.2793209924631826E-3</v>
      </c>
      <c r="T43" s="114">
        <f t="shared" si="18"/>
        <v>5.7955246947242293E-3</v>
      </c>
      <c r="U43" s="115">
        <f t="shared" si="1"/>
        <v>-8.2793209924631826E-3</v>
      </c>
      <c r="V43" s="115">
        <f t="shared" si="19"/>
        <v>-5.6169921727219885</v>
      </c>
      <c r="W43" s="116">
        <f t="shared" si="2"/>
        <v>-8.2793209924631826E-3</v>
      </c>
      <c r="X43" s="116">
        <f t="shared" si="3"/>
        <v>0.93857364767329954</v>
      </c>
    </row>
    <row r="44" spans="2:24" s="117" customFormat="1" ht="13.9" x14ac:dyDescent="0.4">
      <c r="B44" s="106">
        <f t="shared" si="4"/>
        <v>1.6955219736399594E-3</v>
      </c>
      <c r="C44" s="107">
        <f t="shared" si="5"/>
        <v>1.5670646591032258</v>
      </c>
      <c r="D44" s="106">
        <f t="shared" si="20"/>
        <v>8.8167142629277887E-3</v>
      </c>
      <c r="E44" s="108">
        <v>5.2</v>
      </c>
      <c r="F44" s="107">
        <f t="shared" si="6"/>
        <v>0.57179441792705965</v>
      </c>
      <c r="G44" s="107">
        <f t="shared" si="7"/>
        <v>2.3353268660324478</v>
      </c>
      <c r="H44" s="107">
        <f t="shared" si="21"/>
        <v>0.98259007826580103</v>
      </c>
      <c r="I44" s="106">
        <f t="shared" si="9"/>
        <v>8.8167142629277887E-3</v>
      </c>
      <c r="J44" s="109">
        <f t="shared" si="10"/>
        <v>5.3040188414087286</v>
      </c>
      <c r="K44" s="106">
        <f t="shared" si="11"/>
        <v>8.7780739917929888E-3</v>
      </c>
      <c r="L44" s="109">
        <f t="shared" si="12"/>
        <v>5.3507828599786151</v>
      </c>
      <c r="M44" s="106">
        <f t="shared" si="13"/>
        <v>8.6232223358252078E-3</v>
      </c>
      <c r="N44" s="110">
        <f t="shared" si="14"/>
        <v>0.94352227761969942</v>
      </c>
      <c r="O44" s="111">
        <f t="shared" si="15"/>
        <v>0.97498805162175872</v>
      </c>
      <c r="P44" s="121">
        <f t="shared" si="16"/>
        <v>5.3507828599786151</v>
      </c>
      <c r="Q44" s="121">
        <f t="shared" si="16"/>
        <v>8.6232223358252078E-3</v>
      </c>
      <c r="R44" s="121">
        <f t="shared" si="16"/>
        <v>0.94352227761969942</v>
      </c>
      <c r="S44" s="121">
        <f t="shared" si="17"/>
        <v>8.6232223358252078E-3</v>
      </c>
      <c r="T44" s="114">
        <f t="shared" si="18"/>
        <v>6.0362556350776458E-3</v>
      </c>
      <c r="U44" s="121">
        <f t="shared" si="1"/>
        <v>-8.6232223358252078E-3</v>
      </c>
      <c r="V44" s="121">
        <f t="shared" si="19"/>
        <v>-5.3507828599786151</v>
      </c>
      <c r="W44" s="121">
        <f t="shared" si="2"/>
        <v>-8.6232223358252078E-3</v>
      </c>
      <c r="X44" s="121">
        <f t="shared" si="3"/>
        <v>0.94352227761969942</v>
      </c>
    </row>
    <row r="45" spans="2:24" s="117" customFormat="1" ht="13.9" x14ac:dyDescent="0.4">
      <c r="B45" s="106">
        <f t="shared" si="4"/>
        <v>1.6955219736399594E-3</v>
      </c>
      <c r="C45" s="107">
        <f t="shared" si="5"/>
        <v>1.5670646591032258</v>
      </c>
      <c r="D45" s="106">
        <f t="shared" si="20"/>
        <v>9.1558186576557819E-3</v>
      </c>
      <c r="E45" s="108">
        <v>5.4</v>
      </c>
      <c r="F45" s="107">
        <f t="shared" si="6"/>
        <v>0.57179441792705965</v>
      </c>
      <c r="G45" s="107">
        <f t="shared" si="7"/>
        <v>2.3353268660324478</v>
      </c>
      <c r="H45" s="107">
        <f t="shared" si="21"/>
        <v>0.98400054649598656</v>
      </c>
      <c r="I45" s="106">
        <f t="shared" si="9"/>
        <v>9.1558186576557819E-3</v>
      </c>
      <c r="J45" s="109">
        <f t="shared" si="10"/>
        <v>5.0617862786573058</v>
      </c>
      <c r="K45" s="106">
        <f t="shared" si="11"/>
        <v>9.1141582470419483E-3</v>
      </c>
      <c r="L45" s="109">
        <f t="shared" si="12"/>
        <v>5.1081310759085019</v>
      </c>
      <c r="M45" s="106">
        <f t="shared" si="13"/>
        <v>8.9663289337051557E-3</v>
      </c>
      <c r="N45" s="110">
        <f t="shared" si="14"/>
        <v>0.94790574936072236</v>
      </c>
      <c r="O45" s="111">
        <f t="shared" si="15"/>
        <v>0.97698889470503958</v>
      </c>
      <c r="P45" s="121">
        <f t="shared" si="16"/>
        <v>5.1081310759085019</v>
      </c>
      <c r="Q45" s="121">
        <f t="shared" si="16"/>
        <v>8.9663289337051557E-3</v>
      </c>
      <c r="R45" s="121">
        <f t="shared" si="16"/>
        <v>0.94790574936072236</v>
      </c>
      <c r="S45" s="121">
        <f t="shared" si="17"/>
        <v>8.9663289337051557E-3</v>
      </c>
      <c r="T45" s="114">
        <f t="shared" si="18"/>
        <v>6.2764302535936109E-3</v>
      </c>
      <c r="U45" s="121">
        <f t="shared" si="1"/>
        <v>-8.9663289337051557E-3</v>
      </c>
      <c r="V45" s="121">
        <f t="shared" si="19"/>
        <v>-5.1081310759085019</v>
      </c>
      <c r="W45" s="121">
        <f t="shared" si="2"/>
        <v>-8.9663289337051557E-3</v>
      </c>
      <c r="X45" s="121">
        <f t="shared" si="3"/>
        <v>0.94790574936072236</v>
      </c>
    </row>
    <row r="46" spans="2:24" s="117" customFormat="1" ht="13.9" x14ac:dyDescent="0.4">
      <c r="B46" s="106">
        <f t="shared" si="4"/>
        <v>1.6955219736399594E-3</v>
      </c>
      <c r="C46" s="107">
        <f t="shared" si="5"/>
        <v>1.5670646591032258</v>
      </c>
      <c r="D46" s="106">
        <f t="shared" si="20"/>
        <v>9.4949230523837715E-3</v>
      </c>
      <c r="E46" s="108">
        <v>5.6</v>
      </c>
      <c r="F46" s="107">
        <f t="shared" si="6"/>
        <v>0.57179441792705965</v>
      </c>
      <c r="G46" s="107">
        <f t="shared" si="7"/>
        <v>2.3353268660324478</v>
      </c>
      <c r="H46" s="107">
        <f t="shared" si="21"/>
        <v>0.98524747498770149</v>
      </c>
      <c r="I46" s="106">
        <f t="shared" si="9"/>
        <v>9.4949230523837715E-3</v>
      </c>
      <c r="J46" s="109">
        <f t="shared" si="10"/>
        <v>4.8401551423683946</v>
      </c>
      <c r="K46" s="106">
        <f t="shared" si="11"/>
        <v>9.4501295876122833E-3</v>
      </c>
      <c r="L46" s="109">
        <f t="shared" si="12"/>
        <v>4.8861120430067819</v>
      </c>
      <c r="M46" s="106">
        <f t="shared" si="13"/>
        <v>9.3087255050876665E-3</v>
      </c>
      <c r="N46" s="110">
        <f t="shared" si="14"/>
        <v>0.95180537319013525</v>
      </c>
      <c r="O46" s="111">
        <f t="shared" si="15"/>
        <v>0.97876022095309245</v>
      </c>
      <c r="P46" s="121">
        <f t="shared" si="16"/>
        <v>4.8861120430067819</v>
      </c>
      <c r="Q46" s="121">
        <f t="shared" si="16"/>
        <v>9.3087255050876665E-3</v>
      </c>
      <c r="R46" s="121">
        <f t="shared" si="16"/>
        <v>0.95180537319013525</v>
      </c>
      <c r="S46" s="121">
        <f t="shared" si="17"/>
        <v>9.3087255050876665E-3</v>
      </c>
      <c r="T46" s="114">
        <f t="shared" si="18"/>
        <v>6.5161078535613641E-3</v>
      </c>
      <c r="U46" s="121">
        <f t="shared" si="1"/>
        <v>-9.3087255050876665E-3</v>
      </c>
      <c r="V46" s="121">
        <f t="shared" si="19"/>
        <v>-4.8861120430067819</v>
      </c>
      <c r="W46" s="121">
        <f t="shared" si="2"/>
        <v>-9.3087255050876665E-3</v>
      </c>
      <c r="X46" s="121">
        <f t="shared" si="3"/>
        <v>0.95180537319013525</v>
      </c>
    </row>
    <row r="47" spans="2:24" s="117" customFormat="1" ht="13.9" x14ac:dyDescent="0.4">
      <c r="B47" s="106">
        <f t="shared" si="4"/>
        <v>1.6955219736399594E-3</v>
      </c>
      <c r="C47" s="107">
        <f t="shared" si="5"/>
        <v>1.5670646591032258</v>
      </c>
      <c r="D47" s="106">
        <f t="shared" si="20"/>
        <v>9.8340274471117647E-3</v>
      </c>
      <c r="E47" s="108">
        <v>5.8</v>
      </c>
      <c r="F47" s="107">
        <f t="shared" si="6"/>
        <v>0.57179441792705965</v>
      </c>
      <c r="G47" s="107">
        <f t="shared" si="7"/>
        <v>2.3353268660324478</v>
      </c>
      <c r="H47" s="107">
        <f t="shared" si="21"/>
        <v>0.98635503873635522</v>
      </c>
      <c r="I47" s="106">
        <f t="shared" si="9"/>
        <v>9.8340274471117647E-3</v>
      </c>
      <c r="J47" s="109">
        <f t="shared" si="10"/>
        <v>4.6366594188479491</v>
      </c>
      <c r="K47" s="106">
        <f t="shared" si="11"/>
        <v>9.7859880893504878E-3</v>
      </c>
      <c r="L47" s="109">
        <f t="shared" si="12"/>
        <v>4.6822564548358097</v>
      </c>
      <c r="M47" s="106">
        <f t="shared" si="13"/>
        <v>9.6504835875475398E-3</v>
      </c>
      <c r="N47" s="110">
        <f t="shared" si="14"/>
        <v>0.95528862763164923</v>
      </c>
      <c r="O47" s="111">
        <f t="shared" si="15"/>
        <v>0.98033556974877889</v>
      </c>
      <c r="P47" s="121">
        <f t="shared" si="16"/>
        <v>4.6822564548358097</v>
      </c>
      <c r="Q47" s="121">
        <f t="shared" si="16"/>
        <v>9.6504835875475398E-3</v>
      </c>
      <c r="R47" s="121">
        <f t="shared" si="16"/>
        <v>0.95528862763164923</v>
      </c>
      <c r="S47" s="121">
        <f t="shared" si="17"/>
        <v>9.6504835875475398E-3</v>
      </c>
      <c r="T47" s="114">
        <f t="shared" si="18"/>
        <v>6.755338511283274E-3</v>
      </c>
      <c r="U47" s="121">
        <f t="shared" si="1"/>
        <v>-9.6504835875475398E-3</v>
      </c>
      <c r="V47" s="121">
        <f t="shared" si="19"/>
        <v>-4.6822564548358097</v>
      </c>
      <c r="W47" s="121">
        <f t="shared" si="2"/>
        <v>-9.6504835875475398E-3</v>
      </c>
      <c r="X47" s="121">
        <f t="shared" si="3"/>
        <v>0.95528862763164923</v>
      </c>
    </row>
    <row r="48" spans="2:24" s="117" customFormat="1" ht="13.9" x14ac:dyDescent="0.4">
      <c r="B48" s="106">
        <f t="shared" si="4"/>
        <v>1.6955219736399594E-3</v>
      </c>
      <c r="C48" s="107">
        <f t="shared" si="5"/>
        <v>1.5670646591032258</v>
      </c>
      <c r="D48" s="106">
        <f t="shared" si="20"/>
        <v>1.0173131841839756E-2</v>
      </c>
      <c r="E48" s="108">
        <v>6</v>
      </c>
      <c r="F48" s="107">
        <f t="shared" si="6"/>
        <v>0.57179441792705965</v>
      </c>
      <c r="G48" s="107">
        <f t="shared" si="7"/>
        <v>2.3353268660324478</v>
      </c>
      <c r="H48" s="107">
        <f t="shared" si="21"/>
        <v>0.98734313318460187</v>
      </c>
      <c r="I48" s="106">
        <f t="shared" si="9"/>
        <v>1.0173131841839756E-2</v>
      </c>
      <c r="J48" s="109">
        <f t="shared" si="10"/>
        <v>4.4492043820888609</v>
      </c>
      <c r="K48" s="106">
        <f t="shared" si="11"/>
        <v>1.0121733828026655E-2</v>
      </c>
      <c r="L48" s="109">
        <f t="shared" si="12"/>
        <v>4.4944667248591417</v>
      </c>
      <c r="M48" s="106">
        <f t="shared" si="13"/>
        <v>9.9916639610092318E-3</v>
      </c>
      <c r="N48" s="110">
        <f t="shared" si="14"/>
        <v>0.95841183209171144</v>
      </c>
      <c r="O48" s="111">
        <f t="shared" si="15"/>
        <v>0.98174261887836067</v>
      </c>
      <c r="P48" s="121">
        <f t="shared" si="16"/>
        <v>4.4944667248591417</v>
      </c>
      <c r="Q48" s="121">
        <f t="shared" si="16"/>
        <v>9.9916639610092318E-3</v>
      </c>
      <c r="R48" s="121">
        <f t="shared" si="16"/>
        <v>0.95841183209171144</v>
      </c>
      <c r="S48" s="121">
        <f t="shared" si="17"/>
        <v>9.9916639610092318E-3</v>
      </c>
      <c r="T48" s="114">
        <f t="shared" si="18"/>
        <v>6.9941647727064637E-3</v>
      </c>
      <c r="U48" s="121">
        <f t="shared" si="1"/>
        <v>-9.9916639610092318E-3</v>
      </c>
      <c r="V48" s="121">
        <f t="shared" si="19"/>
        <v>-4.4944667248591417</v>
      </c>
      <c r="W48" s="121">
        <f t="shared" si="2"/>
        <v>-9.9916639610092318E-3</v>
      </c>
      <c r="X48" s="121">
        <f t="shared" si="3"/>
        <v>0.95841183209171144</v>
      </c>
    </row>
    <row r="49" spans="2:24" s="117" customFormat="1" ht="13.9" x14ac:dyDescent="0.4">
      <c r="B49" s="106">
        <f t="shared" si="4"/>
        <v>1.6955219736399594E-3</v>
      </c>
      <c r="C49" s="107">
        <f t="shared" si="5"/>
        <v>1.5670646591032258</v>
      </c>
      <c r="D49" s="106">
        <f t="shared" si="20"/>
        <v>1.0512236236567749E-2</v>
      </c>
      <c r="E49" s="108">
        <v>6.2</v>
      </c>
      <c r="F49" s="107">
        <f t="shared" si="6"/>
        <v>0.57179441792705965</v>
      </c>
      <c r="G49" s="107">
        <f t="shared" si="7"/>
        <v>2.3353268660324478</v>
      </c>
      <c r="H49" s="107">
        <f t="shared" si="21"/>
        <v>0.98822824665723674</v>
      </c>
      <c r="I49" s="106">
        <f t="shared" si="9"/>
        <v>1.0512236236567749E-2</v>
      </c>
      <c r="J49" s="109">
        <f t="shared" si="10"/>
        <v>4.276000416645938</v>
      </c>
      <c r="K49" s="106">
        <f t="shared" si="11"/>
        <v>1.045736687933525E-2</v>
      </c>
      <c r="L49" s="109">
        <f t="shared" si="12"/>
        <v>4.3209507431733822</v>
      </c>
      <c r="M49" s="106">
        <f t="shared" si="13"/>
        <v>1.0332318564827811E-2</v>
      </c>
      <c r="N49" s="110">
        <f t="shared" si="14"/>
        <v>0.9612222492677337</v>
      </c>
      <c r="O49" s="111">
        <f t="shared" si="15"/>
        <v>0.98300436248906586</v>
      </c>
      <c r="P49" s="121">
        <f t="shared" si="16"/>
        <v>4.3209507431733822</v>
      </c>
      <c r="Q49" s="121">
        <f t="shared" si="16"/>
        <v>1.0332318564827811E-2</v>
      </c>
      <c r="R49" s="121">
        <f t="shared" si="16"/>
        <v>0.9612222492677337</v>
      </c>
      <c r="S49" s="121">
        <f t="shared" si="17"/>
        <v>1.0332318564827811E-2</v>
      </c>
      <c r="T49" s="114">
        <f t="shared" si="18"/>
        <v>7.2326229953794657E-3</v>
      </c>
      <c r="U49" s="121">
        <f t="shared" si="1"/>
        <v>-1.0332318564827811E-2</v>
      </c>
      <c r="V49" s="121">
        <f t="shared" si="19"/>
        <v>-4.3209507431733822</v>
      </c>
      <c r="W49" s="121">
        <f t="shared" si="2"/>
        <v>-1.0332318564827811E-2</v>
      </c>
      <c r="X49" s="121">
        <f t="shared" si="3"/>
        <v>0.9612222492677337</v>
      </c>
    </row>
    <row r="50" spans="2:24" s="117" customFormat="1" ht="15" customHeight="1" x14ac:dyDescent="0.4">
      <c r="B50" s="106">
        <f t="shared" si="4"/>
        <v>1.6955219736399594E-3</v>
      </c>
      <c r="C50" s="107">
        <f t="shared" si="5"/>
        <v>1.5670646591032258</v>
      </c>
      <c r="D50" s="106">
        <f t="shared" si="20"/>
        <v>1.0851340631295741E-2</v>
      </c>
      <c r="E50" s="108">
        <v>6.4</v>
      </c>
      <c r="F50" s="107">
        <f t="shared" si="6"/>
        <v>0.57179441792705965</v>
      </c>
      <c r="G50" s="107">
        <f t="shared" si="7"/>
        <v>2.3353268660324478</v>
      </c>
      <c r="H50" s="107">
        <f t="shared" si="21"/>
        <v>0.98902413336241712</v>
      </c>
      <c r="I50" s="106">
        <f t="shared" si="9"/>
        <v>1.0851340631295741E-2</v>
      </c>
      <c r="J50" s="109">
        <f t="shared" si="10"/>
        <v>4.1155102836242712</v>
      </c>
      <c r="K50" s="106">
        <f t="shared" si="11"/>
        <v>1.0792887318893879E-2</v>
      </c>
      <c r="L50" s="109">
        <f t="shared" si="12"/>
        <v>4.1601690875834789</v>
      </c>
      <c r="M50" s="106">
        <f t="shared" si="13"/>
        <v>1.0672492025499214E-2</v>
      </c>
      <c r="N50" s="110">
        <f t="shared" si="14"/>
        <v>0.96375974875830428</v>
      </c>
      <c r="O50" s="111">
        <f t="shared" si="15"/>
        <v>0.98414002403139356</v>
      </c>
      <c r="P50" s="121">
        <f t="shared" si="16"/>
        <v>4.1601690875834789</v>
      </c>
      <c r="Q50" s="121">
        <f t="shared" si="16"/>
        <v>1.0672492025499214E-2</v>
      </c>
      <c r="R50" s="121">
        <f t="shared" si="16"/>
        <v>0.96375974875830428</v>
      </c>
      <c r="S50" s="121">
        <f t="shared" si="17"/>
        <v>1.0672492025499214E-2</v>
      </c>
      <c r="T50" s="114">
        <f t="shared" si="18"/>
        <v>7.4707444178494543E-3</v>
      </c>
      <c r="U50" s="121">
        <f t="shared" si="1"/>
        <v>-1.0672492025499214E-2</v>
      </c>
      <c r="V50" s="121">
        <f t="shared" si="19"/>
        <v>-4.1601690875834789</v>
      </c>
      <c r="W50" s="121">
        <f t="shared" si="2"/>
        <v>-1.0672492025499214E-2</v>
      </c>
      <c r="X50" s="121">
        <f t="shared" si="3"/>
        <v>0.96375974875830428</v>
      </c>
    </row>
    <row r="51" spans="2:24" s="117" customFormat="1" ht="15" customHeight="1" x14ac:dyDescent="0.4">
      <c r="B51" s="106">
        <f t="shared" si="4"/>
        <v>1.6955219736399594E-3</v>
      </c>
      <c r="C51" s="107">
        <f t="shared" si="5"/>
        <v>1.5670646591032258</v>
      </c>
      <c r="D51" s="106">
        <f t="shared" si="20"/>
        <v>1.1190445026023732E-2</v>
      </c>
      <c r="E51" s="108">
        <v>6.6</v>
      </c>
      <c r="F51" s="107">
        <f t="shared" si="6"/>
        <v>0.57179441792705965</v>
      </c>
      <c r="G51" s="107">
        <f t="shared" si="7"/>
        <v>2.3353268660324478</v>
      </c>
      <c r="H51" s="107">
        <f t="shared" si="21"/>
        <v>0.98974233710469406</v>
      </c>
      <c r="I51" s="106">
        <f t="shared" si="9"/>
        <v>1.1190445026023732E-2</v>
      </c>
      <c r="J51" s="109">
        <f t="shared" si="10"/>
        <v>3.9664067976988449</v>
      </c>
      <c r="K51" s="106">
        <f t="shared" si="11"/>
        <v>1.1128295222244074E-2</v>
      </c>
      <c r="L51" s="109">
        <f t="shared" si="12"/>
        <v>4.0107926549193404</v>
      </c>
      <c r="M51" s="106">
        <f t="shared" si="13"/>
        <v>1.1012222882810709E-2</v>
      </c>
      <c r="N51" s="110">
        <f t="shared" si="14"/>
        <v>0.96605813119076134</v>
      </c>
      <c r="O51" s="111">
        <f t="shared" si="15"/>
        <v>0.98516576965299829</v>
      </c>
      <c r="P51" s="121">
        <f t="shared" si="16"/>
        <v>4.0107926549193404</v>
      </c>
      <c r="Q51" s="121">
        <f t="shared" si="16"/>
        <v>1.1012222882810709E-2</v>
      </c>
      <c r="R51" s="121">
        <f t="shared" si="16"/>
        <v>0.96605813119076134</v>
      </c>
      <c r="S51" s="121">
        <f t="shared" si="17"/>
        <v>1.1012222882810709E-2</v>
      </c>
      <c r="T51" s="114">
        <f t="shared" si="18"/>
        <v>7.7085560179675E-3</v>
      </c>
      <c r="U51" s="121">
        <f t="shared" si="1"/>
        <v>-1.1012222882810709E-2</v>
      </c>
      <c r="V51" s="121">
        <f t="shared" si="19"/>
        <v>-4.0107926549193404</v>
      </c>
      <c r="W51" s="121">
        <f t="shared" si="2"/>
        <v>-1.1012222882810709E-2</v>
      </c>
      <c r="X51" s="121">
        <f t="shared" si="3"/>
        <v>0.96605813119076134</v>
      </c>
    </row>
    <row r="52" spans="2:24" s="117" customFormat="1" ht="13.9" x14ac:dyDescent="0.4">
      <c r="B52" s="106">
        <f t="shared" si="4"/>
        <v>1.6955219736399594E-3</v>
      </c>
      <c r="C52" s="107">
        <f t="shared" si="5"/>
        <v>1.5670646591032258</v>
      </c>
      <c r="D52" s="106">
        <f t="shared" si="20"/>
        <v>1.1529549420751723E-2</v>
      </c>
      <c r="E52" s="108">
        <v>6.8</v>
      </c>
      <c r="F52" s="107">
        <f t="shared" si="6"/>
        <v>0.57179441792705965</v>
      </c>
      <c r="G52" s="107">
        <f t="shared" si="7"/>
        <v>2.3353268660324478</v>
      </c>
      <c r="H52" s="107">
        <f t="shared" si="21"/>
        <v>0.9903926021868108</v>
      </c>
      <c r="I52" s="106">
        <f t="shared" si="9"/>
        <v>1.1529549420751723E-2</v>
      </c>
      <c r="J52" s="109">
        <f t="shared" si="10"/>
        <v>3.8275386279193824</v>
      </c>
      <c r="K52" s="106">
        <f t="shared" si="11"/>
        <v>1.1463590664852023E-2</v>
      </c>
      <c r="L52" s="109">
        <f t="shared" si="12"/>
        <v>3.8716684236898149</v>
      </c>
      <c r="M52" s="106">
        <f t="shared" si="13"/>
        <v>1.135154458067044E-2</v>
      </c>
      <c r="N52" s="110">
        <f t="shared" si="14"/>
        <v>0.96814618823140286</v>
      </c>
      <c r="O52" s="111">
        <f t="shared" si="15"/>
        <v>0.98609527001247799</v>
      </c>
      <c r="P52" s="121">
        <f t="shared" si="16"/>
        <v>3.8716684236898149</v>
      </c>
      <c r="Q52" s="121">
        <f t="shared" si="16"/>
        <v>1.135154458067044E-2</v>
      </c>
      <c r="R52" s="121">
        <f t="shared" si="16"/>
        <v>0.96814618823140286</v>
      </c>
      <c r="S52" s="121">
        <f t="shared" si="17"/>
        <v>1.135154458067044E-2</v>
      </c>
      <c r="T52" s="114">
        <f t="shared" si="18"/>
        <v>7.9460812064693041E-3</v>
      </c>
      <c r="U52" s="121">
        <f t="shared" si="1"/>
        <v>-1.135154458067044E-2</v>
      </c>
      <c r="V52" s="121">
        <f t="shared" si="19"/>
        <v>-3.8716684236898149</v>
      </c>
      <c r="W52" s="121">
        <f t="shared" si="2"/>
        <v>-1.135154458067044E-2</v>
      </c>
      <c r="X52" s="121">
        <f t="shared" si="3"/>
        <v>0.96814618823140286</v>
      </c>
    </row>
    <row r="53" spans="2:24" s="117" customFormat="1" ht="13.9" x14ac:dyDescent="0.4">
      <c r="B53" s="106">
        <f t="shared" si="4"/>
        <v>1.6955219736399594E-3</v>
      </c>
      <c r="C53" s="107">
        <f t="shared" si="5"/>
        <v>1.5670646591032258</v>
      </c>
      <c r="D53" s="106">
        <f t="shared" si="20"/>
        <v>1.1868653815479717E-2</v>
      </c>
      <c r="E53" s="108">
        <v>7</v>
      </c>
      <c r="F53" s="107">
        <f t="shared" si="6"/>
        <v>0.57179441792705965</v>
      </c>
      <c r="G53" s="107">
        <f t="shared" si="7"/>
        <v>2.3353268660324478</v>
      </c>
      <c r="H53" s="107">
        <f t="shared" si="21"/>
        <v>0.99098319830209047</v>
      </c>
      <c r="I53" s="106">
        <f t="shared" si="9"/>
        <v>1.1868653815479717E-2</v>
      </c>
      <c r="J53" s="109">
        <f t="shared" si="10"/>
        <v>3.6979024835977157</v>
      </c>
      <c r="K53" s="106">
        <f t="shared" si="11"/>
        <v>1.1798773722107385E-2</v>
      </c>
      <c r="L53" s="109">
        <f t="shared" si="12"/>
        <v>3.7417916080189397</v>
      </c>
      <c r="M53" s="106">
        <f t="shared" si="13"/>
        <v>1.1690486272971316E-2</v>
      </c>
      <c r="N53" s="110">
        <f t="shared" si="14"/>
        <v>0.97004855594853578</v>
      </c>
      <c r="O53" s="111">
        <f t="shared" si="15"/>
        <v>0.98694014598546587</v>
      </c>
      <c r="P53" s="121">
        <f t="shared" si="16"/>
        <v>3.7417916080189397</v>
      </c>
      <c r="Q53" s="121">
        <f t="shared" si="16"/>
        <v>1.1690486272971316E-2</v>
      </c>
      <c r="R53" s="121">
        <f t="shared" si="16"/>
        <v>0.97004855594853578</v>
      </c>
      <c r="S53" s="121">
        <f t="shared" si="17"/>
        <v>1.1690486272971316E-2</v>
      </c>
      <c r="T53" s="114">
        <f t="shared" si="18"/>
        <v>8.1833403910799157E-3</v>
      </c>
      <c r="U53" s="121">
        <f t="shared" si="1"/>
        <v>-1.1690486272971316E-2</v>
      </c>
      <c r="V53" s="121">
        <f t="shared" si="19"/>
        <v>-3.7417916080189397</v>
      </c>
      <c r="W53" s="121">
        <f t="shared" si="2"/>
        <v>-1.1690486272971316E-2</v>
      </c>
      <c r="X53" s="121">
        <f t="shared" si="3"/>
        <v>0.97004855594853578</v>
      </c>
    </row>
    <row r="54" spans="2:24" s="117" customFormat="1" ht="13.9" x14ac:dyDescent="0.4">
      <c r="B54" s="106">
        <f t="shared" si="4"/>
        <v>1.6955219736399594E-3</v>
      </c>
      <c r="C54" s="107">
        <f t="shared" si="5"/>
        <v>1.5670646591032258</v>
      </c>
      <c r="D54" s="106">
        <f t="shared" si="20"/>
        <v>1.2207758210207708E-2</v>
      </c>
      <c r="E54" s="108">
        <v>7.2</v>
      </c>
      <c r="F54" s="107">
        <f t="shared" si="6"/>
        <v>0.57179441792705965</v>
      </c>
      <c r="G54" s="107">
        <f t="shared" si="7"/>
        <v>2.3353268660324478</v>
      </c>
      <c r="H54" s="107">
        <f t="shared" si="21"/>
        <v>0.99152117929830508</v>
      </c>
      <c r="I54" s="106">
        <f t="shared" si="9"/>
        <v>1.2207758210207708E-2</v>
      </c>
      <c r="J54" s="109">
        <f t="shared" si="10"/>
        <v>3.5766203536280328</v>
      </c>
      <c r="K54" s="106">
        <f t="shared" si="11"/>
        <v>1.2133844469324244E-2</v>
      </c>
      <c r="L54" s="109">
        <f t="shared" si="12"/>
        <v>3.6202828701148317</v>
      </c>
      <c r="M54" s="106">
        <f t="shared" si="13"/>
        <v>1.202907348306312E-2</v>
      </c>
      <c r="N54" s="110">
        <f t="shared" si="14"/>
        <v>0.97178640558056206</v>
      </c>
      <c r="O54" s="111">
        <f t="shared" si="15"/>
        <v>0.98771032472669362</v>
      </c>
      <c r="P54" s="121">
        <f t="shared" si="16"/>
        <v>3.6202828701148317</v>
      </c>
      <c r="Q54" s="121">
        <f t="shared" si="16"/>
        <v>1.202907348306312E-2</v>
      </c>
      <c r="R54" s="121">
        <f t="shared" si="16"/>
        <v>0.97178640558056206</v>
      </c>
      <c r="S54" s="121">
        <f t="shared" si="17"/>
        <v>1.202907348306312E-2</v>
      </c>
      <c r="T54" s="114">
        <f t="shared" si="18"/>
        <v>8.4203514381441906E-3</v>
      </c>
      <c r="U54" s="121">
        <f t="shared" si="1"/>
        <v>-1.202907348306312E-2</v>
      </c>
      <c r="V54" s="121">
        <f t="shared" si="19"/>
        <v>-3.6202828701148317</v>
      </c>
      <c r="W54" s="121">
        <f t="shared" si="2"/>
        <v>-1.202907348306312E-2</v>
      </c>
      <c r="X54" s="121">
        <f t="shared" si="3"/>
        <v>0.97178640558056206</v>
      </c>
    </row>
    <row r="55" spans="2:24" s="117" customFormat="1" ht="13.9" x14ac:dyDescent="0.4">
      <c r="B55" s="106">
        <f t="shared" si="4"/>
        <v>1.6955219736399594E-3</v>
      </c>
      <c r="C55" s="107">
        <f t="shared" si="5"/>
        <v>1.5670646591032258</v>
      </c>
      <c r="D55" s="106">
        <f t="shared" si="20"/>
        <v>1.2546862604935701E-2</v>
      </c>
      <c r="E55" s="108">
        <v>7.4</v>
      </c>
      <c r="F55" s="107">
        <f t="shared" si="6"/>
        <v>0.57179441792705965</v>
      </c>
      <c r="G55" s="107">
        <f t="shared" si="7"/>
        <v>2.3353268660324478</v>
      </c>
      <c r="H55" s="107">
        <f t="shared" si="21"/>
        <v>0.99201259069335612</v>
      </c>
      <c r="I55" s="106">
        <f t="shared" si="9"/>
        <v>1.2546862604935701E-2</v>
      </c>
      <c r="J55" s="109">
        <f t="shared" si="10"/>
        <v>3.4629207719366093</v>
      </c>
      <c r="K55" s="106">
        <f t="shared" si="11"/>
        <v>1.2468802981740794E-2</v>
      </c>
      <c r="L55" s="109">
        <f t="shared" si="12"/>
        <v>3.5063695630738758</v>
      </c>
      <c r="M55" s="106">
        <f t="shared" si="13"/>
        <v>1.2367328646585437E-2</v>
      </c>
      <c r="N55" s="110">
        <f t="shared" si="14"/>
        <v>0.97337800565734989</v>
      </c>
      <c r="O55" s="111">
        <f t="shared" si="15"/>
        <v>0.9884143259972894</v>
      </c>
      <c r="P55" s="121">
        <f t="shared" si="16"/>
        <v>3.5063695630738758</v>
      </c>
      <c r="Q55" s="121">
        <f t="shared" si="16"/>
        <v>1.2367328646585437E-2</v>
      </c>
      <c r="R55" s="121">
        <f t="shared" si="16"/>
        <v>0.97337800565734989</v>
      </c>
      <c r="S55" s="121">
        <f t="shared" si="17"/>
        <v>1.2367328646585437E-2</v>
      </c>
      <c r="T55" s="114">
        <f t="shared" si="18"/>
        <v>8.6571300526097975E-3</v>
      </c>
      <c r="U55" s="121">
        <f t="shared" si="1"/>
        <v>-1.2367328646585437E-2</v>
      </c>
      <c r="V55" s="121">
        <f t="shared" si="19"/>
        <v>-3.5063695630738758</v>
      </c>
      <c r="W55" s="121">
        <f t="shared" si="2"/>
        <v>-1.2367328646585437E-2</v>
      </c>
      <c r="X55" s="121">
        <f t="shared" si="3"/>
        <v>0.97337800565734989</v>
      </c>
    </row>
    <row r="56" spans="2:24" s="117" customFormat="1" ht="13.9" x14ac:dyDescent="0.4">
      <c r="B56" s="106">
        <f t="shared" si="4"/>
        <v>1.6955219736399594E-3</v>
      </c>
      <c r="C56" s="107">
        <f t="shared" si="5"/>
        <v>1.5670646591032258</v>
      </c>
      <c r="D56" s="106">
        <f t="shared" si="20"/>
        <v>1.2885966999663691E-2</v>
      </c>
      <c r="E56" s="108">
        <v>7.6</v>
      </c>
      <c r="F56" s="107">
        <f t="shared" si="6"/>
        <v>0.57179441792705965</v>
      </c>
      <c r="G56" s="107">
        <f t="shared" si="7"/>
        <v>2.3353268660324478</v>
      </c>
      <c r="H56" s="107">
        <f t="shared" si="21"/>
        <v>0.99246263717557692</v>
      </c>
      <c r="I56" s="106">
        <f t="shared" si="9"/>
        <v>1.2885966999663691E-2</v>
      </c>
      <c r="J56" s="109">
        <f t="shared" si="10"/>
        <v>3.3561233109885169</v>
      </c>
      <c r="K56" s="106">
        <f t="shared" si="11"/>
        <v>1.2803649334520299E-2</v>
      </c>
      <c r="L56" s="109">
        <f t="shared" si="12"/>
        <v>3.3993702052207171</v>
      </c>
      <c r="M56" s="106">
        <f t="shared" si="13"/>
        <v>1.2705271560781212E-2</v>
      </c>
      <c r="N56" s="110">
        <f t="shared" si="14"/>
        <v>0.97483918177892981</v>
      </c>
      <c r="O56" s="111">
        <f t="shared" si="15"/>
        <v>0.98905949385591974</v>
      </c>
      <c r="P56" s="121">
        <f t="shared" si="16"/>
        <v>3.3993702052207171</v>
      </c>
      <c r="Q56" s="121">
        <f t="shared" si="16"/>
        <v>1.2705271560781212E-2</v>
      </c>
      <c r="R56" s="121">
        <f t="shared" si="16"/>
        <v>0.97483918177892981</v>
      </c>
      <c r="S56" s="121">
        <f t="shared" si="17"/>
        <v>1.2705271560781212E-2</v>
      </c>
      <c r="T56" s="114">
        <f t="shared" si="18"/>
        <v>8.8936900925468427E-3</v>
      </c>
      <c r="U56" s="121">
        <f t="shared" si="1"/>
        <v>-1.2705271560781212E-2</v>
      </c>
      <c r="V56" s="121">
        <f t="shared" si="19"/>
        <v>-3.3993702052207171</v>
      </c>
      <c r="W56" s="121">
        <f t="shared" si="2"/>
        <v>-1.2705271560781212E-2</v>
      </c>
      <c r="X56" s="121">
        <f t="shared" si="3"/>
        <v>0.97483918177892981</v>
      </c>
    </row>
    <row r="57" spans="2:24" s="117" customFormat="1" ht="13.9" x14ac:dyDescent="0.4">
      <c r="B57" s="106">
        <f t="shared" si="4"/>
        <v>1.6955219736399594E-3</v>
      </c>
      <c r="C57" s="107">
        <f t="shared" si="5"/>
        <v>1.5670646591032258</v>
      </c>
      <c r="D57" s="106">
        <f t="shared" si="20"/>
        <v>1.3225071394391684E-2</v>
      </c>
      <c r="E57" s="108">
        <v>7.8</v>
      </c>
      <c r="F57" s="107">
        <f t="shared" si="6"/>
        <v>0.57179441792705965</v>
      </c>
      <c r="G57" s="107">
        <f t="shared" si="7"/>
        <v>2.3353268660324478</v>
      </c>
      <c r="H57" s="107">
        <f t="shared" si="21"/>
        <v>0.99287581863674657</v>
      </c>
      <c r="I57" s="106">
        <f t="shared" si="9"/>
        <v>1.3225071394391684E-2</v>
      </c>
      <c r="J57" s="109">
        <f t="shared" si="10"/>
        <v>3.2556256791852576</v>
      </c>
      <c r="K57" s="106">
        <f t="shared" si="11"/>
        <v>1.3138383602749892E-2</v>
      </c>
      <c r="L57" s="109">
        <f t="shared" si="12"/>
        <v>3.298681561225898</v>
      </c>
      <c r="M57" s="106">
        <f t="shared" si="13"/>
        <v>1.3042919758368014E-2</v>
      </c>
      <c r="N57" s="110">
        <f t="shared" si="14"/>
        <v>0.97618369454323717</v>
      </c>
      <c r="O57" s="111">
        <f t="shared" si="15"/>
        <v>0.98965218525175647</v>
      </c>
      <c r="P57" s="121">
        <f t="shared" si="16"/>
        <v>3.298681561225898</v>
      </c>
      <c r="Q57" s="121">
        <f t="shared" si="16"/>
        <v>1.3042919758368014E-2</v>
      </c>
      <c r="R57" s="121">
        <f t="shared" si="16"/>
        <v>0.97618369454323717</v>
      </c>
      <c r="S57" s="121">
        <f t="shared" si="17"/>
        <v>1.3042919758368014E-2</v>
      </c>
      <c r="T57" s="114">
        <f t="shared" si="18"/>
        <v>9.1300438308576162E-3</v>
      </c>
      <c r="U57" s="121">
        <f t="shared" si="1"/>
        <v>-1.3042919758368014E-2</v>
      </c>
      <c r="V57" s="121">
        <f t="shared" si="19"/>
        <v>-3.298681561225898</v>
      </c>
      <c r="W57" s="121">
        <f t="shared" si="2"/>
        <v>-1.3042919758368014E-2</v>
      </c>
      <c r="X57" s="121">
        <f t="shared" si="3"/>
        <v>0.97618369454323717</v>
      </c>
    </row>
    <row r="58" spans="2:24" s="117" customFormat="1" ht="13.9" x14ac:dyDescent="0.4">
      <c r="B58" s="106">
        <f t="shared" si="4"/>
        <v>1.6955219736399594E-3</v>
      </c>
      <c r="C58" s="107">
        <f t="shared" si="5"/>
        <v>1.5670646591032258</v>
      </c>
      <c r="D58" s="106">
        <f t="shared" si="20"/>
        <v>1.3564175789119675E-2</v>
      </c>
      <c r="E58" s="108">
        <v>8</v>
      </c>
      <c r="F58" s="107">
        <f t="shared" si="6"/>
        <v>0.57179441792705965</v>
      </c>
      <c r="G58" s="107">
        <f t="shared" si="7"/>
        <v>2.3353268660324478</v>
      </c>
      <c r="H58" s="107">
        <f t="shared" si="21"/>
        <v>0.99325604129283851</v>
      </c>
      <c r="I58" s="106">
        <f t="shared" si="9"/>
        <v>1.3564175789119675E-2</v>
      </c>
      <c r="J58" s="109">
        <f t="shared" si="10"/>
        <v>3.1608929308397622</v>
      </c>
      <c r="K58" s="106">
        <f t="shared" si="11"/>
        <v>1.3473005861441321E-2</v>
      </c>
      <c r="L58" s="109">
        <f t="shared" si="12"/>
        <v>3.203767838204258</v>
      </c>
      <c r="M58" s="106">
        <f t="shared" si="13"/>
        <v>1.338028882020369E-2</v>
      </c>
      <c r="N58" s="110">
        <f t="shared" si="14"/>
        <v>0.97742355167246475</v>
      </c>
      <c r="O58" s="111">
        <f t="shared" si="15"/>
        <v>0.99019792440061516</v>
      </c>
      <c r="P58" s="121">
        <f t="shared" si="16"/>
        <v>3.203767838204258</v>
      </c>
      <c r="Q58" s="121">
        <f t="shared" si="16"/>
        <v>1.338028882020369E-2</v>
      </c>
      <c r="R58" s="121">
        <f t="shared" si="16"/>
        <v>0.97742355167246475</v>
      </c>
      <c r="S58" s="121">
        <f t="shared" si="17"/>
        <v>1.338028882020369E-2</v>
      </c>
      <c r="T58" s="114">
        <f t="shared" si="18"/>
        <v>9.3662021741425829E-3</v>
      </c>
      <c r="U58" s="121">
        <f t="shared" si="1"/>
        <v>-1.338028882020369E-2</v>
      </c>
      <c r="V58" s="121">
        <f t="shared" si="19"/>
        <v>-3.203767838204258</v>
      </c>
      <c r="W58" s="121">
        <f t="shared" si="2"/>
        <v>-1.338028882020369E-2</v>
      </c>
      <c r="X58" s="121">
        <f t="shared" si="3"/>
        <v>0.97742355167246475</v>
      </c>
    </row>
    <row r="59" spans="2:24" s="117" customFormat="1" ht="13.9" x14ac:dyDescent="0.4">
      <c r="B59" s="106">
        <f t="shared" si="4"/>
        <v>1.6955219736399594E-3</v>
      </c>
      <c r="C59" s="107">
        <f t="shared" si="5"/>
        <v>1.5670646591032258</v>
      </c>
      <c r="D59" s="106">
        <f t="shared" si="20"/>
        <v>1.3903280183847667E-2</v>
      </c>
      <c r="E59" s="108">
        <v>8.1999999999999993</v>
      </c>
      <c r="F59" s="107">
        <f t="shared" si="6"/>
        <v>0.57179441792705965</v>
      </c>
      <c r="G59" s="107">
        <f t="shared" si="7"/>
        <v>2.3353268660324478</v>
      </c>
      <c r="H59" s="107">
        <f t="shared" si="21"/>
        <v>0.99360670895581193</v>
      </c>
      <c r="I59" s="106">
        <f t="shared" si="9"/>
        <v>1.3903280183847667E-2</v>
      </c>
      <c r="J59" s="109">
        <f t="shared" si="10"/>
        <v>3.0714483995933204</v>
      </c>
      <c r="K59" s="106">
        <f t="shared" si="11"/>
        <v>1.3807516185531724E-2</v>
      </c>
      <c r="L59" s="109">
        <f t="shared" si="12"/>
        <v>3.1141516072630968</v>
      </c>
      <c r="M59" s="106">
        <f t="shared" si="13"/>
        <v>1.371739263801753E-2</v>
      </c>
      <c r="N59" s="110">
        <f t="shared" si="14"/>
        <v>0.97856926697480617</v>
      </c>
      <c r="O59" s="111">
        <f t="shared" si="15"/>
        <v>0.99070152982817683</v>
      </c>
      <c r="P59" s="121">
        <f t="shared" si="16"/>
        <v>3.1141516072630968</v>
      </c>
      <c r="Q59" s="121">
        <f t="shared" si="16"/>
        <v>1.371739263801753E-2</v>
      </c>
      <c r="R59" s="121">
        <f t="shared" si="16"/>
        <v>0.97856926697480617</v>
      </c>
      <c r="S59" s="121">
        <f t="shared" si="17"/>
        <v>1.371739263801753E-2</v>
      </c>
      <c r="T59" s="114">
        <f t="shared" si="18"/>
        <v>9.6021748466122679E-3</v>
      </c>
      <c r="U59" s="121">
        <f t="shared" si="1"/>
        <v>-1.371739263801753E-2</v>
      </c>
      <c r="V59" s="121">
        <f t="shared" si="19"/>
        <v>-3.1141516072630968</v>
      </c>
      <c r="W59" s="121">
        <f t="shared" si="2"/>
        <v>-1.371739263801753E-2</v>
      </c>
      <c r="X59" s="121">
        <f t="shared" si="3"/>
        <v>0.97856926697480617</v>
      </c>
    </row>
    <row r="60" spans="2:24" s="117" customFormat="1" ht="13.9" x14ac:dyDescent="0.4">
      <c r="B60" s="106">
        <f t="shared" si="4"/>
        <v>1.6955219736399594E-3</v>
      </c>
      <c r="C60" s="107">
        <f t="shared" si="5"/>
        <v>1.5670646591032258</v>
      </c>
      <c r="D60" s="106">
        <f t="shared" si="20"/>
        <v>1.424238457857566E-2</v>
      </c>
      <c r="E60" s="108">
        <v>8.4</v>
      </c>
      <c r="F60" s="107">
        <f t="shared" si="6"/>
        <v>0.57179441792705965</v>
      </c>
      <c r="G60" s="107">
        <f t="shared" si="7"/>
        <v>2.3353268660324478</v>
      </c>
      <c r="H60" s="107">
        <f t="shared" si="21"/>
        <v>0.9939307983945922</v>
      </c>
      <c r="I60" s="106">
        <f t="shared" si="9"/>
        <v>1.424238457857566E-2</v>
      </c>
      <c r="J60" s="109">
        <f t="shared" si="10"/>
        <v>2.9868660452358928</v>
      </c>
      <c r="K60" s="106">
        <f t="shared" si="11"/>
        <v>1.4141914649882398E-2</v>
      </c>
      <c r="L60" s="109">
        <f t="shared" si="12"/>
        <v>3.0294061401368322</v>
      </c>
      <c r="M60" s="106">
        <f t="shared" si="13"/>
        <v>1.4054243636186839E-2</v>
      </c>
      <c r="N60" s="110">
        <f t="shared" si="14"/>
        <v>0.97963007614275377</v>
      </c>
      <c r="O60" s="111">
        <f t="shared" si="15"/>
        <v>0.9911672194513379</v>
      </c>
      <c r="P60" s="121">
        <f t="shared" si="16"/>
        <v>3.0294061401368322</v>
      </c>
      <c r="Q60" s="121">
        <f t="shared" si="16"/>
        <v>1.4054243636186839E-2</v>
      </c>
      <c r="R60" s="121">
        <f t="shared" si="16"/>
        <v>0.97963007614275377</v>
      </c>
      <c r="S60" s="121">
        <f t="shared" si="17"/>
        <v>1.4054243636186839E-2</v>
      </c>
      <c r="T60" s="114">
        <f t="shared" si="18"/>
        <v>9.8379705453307976E-3</v>
      </c>
      <c r="U60" s="121">
        <f t="shared" si="1"/>
        <v>-1.4054243636186839E-2</v>
      </c>
      <c r="V60" s="121">
        <f t="shared" si="19"/>
        <v>-3.0294061401368322</v>
      </c>
      <c r="W60" s="121">
        <f t="shared" si="2"/>
        <v>-1.4054243636186839E-2</v>
      </c>
      <c r="X60" s="121">
        <f t="shared" si="3"/>
        <v>0.97963007614275377</v>
      </c>
    </row>
    <row r="61" spans="2:24" s="117" customFormat="1" ht="13.9" x14ac:dyDescent="0.4">
      <c r="B61" s="106">
        <f t="shared" si="4"/>
        <v>1.6955219736399594E-3</v>
      </c>
      <c r="C61" s="107">
        <f t="shared" si="5"/>
        <v>1.5670646591032258</v>
      </c>
      <c r="D61" s="106">
        <f t="shared" si="20"/>
        <v>1.458148897330365E-2</v>
      </c>
      <c r="E61" s="108">
        <v>8.6</v>
      </c>
      <c r="F61" s="107">
        <f t="shared" si="6"/>
        <v>0.57179441792705965</v>
      </c>
      <c r="G61" s="107">
        <f t="shared" si="7"/>
        <v>2.3353268660324478</v>
      </c>
      <c r="H61" s="107">
        <f t="shared" si="21"/>
        <v>0.99423092186842232</v>
      </c>
      <c r="I61" s="106">
        <f t="shared" si="9"/>
        <v>1.458148897330365E-2</v>
      </c>
      <c r="J61" s="109">
        <f t="shared" si="10"/>
        <v>2.9067639655054287</v>
      </c>
      <c r="K61" s="106">
        <f t="shared" si="11"/>
        <v>1.447620132927957E-2</v>
      </c>
      <c r="L61" s="109">
        <f t="shared" si="12"/>
        <v>2.9491489122164425</v>
      </c>
      <c r="M61" s="106">
        <f t="shared" si="13"/>
        <v>1.4390852959760026E-2</v>
      </c>
      <c r="N61" s="110">
        <f t="shared" si="14"/>
        <v>0.98061411734312331</v>
      </c>
      <c r="O61" s="111">
        <f t="shared" si="15"/>
        <v>0.99159869791483113</v>
      </c>
      <c r="P61" s="121">
        <f t="shared" si="16"/>
        <v>2.9491489122164425</v>
      </c>
      <c r="Q61" s="121">
        <f t="shared" si="16"/>
        <v>1.4390852959760026E-2</v>
      </c>
      <c r="R61" s="121">
        <f t="shared" si="16"/>
        <v>0.98061411734312331</v>
      </c>
      <c r="S61" s="121">
        <f t="shared" si="17"/>
        <v>1.4390852959760026E-2</v>
      </c>
      <c r="T61" s="114">
        <f t="shared" si="18"/>
        <v>1.0073597071832023E-2</v>
      </c>
      <c r="U61" s="121">
        <f t="shared" si="1"/>
        <v>-1.4390852959760026E-2</v>
      </c>
      <c r="V61" s="121">
        <f t="shared" si="19"/>
        <v>-2.9491489122164425</v>
      </c>
      <c r="W61" s="121">
        <f t="shared" si="2"/>
        <v>-1.4390852959760026E-2</v>
      </c>
      <c r="X61" s="121">
        <f t="shared" si="3"/>
        <v>0.98061411734312331</v>
      </c>
    </row>
    <row r="62" spans="2:24" s="117" customFormat="1" ht="13.9" x14ac:dyDescent="0.4">
      <c r="B62" s="106">
        <f t="shared" si="4"/>
        <v>1.6955219736399594E-3</v>
      </c>
      <c r="C62" s="107">
        <f t="shared" si="5"/>
        <v>1.5670646591032258</v>
      </c>
      <c r="D62" s="106">
        <f t="shared" si="20"/>
        <v>1.4920593368031658E-2</v>
      </c>
      <c r="E62" s="108">
        <v>8.8000000000000096</v>
      </c>
      <c r="F62" s="107">
        <f t="shared" si="6"/>
        <v>0.57179441792705965</v>
      </c>
      <c r="G62" s="107">
        <f t="shared" si="7"/>
        <v>2.3353268660324478</v>
      </c>
      <c r="H62" s="107">
        <f t="shared" si="21"/>
        <v>0.9945093792615346</v>
      </c>
      <c r="I62" s="106">
        <f t="shared" si="9"/>
        <v>1.4920593368031658E-2</v>
      </c>
      <c r="J62" s="109">
        <f t="shared" si="10"/>
        <v>2.8307988727271582</v>
      </c>
      <c r="K62" s="106">
        <f t="shared" si="11"/>
        <v>1.4810376298435143E-2</v>
      </c>
      <c r="L62" s="109">
        <f t="shared" si="12"/>
        <v>2.8730360716138024</v>
      </c>
      <c r="M62" s="106">
        <f t="shared" si="13"/>
        <v>1.472723063452264E-2</v>
      </c>
      <c r="N62" s="110">
        <f t="shared" si="14"/>
        <v>0.98152858295756773</v>
      </c>
      <c r="O62" s="111">
        <f t="shared" si="15"/>
        <v>0.9919992295142126</v>
      </c>
      <c r="P62" s="121">
        <f t="shared" si="16"/>
        <v>2.8730360716138024</v>
      </c>
      <c r="Q62" s="121">
        <f t="shared" si="16"/>
        <v>1.472723063452264E-2</v>
      </c>
      <c r="R62" s="121">
        <f t="shared" si="16"/>
        <v>0.98152858295756773</v>
      </c>
      <c r="S62" s="121">
        <f t="shared" si="17"/>
        <v>1.472723063452264E-2</v>
      </c>
      <c r="T62" s="114">
        <f t="shared" si="18"/>
        <v>1.0309061444165846E-2</v>
      </c>
      <c r="U62" s="121">
        <f t="shared" si="1"/>
        <v>-1.472723063452264E-2</v>
      </c>
      <c r="V62" s="121">
        <f t="shared" si="19"/>
        <v>-2.8730360716138024</v>
      </c>
      <c r="W62" s="121">
        <f t="shared" si="2"/>
        <v>-1.472723063452264E-2</v>
      </c>
      <c r="X62" s="121">
        <f t="shared" si="3"/>
        <v>0.98152858295756773</v>
      </c>
    </row>
    <row r="63" spans="2:24" s="117" customFormat="1" ht="13.9" x14ac:dyDescent="0.4">
      <c r="B63" s="106">
        <f t="shared" si="4"/>
        <v>1.6955219736399594E-3</v>
      </c>
      <c r="C63" s="107">
        <f t="shared" si="5"/>
        <v>1.5670646591032258</v>
      </c>
      <c r="D63" s="106">
        <f t="shared" si="20"/>
        <v>1.5259697762759653E-2</v>
      </c>
      <c r="E63" s="108">
        <v>9.0000000000000107</v>
      </c>
      <c r="F63" s="107">
        <f t="shared" si="6"/>
        <v>0.57179441792705965</v>
      </c>
      <c r="G63" s="107">
        <f t="shared" si="7"/>
        <v>2.3353268660324478</v>
      </c>
      <c r="H63" s="107">
        <f t="shared" si="21"/>
        <v>0.99476820174410263</v>
      </c>
      <c r="I63" s="106">
        <f t="shared" si="9"/>
        <v>1.5259697762759653E-2</v>
      </c>
      <c r="J63" s="109">
        <f t="shared" si="10"/>
        <v>2.7586613732110203</v>
      </c>
      <c r="K63" s="106">
        <f t="shared" si="11"/>
        <v>1.5144439631985493E-2</v>
      </c>
      <c r="L63" s="109">
        <f t="shared" si="12"/>
        <v>2.8007577119960203</v>
      </c>
      <c r="M63" s="106">
        <f t="shared" si="13"/>
        <v>1.5063385703800327E-2</v>
      </c>
      <c r="N63" s="110">
        <f t="shared" si="14"/>
        <v>0.98237984758051322</v>
      </c>
      <c r="O63" s="111">
        <f t="shared" si="15"/>
        <v>0.99237169935157599</v>
      </c>
      <c r="P63" s="121">
        <f t="shared" si="16"/>
        <v>2.8007577119960203</v>
      </c>
      <c r="Q63" s="121">
        <f t="shared" si="16"/>
        <v>1.5063385703800327E-2</v>
      </c>
      <c r="R63" s="121">
        <f t="shared" si="16"/>
        <v>0.98237984758051322</v>
      </c>
      <c r="S63" s="121">
        <f t="shared" si="17"/>
        <v>1.5063385703800327E-2</v>
      </c>
      <c r="T63" s="114">
        <f t="shared" si="18"/>
        <v>1.0544369992660223E-2</v>
      </c>
      <c r="U63" s="121">
        <f t="shared" si="1"/>
        <v>-1.5063385703800327E-2</v>
      </c>
      <c r="V63" s="121">
        <f t="shared" si="19"/>
        <v>-2.8007577119960203</v>
      </c>
      <c r="W63" s="121">
        <f t="shared" si="2"/>
        <v>-1.5063385703800327E-2</v>
      </c>
      <c r="X63" s="121">
        <f t="shared" si="3"/>
        <v>0.98237984758051322</v>
      </c>
    </row>
    <row r="64" spans="2:24" s="117" customFormat="1" ht="13.9" x14ac:dyDescent="0.4">
      <c r="B64" s="106">
        <f t="shared" si="4"/>
        <v>1.6955219736399594E-3</v>
      </c>
      <c r="C64" s="107">
        <f t="shared" si="5"/>
        <v>1.5670646591032258</v>
      </c>
      <c r="D64" s="106">
        <f t="shared" si="20"/>
        <v>1.5598802157487643E-2</v>
      </c>
      <c r="E64" s="108">
        <v>9.2000000000000099</v>
      </c>
      <c r="F64" s="107">
        <f t="shared" si="6"/>
        <v>0.57179441792705965</v>
      </c>
      <c r="G64" s="107">
        <f t="shared" si="7"/>
        <v>2.3353268660324478</v>
      </c>
      <c r="H64" s="107">
        <f t="shared" si="21"/>
        <v>0.99500918849369135</v>
      </c>
      <c r="I64" s="106">
        <f t="shared" si="9"/>
        <v>1.5598802157487643E-2</v>
      </c>
      <c r="J64" s="109">
        <f t="shared" si="10"/>
        <v>2.6900719174921028</v>
      </c>
      <c r="K64" s="106">
        <f t="shared" si="11"/>
        <v>1.5478391404492217E-2</v>
      </c>
      <c r="L64" s="109">
        <f t="shared" si="12"/>
        <v>2.7320338171224754</v>
      </c>
      <c r="M64" s="106">
        <f t="shared" si="13"/>
        <v>1.5399326345824693E-2</v>
      </c>
      <c r="N64" s="110">
        <f t="shared" si="14"/>
        <v>0.98317357639498182</v>
      </c>
      <c r="O64" s="111">
        <f t="shared" si="15"/>
        <v>0.9927186648379368</v>
      </c>
      <c r="P64" s="121">
        <f t="shared" si="16"/>
        <v>2.7320338171224754</v>
      </c>
      <c r="Q64" s="121">
        <f t="shared" si="16"/>
        <v>1.5399326345824693E-2</v>
      </c>
      <c r="R64" s="121">
        <f t="shared" si="16"/>
        <v>0.98317357639498182</v>
      </c>
      <c r="S64" s="121">
        <f t="shared" si="17"/>
        <v>1.5399326345824693E-2</v>
      </c>
      <c r="T64" s="114">
        <f t="shared" si="18"/>
        <v>1.0779528442077276E-2</v>
      </c>
      <c r="U64" s="121">
        <f t="shared" si="1"/>
        <v>-1.5399326345824693E-2</v>
      </c>
      <c r="V64" s="121">
        <f t="shared" si="19"/>
        <v>-2.7320338171224754</v>
      </c>
      <c r="W64" s="121">
        <f t="shared" si="2"/>
        <v>-1.5399326345824693E-2</v>
      </c>
      <c r="X64" s="121">
        <f t="shared" si="3"/>
        <v>0.98317357639498182</v>
      </c>
    </row>
    <row r="65" spans="2:24" s="117" customFormat="1" ht="13.9" x14ac:dyDescent="0.4">
      <c r="B65" s="106">
        <f t="shared" si="4"/>
        <v>1.6955219736399594E-3</v>
      </c>
      <c r="C65" s="107">
        <f t="shared" si="5"/>
        <v>1.5670646591032258</v>
      </c>
      <c r="D65" s="106">
        <f t="shared" si="20"/>
        <v>1.5937906552215633E-2</v>
      </c>
      <c r="E65" s="108">
        <v>9.4000000000000092</v>
      </c>
      <c r="F65" s="107">
        <f t="shared" si="6"/>
        <v>0.57179441792705965</v>
      </c>
      <c r="G65" s="107">
        <f t="shared" si="7"/>
        <v>2.3353268660324478</v>
      </c>
      <c r="H65" s="107">
        <f t="shared" si="21"/>
        <v>0.99523393770663693</v>
      </c>
      <c r="I65" s="106">
        <f t="shared" si="9"/>
        <v>1.5937906552215633E-2</v>
      </c>
      <c r="J65" s="109">
        <f t="shared" si="10"/>
        <v>2.6247773135334889</v>
      </c>
      <c r="K65" s="106">
        <f t="shared" si="11"/>
        <v>1.5812231690442897E-2</v>
      </c>
      <c r="L65" s="109">
        <f t="shared" si="12"/>
        <v>2.6666107690769612</v>
      </c>
      <c r="M65" s="106">
        <f t="shared" si="13"/>
        <v>1.573505997478581E-2</v>
      </c>
      <c r="N65" s="110">
        <f t="shared" si="14"/>
        <v>0.98391481726571173</v>
      </c>
      <c r="O65" s="111">
        <f t="shared" si="15"/>
        <v>0.99304239923980797</v>
      </c>
      <c r="P65" s="121">
        <f t="shared" si="16"/>
        <v>2.6666107690769612</v>
      </c>
      <c r="Q65" s="121">
        <f t="shared" si="16"/>
        <v>1.573505997478581E-2</v>
      </c>
      <c r="R65" s="121">
        <f t="shared" si="16"/>
        <v>0.98391481726571173</v>
      </c>
      <c r="S65" s="121">
        <f t="shared" si="17"/>
        <v>1.573505997478581E-2</v>
      </c>
      <c r="T65" s="114">
        <f t="shared" si="18"/>
        <v>1.1014541982350072E-2</v>
      </c>
      <c r="U65" s="121">
        <f t="shared" si="1"/>
        <v>-1.573505997478581E-2</v>
      </c>
      <c r="V65" s="121">
        <f t="shared" si="19"/>
        <v>-2.6666107690769612</v>
      </c>
      <c r="W65" s="121">
        <f t="shared" si="2"/>
        <v>-1.573505997478581E-2</v>
      </c>
      <c r="X65" s="121">
        <f t="shared" si="3"/>
        <v>0.98391481726571173</v>
      </c>
    </row>
    <row r="66" spans="2:24" s="117" customFormat="1" ht="13.9" x14ac:dyDescent="0.4">
      <c r="B66" s="106">
        <f t="shared" si="4"/>
        <v>1.6955219736399594E-3</v>
      </c>
      <c r="C66" s="107">
        <f t="shared" si="5"/>
        <v>1.5670646591032258</v>
      </c>
      <c r="D66" s="106">
        <f t="shared" si="20"/>
        <v>1.6277010946943629E-2</v>
      </c>
      <c r="E66" s="108">
        <v>9.6000000000000103</v>
      </c>
      <c r="F66" s="107">
        <f t="shared" si="6"/>
        <v>0.57179441792705965</v>
      </c>
      <c r="G66" s="107">
        <f t="shared" si="7"/>
        <v>2.3353268660324478</v>
      </c>
      <c r="H66" s="107">
        <f t="shared" si="21"/>
        <v>0.99544387288965064</v>
      </c>
      <c r="I66" s="106">
        <f t="shared" si="9"/>
        <v>1.6277010946943629E-2</v>
      </c>
      <c r="J66" s="109">
        <f t="shared" si="10"/>
        <v>2.5625477142647966</v>
      </c>
      <c r="K66" s="106">
        <f t="shared" si="11"/>
        <v>1.6145960564249884E-2</v>
      </c>
      <c r="L66" s="109">
        <f t="shared" si="12"/>
        <v>2.6042583314619501</v>
      </c>
      <c r="M66" s="106">
        <f t="shared" si="13"/>
        <v>1.6070593328137376E-2</v>
      </c>
      <c r="N66" s="110">
        <f t="shared" si="14"/>
        <v>0.98460807926767213</v>
      </c>
      <c r="O66" s="111">
        <f t="shared" si="15"/>
        <v>0.99334492863994983</v>
      </c>
      <c r="P66" s="121">
        <f t="shared" si="16"/>
        <v>2.6042583314619501</v>
      </c>
      <c r="Q66" s="121">
        <f t="shared" si="16"/>
        <v>1.6070593328137376E-2</v>
      </c>
      <c r="R66" s="121">
        <f t="shared" si="16"/>
        <v>0.98460807926767213</v>
      </c>
      <c r="S66" s="121">
        <f t="shared" si="17"/>
        <v>1.6070593328137376E-2</v>
      </c>
      <c r="T66" s="114">
        <f t="shared" si="18"/>
        <v>1.1249415329696151E-2</v>
      </c>
      <c r="U66" s="121">
        <f t="shared" si="1"/>
        <v>-1.6070593328137376E-2</v>
      </c>
      <c r="V66" s="121">
        <f t="shared" si="19"/>
        <v>-2.6042583314619501</v>
      </c>
      <c r="W66" s="121">
        <f t="shared" si="2"/>
        <v>-1.6070593328137376E-2</v>
      </c>
      <c r="X66" s="121">
        <f t="shared" si="3"/>
        <v>0.98460807926767213</v>
      </c>
    </row>
    <row r="67" spans="2:24" s="117" customFormat="1" ht="13.9" x14ac:dyDescent="0.4">
      <c r="B67" s="106">
        <f t="shared" si="4"/>
        <v>1.6955219736399594E-3</v>
      </c>
      <c r="C67" s="107">
        <f t="shared" si="5"/>
        <v>1.5670646591032258</v>
      </c>
      <c r="D67" s="106">
        <f t="shared" si="20"/>
        <v>1.6616115341671619E-2</v>
      </c>
      <c r="E67" s="108">
        <v>9.8000000000000096</v>
      </c>
      <c r="F67" s="107">
        <f t="shared" si="6"/>
        <v>0.57179441792705965</v>
      </c>
      <c r="G67" s="107">
        <f t="shared" si="7"/>
        <v>2.3353268660324478</v>
      </c>
      <c r="H67" s="107">
        <f t="shared" si="21"/>
        <v>0.9956402652332762</v>
      </c>
      <c r="I67" s="106">
        <f t="shared" si="9"/>
        <v>1.6616115341671619E-2</v>
      </c>
      <c r="J67" s="109">
        <f t="shared" si="10"/>
        <v>2.5031740063226837</v>
      </c>
      <c r="K67" s="106">
        <f t="shared" si="11"/>
        <v>1.6479578100251042E-2</v>
      </c>
      <c r="L67" s="109">
        <f t="shared" si="12"/>
        <v>2.5447670343320152</v>
      </c>
      <c r="M67" s="106">
        <f t="shared" si="13"/>
        <v>1.6405932542277474E-2</v>
      </c>
      <c r="N67" s="110">
        <f t="shared" si="14"/>
        <v>0.98525739987163186</v>
      </c>
      <c r="O67" s="111">
        <f t="shared" si="15"/>
        <v>0.99362806342327425</v>
      </c>
      <c r="P67" s="121">
        <f t="shared" si="16"/>
        <v>2.5447670343320152</v>
      </c>
      <c r="Q67" s="121">
        <f t="shared" si="16"/>
        <v>1.6405932542277474E-2</v>
      </c>
      <c r="R67" s="121">
        <f t="shared" si="16"/>
        <v>0.98525739987163186</v>
      </c>
      <c r="S67" s="121">
        <f t="shared" si="17"/>
        <v>1.6405932542277474E-2</v>
      </c>
      <c r="T67" s="114">
        <f t="shared" si="18"/>
        <v>1.1484152779594236E-2</v>
      </c>
      <c r="U67" s="121">
        <f t="shared" si="1"/>
        <v>-1.6405932542277474E-2</v>
      </c>
      <c r="V67" s="121">
        <f t="shared" si="19"/>
        <v>-2.5447670343320152</v>
      </c>
      <c r="W67" s="121">
        <f t="shared" si="2"/>
        <v>-1.6405932542277474E-2</v>
      </c>
      <c r="X67" s="121">
        <f t="shared" si="3"/>
        <v>0.98525739987163186</v>
      </c>
    </row>
    <row r="68" spans="2:24" s="117" customFormat="1" ht="13.9" x14ac:dyDescent="0.4">
      <c r="B68" s="106">
        <f t="shared" si="4"/>
        <v>1.6955219736399594E-3</v>
      </c>
      <c r="C68" s="107">
        <f t="shared" si="5"/>
        <v>1.5670646591032258</v>
      </c>
      <c r="D68" s="106">
        <f t="shared" si="20"/>
        <v>1.6955219736399595E-2</v>
      </c>
      <c r="E68" s="108">
        <v>10</v>
      </c>
      <c r="F68" s="107">
        <f t="shared" si="6"/>
        <v>0.57179441792705965</v>
      </c>
      <c r="G68" s="107">
        <f t="shared" si="7"/>
        <v>2.3353268660324478</v>
      </c>
      <c r="H68" s="107">
        <f t="shared" si="21"/>
        <v>0.99582425271917863</v>
      </c>
      <c r="I68" s="106">
        <f t="shared" si="9"/>
        <v>1.6955219736399595E-2</v>
      </c>
      <c r="J68" s="109">
        <f t="shared" si="10"/>
        <v>2.4464655393918275</v>
      </c>
      <c r="K68" s="106">
        <f t="shared" si="11"/>
        <v>1.6813084372710532E-2</v>
      </c>
      <c r="L68" s="109">
        <f t="shared" si="12"/>
        <v>2.4879459001897453</v>
      </c>
      <c r="M68" s="106">
        <f t="shared" si="13"/>
        <v>1.674108321835904E-2</v>
      </c>
      <c r="N68" s="110">
        <f t="shared" si="14"/>
        <v>0.98586640260999203</v>
      </c>
      <c r="O68" s="111">
        <f t="shared" si="15"/>
        <v>0.99389342519299417</v>
      </c>
      <c r="P68" s="121">
        <f t="shared" si="16"/>
        <v>2.4879459001897453</v>
      </c>
      <c r="Q68" s="121">
        <f t="shared" si="16"/>
        <v>1.674108321835904E-2</v>
      </c>
      <c r="R68" s="121">
        <f t="shared" si="16"/>
        <v>0.98586640260999203</v>
      </c>
      <c r="S68" s="121">
        <f t="shared" si="17"/>
        <v>1.674108321835904E-2</v>
      </c>
      <c r="T68" s="114">
        <f t="shared" si="18"/>
        <v>1.1718758252851343E-2</v>
      </c>
      <c r="U68" s="121">
        <f t="shared" si="1"/>
        <v>-1.674108321835904E-2</v>
      </c>
      <c r="V68" s="121">
        <f t="shared" si="19"/>
        <v>-2.4879459001897453</v>
      </c>
      <c r="W68" s="121">
        <f t="shared" si="2"/>
        <v>-1.674108321835904E-2</v>
      </c>
      <c r="X68" s="121">
        <f t="shared" si="3"/>
        <v>0.98586640260999203</v>
      </c>
    </row>
    <row r="69" spans="2:24" s="117" customFormat="1" ht="13.9" x14ac:dyDescent="0.4">
      <c r="B69" s="106">
        <f t="shared" si="4"/>
        <v>1.6955219736399594E-3</v>
      </c>
      <c r="C69" s="107">
        <f t="shared" si="5"/>
        <v>1.5670646591032258</v>
      </c>
      <c r="D69" s="106">
        <f t="shared" si="20"/>
        <v>1.7294324131127584E-2</v>
      </c>
      <c r="E69" s="108">
        <v>10.199999999999999</v>
      </c>
      <c r="F69" s="107">
        <f t="shared" si="6"/>
        <v>0.57179441792705965</v>
      </c>
      <c r="G69" s="107">
        <f t="shared" si="7"/>
        <v>2.3353268660324478</v>
      </c>
      <c r="H69" s="107">
        <f t="shared" si="21"/>
        <v>0.99599685649393566</v>
      </c>
      <c r="I69" s="106">
        <f t="shared" si="9"/>
        <v>1.7294324131127584E-2</v>
      </c>
      <c r="J69" s="109">
        <f t="shared" si="10"/>
        <v>2.3922481457254756</v>
      </c>
      <c r="K69" s="106">
        <f t="shared" si="11"/>
        <v>1.7146479455817567E-2</v>
      </c>
      <c r="L69" s="109">
        <f t="shared" si="12"/>
        <v>2.4336204605597409</v>
      </c>
      <c r="M69" s="106">
        <f t="shared" si="13"/>
        <v>1.7076050479688968E-2</v>
      </c>
      <c r="N69" s="110">
        <f t="shared" si="14"/>
        <v>0.98643834672495223</v>
      </c>
      <c r="O69" s="111">
        <f t="shared" si="15"/>
        <v>0.9941424698576431</v>
      </c>
      <c r="P69" s="121">
        <f t="shared" si="16"/>
        <v>2.4336204605597409</v>
      </c>
      <c r="Q69" s="121">
        <f t="shared" si="16"/>
        <v>1.7076050479688968E-2</v>
      </c>
      <c r="R69" s="121">
        <f t="shared" si="16"/>
        <v>0.98643834672495223</v>
      </c>
      <c r="S69" s="121">
        <f t="shared" si="17"/>
        <v>1.7076050479688968E-2</v>
      </c>
      <c r="T69" s="114">
        <f t="shared" si="18"/>
        <v>1.1953235335782297E-2</v>
      </c>
      <c r="U69" s="121">
        <f t="shared" si="1"/>
        <v>-1.7076050479688968E-2</v>
      </c>
      <c r="V69" s="121">
        <f t="shared" si="19"/>
        <v>-2.4336204605597409</v>
      </c>
      <c r="W69" s="121">
        <f t="shared" si="2"/>
        <v>-1.7076050479688968E-2</v>
      </c>
      <c r="X69" s="121">
        <f t="shared" si="3"/>
        <v>0.98643834672495223</v>
      </c>
    </row>
    <row r="70" spans="2:24" s="117" customFormat="1" ht="13.9" x14ac:dyDescent="0.4">
      <c r="B70" s="106">
        <f t="shared" si="4"/>
        <v>1.6955219736399594E-3</v>
      </c>
      <c r="C70" s="107">
        <f t="shared" si="5"/>
        <v>1.5670646591032258</v>
      </c>
      <c r="D70" s="106">
        <f t="shared" si="20"/>
        <v>1.7633428525855577E-2</v>
      </c>
      <c r="E70" s="108">
        <v>10.4</v>
      </c>
      <c r="F70" s="107">
        <f t="shared" si="6"/>
        <v>0.57179441792705965</v>
      </c>
      <c r="G70" s="107">
        <f t="shared" si="7"/>
        <v>2.3353268660324478</v>
      </c>
      <c r="H70" s="107">
        <f t="shared" si="21"/>
        <v>0.99615899494642346</v>
      </c>
      <c r="I70" s="106">
        <f t="shared" si="9"/>
        <v>1.7633428525855577E-2</v>
      </c>
      <c r="J70" s="109">
        <f t="shared" si="10"/>
        <v>2.3403624077295091</v>
      </c>
      <c r="K70" s="106">
        <f t="shared" si="11"/>
        <v>1.7479763423687188E-2</v>
      </c>
      <c r="L70" s="109">
        <f t="shared" si="12"/>
        <v>2.3816310209708065</v>
      </c>
      <c r="M70" s="106">
        <f t="shared" si="13"/>
        <v>1.7410839021940294E-2</v>
      </c>
      <c r="N70" s="110">
        <f t="shared" si="14"/>
        <v>0.98697617004120108</v>
      </c>
      <c r="O70" s="111">
        <f t="shared" si="15"/>
        <v>0.99437650749758555</v>
      </c>
      <c r="P70" s="121">
        <f t="shared" si="16"/>
        <v>2.3816310209708065</v>
      </c>
      <c r="Q70" s="121">
        <f t="shared" si="16"/>
        <v>1.7410839021940294E-2</v>
      </c>
      <c r="R70" s="121">
        <f t="shared" si="16"/>
        <v>0.98697617004120108</v>
      </c>
      <c r="S70" s="121">
        <f t="shared" si="17"/>
        <v>1.7410839021940294E-2</v>
      </c>
      <c r="T70" s="114">
        <f t="shared" si="18"/>
        <v>1.2187587315358185E-2</v>
      </c>
      <c r="U70" s="121">
        <f t="shared" si="1"/>
        <v>-1.7410839021940294E-2</v>
      </c>
      <c r="V70" s="121">
        <f t="shared" si="19"/>
        <v>-2.3816310209708065</v>
      </c>
      <c r="W70" s="121">
        <f t="shared" si="2"/>
        <v>-1.7410839021940294E-2</v>
      </c>
      <c r="X70" s="121">
        <f t="shared" si="3"/>
        <v>0.98697617004120108</v>
      </c>
    </row>
    <row r="71" spans="2:24" ht="15" customHeight="1" x14ac:dyDescent="0.4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</row>
    <row r="72" spans="2:24" ht="15" customHeight="1" x14ac:dyDescent="0.4"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</row>
    <row r="73" spans="2:24" ht="26.65" x14ac:dyDescent="0.4">
      <c r="B73" s="146" t="s">
        <v>80</v>
      </c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7" t="s">
        <v>58</v>
      </c>
      <c r="P73" s="147"/>
      <c r="Q73" s="147"/>
      <c r="R73" s="147"/>
      <c r="S73" s="102" t="s">
        <v>59</v>
      </c>
      <c r="T73" s="148" t="s">
        <v>60</v>
      </c>
      <c r="U73" s="148"/>
      <c r="V73" s="148"/>
      <c r="W73" s="148"/>
    </row>
    <row r="74" spans="2:24" ht="20.65" x14ac:dyDescent="0.4">
      <c r="B74" s="103" t="s">
        <v>81</v>
      </c>
      <c r="C74" s="103" t="s">
        <v>82</v>
      </c>
      <c r="D74" s="103" t="s">
        <v>83</v>
      </c>
      <c r="E74" s="103" t="s">
        <v>64</v>
      </c>
      <c r="F74" s="103" t="s">
        <v>84</v>
      </c>
      <c r="G74" s="103" t="s">
        <v>85</v>
      </c>
      <c r="H74" s="103" t="s">
        <v>86</v>
      </c>
      <c r="I74" s="103" t="s">
        <v>87</v>
      </c>
      <c r="J74" s="103" t="s">
        <v>88</v>
      </c>
      <c r="K74" s="103" t="s">
        <v>89</v>
      </c>
      <c r="L74" s="103" t="s">
        <v>90</v>
      </c>
      <c r="M74" s="103" t="s">
        <v>91</v>
      </c>
      <c r="N74" s="103" t="s">
        <v>92</v>
      </c>
      <c r="O74" s="102" t="s">
        <v>75</v>
      </c>
      <c r="P74" s="102" t="s">
        <v>93</v>
      </c>
      <c r="Q74" s="102" t="s">
        <v>77</v>
      </c>
      <c r="R74" s="102" t="s">
        <v>93</v>
      </c>
      <c r="S74" s="103" t="s">
        <v>94</v>
      </c>
      <c r="T74" s="102" t="str">
        <f>P74</f>
        <v>开裂应变</v>
      </c>
      <c r="U74" s="102" t="s">
        <v>75</v>
      </c>
      <c r="V74" s="102" t="str">
        <f>R74</f>
        <v>开裂应变</v>
      </c>
      <c r="W74" s="102" t="s">
        <v>79</v>
      </c>
    </row>
    <row r="75" spans="2:24" x14ac:dyDescent="0.4">
      <c r="B75" s="122">
        <f>$F$4/$D$4</f>
        <v>7.8862450220622168E-5</v>
      </c>
      <c r="C75" s="123">
        <f>0.312*$F$4^2</f>
        <v>2.316850831543892</v>
      </c>
      <c r="D75" s="122">
        <f>E75*B75</f>
        <v>7.8862450220622168E-5</v>
      </c>
      <c r="E75" s="90">
        <v>1</v>
      </c>
      <c r="F75" s="90">
        <f t="shared" ref="F75:F93" si="22">$F$4/$D$4/$B$75</f>
        <v>1</v>
      </c>
      <c r="G75" s="123">
        <f>1-F75*(1.2-0.2*E75^5)</f>
        <v>0</v>
      </c>
      <c r="H75" s="122">
        <f>D75</f>
        <v>7.8862450220622168E-5</v>
      </c>
      <c r="I75" s="124">
        <f>(1-G75)*$D$4*D75</f>
        <v>2.7250328341610977</v>
      </c>
      <c r="J75" s="125">
        <f>LN(1+H75)</f>
        <v>7.8859340741048209E-5</v>
      </c>
      <c r="K75" s="124">
        <f>I75*(1+H75)</f>
        <v>2.7252477369273311</v>
      </c>
      <c r="L75" s="122">
        <f>H75-I75/$D$4</f>
        <v>0</v>
      </c>
      <c r="M75" s="126">
        <f>1-(K75/$D$4)/((K75/$D$4)+(1-$K$4)*L75)</f>
        <v>0</v>
      </c>
      <c r="N75" s="126">
        <f>1-(I75/$D$4)/(0.1*L75*(1/0.15-1)+I75/$D$4)</f>
        <v>0</v>
      </c>
      <c r="O75" s="112">
        <f>I75</f>
        <v>2.7250328341610977</v>
      </c>
      <c r="P75" s="112">
        <f>L75</f>
        <v>0</v>
      </c>
      <c r="Q75" s="113">
        <f>M75</f>
        <v>0</v>
      </c>
      <c r="R75" s="113">
        <f>L75</f>
        <v>0</v>
      </c>
      <c r="S75" s="127">
        <f>L75-Q75*O75/((1-Q75)*$D$4)</f>
        <v>0</v>
      </c>
      <c r="T75" s="128">
        <f>P75</f>
        <v>0</v>
      </c>
      <c r="U75" s="128">
        <f>O75</f>
        <v>2.7250328341610977</v>
      </c>
      <c r="V75" s="129">
        <f>R75</f>
        <v>0</v>
      </c>
      <c r="W75" s="129">
        <f>Q75</f>
        <v>0</v>
      </c>
    </row>
    <row r="76" spans="2:24" x14ac:dyDescent="0.4">
      <c r="B76" s="122">
        <f t="shared" ref="B76:B93" si="23">$F$4/$D$4</f>
        <v>7.8862450220622168E-5</v>
      </c>
      <c r="C76" s="123">
        <f t="shared" ref="C76:C93" si="24">0.312*$F$4^2</f>
        <v>2.316850831543892</v>
      </c>
      <c r="D76" s="122">
        <f t="shared" ref="D76:D93" si="25">E76*B76</f>
        <v>9.4634940264746599E-5</v>
      </c>
      <c r="E76" s="90">
        <v>1.2</v>
      </c>
      <c r="F76" s="90">
        <f t="shared" si="22"/>
        <v>1</v>
      </c>
      <c r="G76" s="123">
        <f>1-F76/(C76*(E76-1)^1.7+E76)</f>
        <v>0.25936502377052362</v>
      </c>
      <c r="H76" s="122">
        <f t="shared" ref="H76:H93" si="26">D76</f>
        <v>9.4634940264746599E-5</v>
      </c>
      <c r="I76" s="124">
        <f t="shared" ref="I76:I93" si="27">(1-G76)*$D$4*D76</f>
        <v>2.421905554024137</v>
      </c>
      <c r="J76" s="125">
        <f t="shared" ref="J76:J93" si="28">LN(1+H76)</f>
        <v>9.463046266137844E-5</v>
      </c>
      <c r="K76" s="124">
        <f t="shared" ref="K76:K93" si="29">I76*(1+H76)</f>
        <v>2.4221347509115692</v>
      </c>
      <c r="L76" s="122">
        <f t="shared" ref="L76:L93" si="30">H76-I76/$D$4</f>
        <v>2.4544993531288071E-5</v>
      </c>
      <c r="M76" s="126">
        <f t="shared" ref="M76:M93" si="31">1-(K76/$D$4)/((K76/$D$4)+(1-$K$4)*L76)</f>
        <v>0.23962680721834129</v>
      </c>
      <c r="N76" s="126">
        <f t="shared" ref="N76:N93" si="32">1-(I76/$D$4)/(0.1*L76*(1/0.15-1)+I76/$D$4)</f>
        <v>0.16558371756868973</v>
      </c>
      <c r="O76" s="112">
        <f t="shared" ref="O76:O93" si="33">I76</f>
        <v>2.421905554024137</v>
      </c>
      <c r="P76" s="112">
        <f t="shared" ref="P76:Q91" si="34">L76</f>
        <v>2.4544993531288071E-5</v>
      </c>
      <c r="Q76" s="113">
        <f t="shared" si="34"/>
        <v>0.23962680721834129</v>
      </c>
      <c r="R76" s="113">
        <f t="shared" ref="R76:R93" si="35">L76</f>
        <v>2.4544993531288071E-5</v>
      </c>
      <c r="S76" s="127">
        <f t="shared" ref="S76:S93" si="36">L76-Q76*O76/((1-Q76)*$D$4)</f>
        <v>2.4565896879070671E-6</v>
      </c>
      <c r="T76" s="128">
        <f t="shared" ref="T76:T93" si="37">P76</f>
        <v>2.4544993531288071E-5</v>
      </c>
      <c r="U76" s="128">
        <f t="shared" ref="U76:U93" si="38">O76</f>
        <v>2.421905554024137</v>
      </c>
      <c r="V76" s="129">
        <f t="shared" ref="V76:V93" si="39">R76</f>
        <v>2.4544993531288071E-5</v>
      </c>
      <c r="W76" s="129">
        <f t="shared" ref="W76:W93" si="40">Q76</f>
        <v>0.23962680721834129</v>
      </c>
    </row>
    <row r="77" spans="2:24" x14ac:dyDescent="0.4">
      <c r="B77" s="122">
        <f t="shared" si="23"/>
        <v>7.8862450220622168E-5</v>
      </c>
      <c r="C77" s="123">
        <f t="shared" si="24"/>
        <v>2.316850831543892</v>
      </c>
      <c r="D77" s="122">
        <f t="shared" si="25"/>
        <v>1.1040743030887103E-4</v>
      </c>
      <c r="E77" s="90">
        <v>1.4</v>
      </c>
      <c r="F77" s="90">
        <f t="shared" si="22"/>
        <v>1</v>
      </c>
      <c r="G77" s="123">
        <f t="shared" ref="G77:G93" si="41">1-F77/(C77*(E77-1)^1.7+E77)</f>
        <v>0.47033275294046184</v>
      </c>
      <c r="H77" s="122">
        <f t="shared" si="26"/>
        <v>1.1040743030887103E-4</v>
      </c>
      <c r="I77" s="124">
        <f t="shared" si="27"/>
        <v>2.0207048951837434</v>
      </c>
      <c r="J77" s="125">
        <f t="shared" si="28"/>
        <v>1.1040133585712267E-4</v>
      </c>
      <c r="K77" s="124">
        <f t="shared" si="29"/>
        <v>2.0209279960186333</v>
      </c>
      <c r="L77" s="122">
        <f t="shared" si="30"/>
        <v>5.1928230642253494E-5</v>
      </c>
      <c r="M77" s="126">
        <f t="shared" si="31"/>
        <v>0.44416399053422684</v>
      </c>
      <c r="N77" s="126">
        <f t="shared" si="32"/>
        <v>0.33474695874594751</v>
      </c>
      <c r="O77" s="112">
        <f t="shared" si="33"/>
        <v>2.0207048951837434</v>
      </c>
      <c r="P77" s="112">
        <f t="shared" si="34"/>
        <v>5.1928230642253494E-5</v>
      </c>
      <c r="Q77" s="113">
        <f t="shared" si="34"/>
        <v>0.44416399053422684</v>
      </c>
      <c r="R77" s="113">
        <f t="shared" si="35"/>
        <v>5.1928230642253494E-5</v>
      </c>
      <c r="S77" s="127">
        <f t="shared" si="36"/>
        <v>5.1979824308480698E-6</v>
      </c>
      <c r="T77" s="128">
        <f t="shared" si="37"/>
        <v>5.1928230642253494E-5</v>
      </c>
      <c r="U77" s="128">
        <f t="shared" si="38"/>
        <v>2.0207048951837434</v>
      </c>
      <c r="V77" s="129">
        <f t="shared" si="39"/>
        <v>5.1928230642253494E-5</v>
      </c>
      <c r="W77" s="129">
        <f t="shared" si="40"/>
        <v>0.44416399053422684</v>
      </c>
    </row>
    <row r="78" spans="2:24" x14ac:dyDescent="0.4">
      <c r="B78" s="122">
        <f t="shared" si="23"/>
        <v>7.8862450220622168E-5</v>
      </c>
      <c r="C78" s="123">
        <f t="shared" si="24"/>
        <v>2.316850831543892</v>
      </c>
      <c r="D78" s="122">
        <f t="shared" si="25"/>
        <v>1.2617992035299547E-4</v>
      </c>
      <c r="E78" s="90">
        <v>1.6</v>
      </c>
      <c r="F78" s="90">
        <f t="shared" si="22"/>
        <v>1</v>
      </c>
      <c r="G78" s="123">
        <f t="shared" si="41"/>
        <v>0.61122760133422049</v>
      </c>
      <c r="H78" s="122">
        <f t="shared" si="26"/>
        <v>1.2617992035299547E-4</v>
      </c>
      <c r="I78" s="124">
        <f t="shared" si="27"/>
        <v>1.6950680822077078</v>
      </c>
      <c r="J78" s="125">
        <f t="shared" si="28"/>
        <v>1.2617196033634802E-4</v>
      </c>
      <c r="K78" s="124">
        <f t="shared" si="29"/>
        <v>1.6952819657633136</v>
      </c>
      <c r="L78" s="122">
        <f t="shared" si="30"/>
        <v>7.7124650053904411E-5</v>
      </c>
      <c r="M78" s="126">
        <f t="shared" si="31"/>
        <v>0.58588713943792992</v>
      </c>
      <c r="N78" s="126">
        <f t="shared" si="32"/>
        <v>0.47115488434173536</v>
      </c>
      <c r="O78" s="112">
        <f t="shared" si="33"/>
        <v>1.6950680822077078</v>
      </c>
      <c r="P78" s="112">
        <f t="shared" si="34"/>
        <v>7.7124650053904411E-5</v>
      </c>
      <c r="Q78" s="113">
        <f t="shared" si="34"/>
        <v>0.58588713943792992</v>
      </c>
      <c r="R78" s="113">
        <f t="shared" si="35"/>
        <v>7.7124650053904411E-5</v>
      </c>
      <c r="S78" s="127">
        <f t="shared" si="36"/>
        <v>7.7212223243735813E-6</v>
      </c>
      <c r="T78" s="128">
        <f t="shared" si="37"/>
        <v>7.7124650053904411E-5</v>
      </c>
      <c r="U78" s="128">
        <f t="shared" si="38"/>
        <v>1.6950680822077078</v>
      </c>
      <c r="V78" s="129">
        <f t="shared" si="39"/>
        <v>7.7124650053904411E-5</v>
      </c>
      <c r="W78" s="129">
        <f t="shared" si="40"/>
        <v>0.58588713943792992</v>
      </c>
    </row>
    <row r="79" spans="2:24" x14ac:dyDescent="0.4">
      <c r="B79" s="122">
        <f t="shared" si="23"/>
        <v>7.8862450220622168E-5</v>
      </c>
      <c r="C79" s="123">
        <f t="shared" si="24"/>
        <v>2.316850831543892</v>
      </c>
      <c r="D79" s="122">
        <f t="shared" si="25"/>
        <v>1.4195241039711992E-4</v>
      </c>
      <c r="E79" s="90">
        <v>1.8</v>
      </c>
      <c r="F79" s="90">
        <f t="shared" si="22"/>
        <v>1</v>
      </c>
      <c r="G79" s="123">
        <f t="shared" si="41"/>
        <v>0.70461781539275958</v>
      </c>
      <c r="H79" s="122">
        <f t="shared" si="26"/>
        <v>1.4195241039711992E-4</v>
      </c>
      <c r="I79" s="124">
        <f t="shared" si="27"/>
        <v>1.4488670730257371</v>
      </c>
      <c r="J79" s="125">
        <f t="shared" si="28"/>
        <v>1.4194233610712121E-4</v>
      </c>
      <c r="K79" s="124">
        <f t="shared" si="29"/>
        <v>1.4490727431990982</v>
      </c>
      <c r="L79" s="122">
        <f t="shared" si="30"/>
        <v>1.0002219730375508E-4</v>
      </c>
      <c r="M79" s="126">
        <f t="shared" si="31"/>
        <v>0.68219618798680282</v>
      </c>
      <c r="N79" s="126">
        <f t="shared" si="32"/>
        <v>0.57478507797246792</v>
      </c>
      <c r="O79" s="112">
        <f t="shared" si="33"/>
        <v>1.4488670730257371</v>
      </c>
      <c r="P79" s="112">
        <f t="shared" si="34"/>
        <v>1.0002219730375508E-4</v>
      </c>
      <c r="Q79" s="113">
        <f t="shared" si="34"/>
        <v>0.68219618798680282</v>
      </c>
      <c r="R79" s="113">
        <f t="shared" si="35"/>
        <v>1.0002219730375508E-4</v>
      </c>
      <c r="S79" s="127">
        <f t="shared" si="36"/>
        <v>1.0014996469486992E-5</v>
      </c>
      <c r="T79" s="128">
        <f t="shared" si="37"/>
        <v>1.0002219730375508E-4</v>
      </c>
      <c r="U79" s="128">
        <f t="shared" si="38"/>
        <v>1.4488670730257371</v>
      </c>
      <c r="V79" s="129">
        <f t="shared" si="39"/>
        <v>1.0002219730375508E-4</v>
      </c>
      <c r="W79" s="129">
        <f t="shared" si="40"/>
        <v>0.68219618798680282</v>
      </c>
    </row>
    <row r="80" spans="2:24" x14ac:dyDescent="0.4">
      <c r="B80" s="122">
        <f t="shared" si="23"/>
        <v>7.8862450220622168E-5</v>
      </c>
      <c r="C80" s="123">
        <f t="shared" si="24"/>
        <v>2.316850831543892</v>
      </c>
      <c r="D80" s="122">
        <f t="shared" si="25"/>
        <v>1.5772490044124434E-4</v>
      </c>
      <c r="E80" s="90">
        <v>2</v>
      </c>
      <c r="F80" s="90">
        <f t="shared" si="22"/>
        <v>1</v>
      </c>
      <c r="G80" s="123">
        <f t="shared" si="41"/>
        <v>0.76834965139567801</v>
      </c>
      <c r="H80" s="122">
        <f t="shared" si="26"/>
        <v>1.5772490044124434E-4</v>
      </c>
      <c r="I80" s="124">
        <f t="shared" si="27"/>
        <v>1.2625096119832837</v>
      </c>
      <c r="J80" s="125">
        <f t="shared" si="28"/>
        <v>1.5771246317684254E-4</v>
      </c>
      <c r="K80" s="124">
        <f t="shared" si="29"/>
        <v>1.2627087411861397</v>
      </c>
      <c r="L80" s="122">
        <f t="shared" si="30"/>
        <v>1.2118787227044811E-4</v>
      </c>
      <c r="M80" s="126">
        <f t="shared" si="31"/>
        <v>0.74903976261811545</v>
      </c>
      <c r="N80" s="126">
        <f t="shared" si="32"/>
        <v>0.65272337165363215</v>
      </c>
      <c r="O80" s="112">
        <f t="shared" si="33"/>
        <v>1.2625096119832837</v>
      </c>
      <c r="P80" s="112">
        <f t="shared" si="34"/>
        <v>1.2118787227044811E-4</v>
      </c>
      <c r="Q80" s="113">
        <f t="shared" si="34"/>
        <v>0.74903976261811545</v>
      </c>
      <c r="R80" s="113">
        <f t="shared" si="35"/>
        <v>1.2118787227044811E-4</v>
      </c>
      <c r="S80" s="127">
        <f t="shared" si="36"/>
        <v>1.2135987424725025E-5</v>
      </c>
      <c r="T80" s="128">
        <f t="shared" si="37"/>
        <v>1.2118787227044811E-4</v>
      </c>
      <c r="U80" s="128">
        <f t="shared" si="38"/>
        <v>1.2625096119832837</v>
      </c>
      <c r="V80" s="129">
        <f t="shared" si="39"/>
        <v>1.2118787227044811E-4</v>
      </c>
      <c r="W80" s="129">
        <f t="shared" si="40"/>
        <v>0.74903976261811545</v>
      </c>
    </row>
    <row r="81" spans="2:23" x14ac:dyDescent="0.4">
      <c r="B81" s="122">
        <f t="shared" si="23"/>
        <v>7.8862450220622168E-5</v>
      </c>
      <c r="C81" s="123">
        <f t="shared" si="24"/>
        <v>2.316850831543892</v>
      </c>
      <c r="D81" s="122">
        <f t="shared" si="25"/>
        <v>1.7349739048536878E-4</v>
      </c>
      <c r="E81" s="90">
        <v>2.2000000000000002</v>
      </c>
      <c r="F81" s="90">
        <f t="shared" si="22"/>
        <v>1</v>
      </c>
      <c r="G81" s="123">
        <f t="shared" si="41"/>
        <v>0.81338702088044568</v>
      </c>
      <c r="H81" s="122">
        <f t="shared" si="26"/>
        <v>1.7349739048536878E-4</v>
      </c>
      <c r="I81" s="124">
        <f t="shared" si="27"/>
        <v>1.1187582898390909</v>
      </c>
      <c r="J81" s="125">
        <f t="shared" si="28"/>
        <v>1.734823415538E-4</v>
      </c>
      <c r="K81" s="124">
        <f t="shared" si="29"/>
        <v>1.118952391482962</v>
      </c>
      <c r="L81" s="122">
        <f t="shared" si="30"/>
        <v>1.411205255774255E-4</v>
      </c>
      <c r="M81" s="126">
        <f t="shared" si="31"/>
        <v>0.7968361368877438</v>
      </c>
      <c r="N81" s="126">
        <f t="shared" si="32"/>
        <v>0.71180899898404737</v>
      </c>
      <c r="O81" s="112">
        <f t="shared" si="33"/>
        <v>1.1187582898390909</v>
      </c>
      <c r="P81" s="112">
        <f t="shared" si="34"/>
        <v>1.411205255774255E-4</v>
      </c>
      <c r="Q81" s="113">
        <f t="shared" si="34"/>
        <v>0.7968361368877438</v>
      </c>
      <c r="R81" s="113">
        <f t="shared" si="35"/>
        <v>1.411205255774255E-4</v>
      </c>
      <c r="S81" s="127">
        <f t="shared" si="36"/>
        <v>1.4134084373918399E-5</v>
      </c>
      <c r="T81" s="128">
        <f t="shared" si="37"/>
        <v>1.411205255774255E-4</v>
      </c>
      <c r="U81" s="128">
        <f t="shared" si="38"/>
        <v>1.1187582898390909</v>
      </c>
      <c r="V81" s="129">
        <f t="shared" si="39"/>
        <v>1.411205255774255E-4</v>
      </c>
      <c r="W81" s="129">
        <f t="shared" si="40"/>
        <v>0.7968361368877438</v>
      </c>
    </row>
    <row r="82" spans="2:23" x14ac:dyDescent="0.4">
      <c r="B82" s="122">
        <f t="shared" si="23"/>
        <v>7.8862450220622168E-5</v>
      </c>
      <c r="C82" s="123">
        <f t="shared" si="24"/>
        <v>2.316850831543892</v>
      </c>
      <c r="D82" s="122">
        <f t="shared" si="25"/>
        <v>1.892698805294932E-4</v>
      </c>
      <c r="E82" s="90">
        <v>2.4</v>
      </c>
      <c r="F82" s="90">
        <f t="shared" si="22"/>
        <v>1</v>
      </c>
      <c r="G82" s="123">
        <f t="shared" si="41"/>
        <v>0.84627267295227471</v>
      </c>
      <c r="H82" s="122">
        <f t="shared" si="26"/>
        <v>1.892698805294932E-4</v>
      </c>
      <c r="I82" s="124">
        <f t="shared" si="27"/>
        <v>1.0053888329108949</v>
      </c>
      <c r="J82" s="125">
        <f t="shared" si="28"/>
        <v>1.8925197124539315E-4</v>
      </c>
      <c r="K82" s="124">
        <f t="shared" si="29"/>
        <v>1.0055791227351856</v>
      </c>
      <c r="L82" s="122">
        <f t="shared" si="30"/>
        <v>1.6017392770505191E-4</v>
      </c>
      <c r="M82" s="126">
        <f t="shared" si="31"/>
        <v>0.83203395690608584</v>
      </c>
      <c r="N82" s="126">
        <f t="shared" si="32"/>
        <v>0.75725290554670732</v>
      </c>
      <c r="O82" s="112">
        <f t="shared" si="33"/>
        <v>1.0053888329108949</v>
      </c>
      <c r="P82" s="112">
        <f t="shared" si="34"/>
        <v>1.6017392770505191E-4</v>
      </c>
      <c r="Q82" s="113">
        <f t="shared" si="34"/>
        <v>0.83203395690608584</v>
      </c>
      <c r="R82" s="113">
        <f t="shared" si="35"/>
        <v>1.6017392770505191E-4</v>
      </c>
      <c r="S82" s="127">
        <f t="shared" si="36"/>
        <v>1.604467209749487E-5</v>
      </c>
      <c r="T82" s="128">
        <f t="shared" si="37"/>
        <v>1.6017392770505191E-4</v>
      </c>
      <c r="U82" s="128">
        <f t="shared" si="38"/>
        <v>1.0053888329108949</v>
      </c>
      <c r="V82" s="129">
        <f t="shared" si="39"/>
        <v>1.6017392770505191E-4</v>
      </c>
      <c r="W82" s="129">
        <f t="shared" si="40"/>
        <v>0.83203395690608584</v>
      </c>
    </row>
    <row r="83" spans="2:23" x14ac:dyDescent="0.4">
      <c r="B83" s="122">
        <f t="shared" si="23"/>
        <v>7.8862450220622168E-5</v>
      </c>
      <c r="C83" s="123">
        <f t="shared" si="24"/>
        <v>2.316850831543892</v>
      </c>
      <c r="D83" s="122">
        <f t="shared" si="25"/>
        <v>2.0504237057361764E-4</v>
      </c>
      <c r="E83" s="90">
        <v>2.6</v>
      </c>
      <c r="F83" s="90">
        <f t="shared" si="22"/>
        <v>1</v>
      </c>
      <c r="G83" s="123">
        <f t="shared" si="41"/>
        <v>0.87098646076145902</v>
      </c>
      <c r="H83" s="122">
        <f t="shared" si="26"/>
        <v>2.0504237057361764E-4</v>
      </c>
      <c r="I83" s="124">
        <f t="shared" si="27"/>
        <v>0.91407193923852381</v>
      </c>
      <c r="J83" s="125">
        <f t="shared" si="28"/>
        <v>2.0502135225990923E-4</v>
      </c>
      <c r="K83" s="124">
        <f t="shared" si="29"/>
        <v>0.9142593627158202</v>
      </c>
      <c r="L83" s="122">
        <f t="shared" si="30"/>
        <v>1.7858912865205477E-4</v>
      </c>
      <c r="M83" s="126">
        <f t="shared" si="31"/>
        <v>0.85865257749013812</v>
      </c>
      <c r="N83" s="126">
        <f t="shared" si="32"/>
        <v>0.79277348058062813</v>
      </c>
      <c r="O83" s="112">
        <f t="shared" si="33"/>
        <v>0.91407193923852381</v>
      </c>
      <c r="P83" s="112">
        <f t="shared" si="34"/>
        <v>1.7858912865205477E-4</v>
      </c>
      <c r="Q83" s="113">
        <f t="shared" si="34"/>
        <v>0.85865257749013812</v>
      </c>
      <c r="R83" s="113">
        <f t="shared" si="35"/>
        <v>1.7858912865205477E-4</v>
      </c>
      <c r="S83" s="127">
        <f t="shared" si="36"/>
        <v>1.7891862613578788E-5</v>
      </c>
      <c r="T83" s="128">
        <f t="shared" si="37"/>
        <v>1.7858912865205477E-4</v>
      </c>
      <c r="U83" s="128">
        <f t="shared" si="38"/>
        <v>0.91407193923852381</v>
      </c>
      <c r="V83" s="129">
        <f t="shared" si="39"/>
        <v>1.7858912865205477E-4</v>
      </c>
      <c r="W83" s="129">
        <f t="shared" si="40"/>
        <v>0.85865257749013812</v>
      </c>
    </row>
    <row r="84" spans="2:23" x14ac:dyDescent="0.4">
      <c r="B84" s="122">
        <f t="shared" si="23"/>
        <v>7.8862450220622168E-5</v>
      </c>
      <c r="C84" s="123">
        <f t="shared" si="24"/>
        <v>2.316850831543892</v>
      </c>
      <c r="D84" s="122">
        <f t="shared" si="25"/>
        <v>2.2081486061774206E-4</v>
      </c>
      <c r="E84" s="90">
        <v>2.8</v>
      </c>
      <c r="F84" s="90">
        <f t="shared" si="22"/>
        <v>1</v>
      </c>
      <c r="G84" s="123">
        <f t="shared" si="41"/>
        <v>0.89002592507229306</v>
      </c>
      <c r="H84" s="122">
        <f t="shared" si="26"/>
        <v>2.2081486061774206E-4</v>
      </c>
      <c r="I84" s="124">
        <f t="shared" si="27"/>
        <v>0.83911230223658362</v>
      </c>
      <c r="J84" s="125">
        <f t="shared" si="28"/>
        <v>2.2079048460474712E-4</v>
      </c>
      <c r="K84" s="124">
        <f t="shared" si="29"/>
        <v>0.83929759070264465</v>
      </c>
      <c r="L84" s="122">
        <f t="shared" si="30"/>
        <v>1.9653095059101534E-4</v>
      </c>
      <c r="M84" s="126">
        <f t="shared" si="31"/>
        <v>0.87925824393011165</v>
      </c>
      <c r="N84" s="126">
        <f t="shared" si="32"/>
        <v>0.82098303954473428</v>
      </c>
      <c r="O84" s="112">
        <f t="shared" si="33"/>
        <v>0.83911230223658362</v>
      </c>
      <c r="P84" s="112">
        <f t="shared" si="34"/>
        <v>1.9653095059101534E-4</v>
      </c>
      <c r="Q84" s="113">
        <f t="shared" si="34"/>
        <v>0.87925824393011165</v>
      </c>
      <c r="R84" s="113">
        <f t="shared" si="35"/>
        <v>1.9653095059101534E-4</v>
      </c>
      <c r="S84" s="127">
        <f t="shared" si="36"/>
        <v>1.9692143695597956E-5</v>
      </c>
      <c r="T84" s="128">
        <f t="shared" si="37"/>
        <v>1.9653095059101534E-4</v>
      </c>
      <c r="U84" s="128">
        <f t="shared" si="38"/>
        <v>0.83911230223658362</v>
      </c>
      <c r="V84" s="129">
        <f t="shared" si="39"/>
        <v>1.9653095059101534E-4</v>
      </c>
      <c r="W84" s="129">
        <f t="shared" si="40"/>
        <v>0.87925824393011165</v>
      </c>
    </row>
    <row r="85" spans="2:23" x14ac:dyDescent="0.4">
      <c r="B85" s="122">
        <f t="shared" si="23"/>
        <v>7.8862450220622168E-5</v>
      </c>
      <c r="C85" s="123">
        <f t="shared" si="24"/>
        <v>2.316850831543892</v>
      </c>
      <c r="D85" s="122">
        <f t="shared" si="25"/>
        <v>2.365873506618665E-4</v>
      </c>
      <c r="E85" s="90">
        <v>3</v>
      </c>
      <c r="F85" s="90">
        <f t="shared" si="22"/>
        <v>1</v>
      </c>
      <c r="G85" s="123">
        <f t="shared" si="41"/>
        <v>0.90501042065798565</v>
      </c>
      <c r="H85" s="122">
        <f t="shared" si="26"/>
        <v>2.365873506618665E-4</v>
      </c>
      <c r="I85" s="124">
        <f t="shared" si="27"/>
        <v>0.7765491678304195</v>
      </c>
      <c r="J85" s="125">
        <f t="shared" si="28"/>
        <v>2.3655936828797126E-4</v>
      </c>
      <c r="K85" s="124">
        <f t="shared" si="29"/>
        <v>0.77673288954069508</v>
      </c>
      <c r="L85" s="122">
        <f t="shared" si="30"/>
        <v>2.1411401774485417E-4</v>
      </c>
      <c r="M85" s="126">
        <f t="shared" si="31"/>
        <v>0.89553621343197665</v>
      </c>
      <c r="N85" s="126">
        <f t="shared" si="32"/>
        <v>0.84372313951956601</v>
      </c>
      <c r="O85" s="112">
        <f t="shared" si="33"/>
        <v>0.7765491678304195</v>
      </c>
      <c r="P85" s="112">
        <f t="shared" si="34"/>
        <v>2.1411401774485417E-4</v>
      </c>
      <c r="Q85" s="113">
        <f t="shared" si="34"/>
        <v>0.89553621343197665</v>
      </c>
      <c r="R85" s="113">
        <f t="shared" si="35"/>
        <v>2.1411401774485417E-4</v>
      </c>
      <c r="S85" s="127">
        <f t="shared" si="36"/>
        <v>2.1456981992160567E-5</v>
      </c>
      <c r="T85" s="128">
        <f t="shared" si="37"/>
        <v>2.1411401774485417E-4</v>
      </c>
      <c r="U85" s="128">
        <f t="shared" si="38"/>
        <v>0.7765491678304195</v>
      </c>
      <c r="V85" s="129">
        <f t="shared" si="39"/>
        <v>2.1411401774485417E-4</v>
      </c>
      <c r="W85" s="129">
        <f t="shared" si="40"/>
        <v>0.89553621343197665</v>
      </c>
    </row>
    <row r="86" spans="2:23" x14ac:dyDescent="0.4">
      <c r="B86" s="122">
        <f t="shared" si="23"/>
        <v>7.8862450220622168E-5</v>
      </c>
      <c r="C86" s="123">
        <f t="shared" si="24"/>
        <v>2.316850831543892</v>
      </c>
      <c r="D86" s="122">
        <f t="shared" si="25"/>
        <v>3.1544980088248867E-4</v>
      </c>
      <c r="E86" s="90">
        <v>4</v>
      </c>
      <c r="F86" s="90">
        <f t="shared" si="22"/>
        <v>1</v>
      </c>
      <c r="G86" s="123">
        <f t="shared" si="41"/>
        <v>0.94736009174718483</v>
      </c>
      <c r="H86" s="122">
        <f t="shared" si="26"/>
        <v>3.1544980088248867E-4</v>
      </c>
      <c r="I86" s="124">
        <f t="shared" si="27"/>
        <v>0.5737819135045964</v>
      </c>
      <c r="J86" s="125">
        <f t="shared" si="28"/>
        <v>3.1540005705479066E-4</v>
      </c>
      <c r="K86" s="124">
        <f t="shared" si="29"/>
        <v>0.57396291289496137</v>
      </c>
      <c r="L86" s="122">
        <f t="shared" si="30"/>
        <v>2.9884455230566565E-4</v>
      </c>
      <c r="M86" s="126">
        <f t="shared" si="31"/>
        <v>0.94183404158913842</v>
      </c>
      <c r="N86" s="126">
        <f t="shared" si="32"/>
        <v>0.91070070242492085</v>
      </c>
      <c r="O86" s="112">
        <f t="shared" si="33"/>
        <v>0.5737819135045964</v>
      </c>
      <c r="P86" s="112">
        <f t="shared" si="34"/>
        <v>2.9884455230566565E-4</v>
      </c>
      <c r="Q86" s="113">
        <f t="shared" si="34"/>
        <v>0.94183404158913842</v>
      </c>
      <c r="R86" s="113">
        <f t="shared" si="35"/>
        <v>2.9884455230566565E-4</v>
      </c>
      <c r="S86" s="127">
        <f t="shared" si="36"/>
        <v>2.9969271884237913E-5</v>
      </c>
      <c r="T86" s="128">
        <f t="shared" si="37"/>
        <v>2.9884455230566565E-4</v>
      </c>
      <c r="U86" s="128">
        <f t="shared" si="38"/>
        <v>0.5737819135045964</v>
      </c>
      <c r="V86" s="129">
        <f t="shared" si="39"/>
        <v>2.9884455230566565E-4</v>
      </c>
      <c r="W86" s="129">
        <f t="shared" si="40"/>
        <v>0.94183404158913842</v>
      </c>
    </row>
    <row r="87" spans="2:23" x14ac:dyDescent="0.4">
      <c r="B87" s="122">
        <f t="shared" si="23"/>
        <v>7.8862450220622168E-5</v>
      </c>
      <c r="C87" s="123">
        <f t="shared" si="24"/>
        <v>2.316850831543892</v>
      </c>
      <c r="D87" s="122">
        <f t="shared" si="25"/>
        <v>3.9431225110311081E-4</v>
      </c>
      <c r="E87" s="90">
        <v>5</v>
      </c>
      <c r="F87" s="90">
        <f t="shared" si="22"/>
        <v>1</v>
      </c>
      <c r="G87" s="123">
        <f t="shared" si="41"/>
        <v>0.96605200886837861</v>
      </c>
      <c r="H87" s="122">
        <f t="shared" si="26"/>
        <v>3.9431225110311081E-4</v>
      </c>
      <c r="I87" s="124">
        <f t="shared" si="27"/>
        <v>0.46254695243739019</v>
      </c>
      <c r="J87" s="125">
        <f t="shared" si="28"/>
        <v>3.9423453045764713E-4</v>
      </c>
      <c r="K87" s="124">
        <f t="shared" si="29"/>
        <v>0.46272934036744673</v>
      </c>
      <c r="L87" s="122">
        <f t="shared" si="30"/>
        <v>3.8092614229957275E-4</v>
      </c>
      <c r="M87" s="126">
        <f t="shared" si="31"/>
        <v>0.96240749442392903</v>
      </c>
      <c r="N87" s="126">
        <f t="shared" si="32"/>
        <v>0.94160765887494369</v>
      </c>
      <c r="O87" s="112">
        <f t="shared" si="33"/>
        <v>0.46254695243739019</v>
      </c>
      <c r="P87" s="112">
        <f t="shared" si="34"/>
        <v>3.8092614229957275E-4</v>
      </c>
      <c r="Q87" s="113">
        <f t="shared" si="34"/>
        <v>0.96240749442392903</v>
      </c>
      <c r="R87" s="113">
        <f t="shared" si="35"/>
        <v>3.8092614229957275E-4</v>
      </c>
      <c r="S87" s="127">
        <f t="shared" si="36"/>
        <v>3.8227744406679526E-5</v>
      </c>
      <c r="T87" s="128">
        <f t="shared" si="37"/>
        <v>3.8092614229957275E-4</v>
      </c>
      <c r="U87" s="128">
        <f t="shared" si="38"/>
        <v>0.46254695243739019</v>
      </c>
      <c r="V87" s="129">
        <f t="shared" si="39"/>
        <v>3.8092614229957275E-4</v>
      </c>
      <c r="W87" s="129">
        <f t="shared" si="40"/>
        <v>0.96240749442392903</v>
      </c>
    </row>
    <row r="88" spans="2:23" x14ac:dyDescent="0.4">
      <c r="B88" s="122">
        <f t="shared" si="23"/>
        <v>7.8862450220622168E-5</v>
      </c>
      <c r="C88" s="123">
        <f t="shared" si="24"/>
        <v>2.316850831543892</v>
      </c>
      <c r="D88" s="122">
        <f t="shared" si="25"/>
        <v>4.7317470132373301E-4</v>
      </c>
      <c r="E88" s="90">
        <v>6</v>
      </c>
      <c r="F88" s="90">
        <f t="shared" si="22"/>
        <v>1</v>
      </c>
      <c r="G88" s="123">
        <f t="shared" si="41"/>
        <v>0.97604181304399695</v>
      </c>
      <c r="H88" s="122">
        <f t="shared" si="26"/>
        <v>4.7317470132373301E-4</v>
      </c>
      <c r="I88" s="124">
        <f t="shared" si="27"/>
        <v>0.39172107661247058</v>
      </c>
      <c r="J88" s="125">
        <f t="shared" si="28"/>
        <v>4.7306278947598947E-4</v>
      </c>
      <c r="K88" s="124">
        <f t="shared" si="29"/>
        <v>0.3919064291158989</v>
      </c>
      <c r="L88" s="122">
        <f t="shared" si="30"/>
        <v>4.6183829336656813E-4</v>
      </c>
      <c r="M88" s="126">
        <f t="shared" si="31"/>
        <v>0.97343823879453883</v>
      </c>
      <c r="N88" s="126">
        <f t="shared" si="32"/>
        <v>0.95848150549501054</v>
      </c>
      <c r="O88" s="112">
        <f t="shared" si="33"/>
        <v>0.39172107661247058</v>
      </c>
      <c r="P88" s="112">
        <f t="shared" si="34"/>
        <v>4.6183829336656813E-4</v>
      </c>
      <c r="Q88" s="113">
        <f t="shared" si="34"/>
        <v>0.97343823879453883</v>
      </c>
      <c r="R88" s="113">
        <f t="shared" si="35"/>
        <v>4.6183829336656813E-4</v>
      </c>
      <c r="S88" s="127">
        <f t="shared" si="36"/>
        <v>4.638041349487842E-5</v>
      </c>
      <c r="T88" s="128">
        <f t="shared" si="37"/>
        <v>4.6183829336656813E-4</v>
      </c>
      <c r="U88" s="128">
        <f t="shared" si="38"/>
        <v>0.39172107661247058</v>
      </c>
      <c r="V88" s="129">
        <f t="shared" si="39"/>
        <v>4.6183829336656813E-4</v>
      </c>
      <c r="W88" s="129">
        <f t="shared" si="40"/>
        <v>0.97343823879453883</v>
      </c>
    </row>
    <row r="89" spans="2:23" x14ac:dyDescent="0.4">
      <c r="B89" s="122">
        <f t="shared" si="23"/>
        <v>7.8862450220622168E-5</v>
      </c>
      <c r="C89" s="123">
        <f t="shared" si="24"/>
        <v>2.316850831543892</v>
      </c>
      <c r="D89" s="122">
        <f t="shared" si="25"/>
        <v>5.520371515443552E-4</v>
      </c>
      <c r="E89" s="90">
        <v>7</v>
      </c>
      <c r="F89" s="90">
        <f t="shared" si="22"/>
        <v>1</v>
      </c>
      <c r="G89" s="123">
        <f t="shared" si="41"/>
        <v>0.98205485413073623</v>
      </c>
      <c r="H89" s="122">
        <f t="shared" si="26"/>
        <v>5.520371515443552E-4</v>
      </c>
      <c r="I89" s="124">
        <f t="shared" si="27"/>
        <v>0.34230778195287914</v>
      </c>
      <c r="J89" s="125">
        <f t="shared" si="28"/>
        <v>5.5188483508970061E-4</v>
      </c>
      <c r="K89" s="124">
        <f t="shared" si="29"/>
        <v>0.34249674856577988</v>
      </c>
      <c r="L89" s="122">
        <f t="shared" si="30"/>
        <v>5.4213076433463892E-4</v>
      </c>
      <c r="M89" s="126">
        <f t="shared" si="31"/>
        <v>0.98008986001967224</v>
      </c>
      <c r="N89" s="126">
        <f t="shared" si="32"/>
        <v>0.96876078374848595</v>
      </c>
      <c r="O89" s="112">
        <f t="shared" si="33"/>
        <v>0.34230778195287914</v>
      </c>
      <c r="P89" s="112">
        <f t="shared" si="34"/>
        <v>5.4213076433463892E-4</v>
      </c>
      <c r="Q89" s="113">
        <f t="shared" si="34"/>
        <v>0.98008986001967224</v>
      </c>
      <c r="R89" s="113">
        <f t="shared" si="35"/>
        <v>5.4213076433463892E-4</v>
      </c>
      <c r="S89" s="127">
        <f t="shared" si="36"/>
        <v>5.4482276515634078E-5</v>
      </c>
      <c r="T89" s="128">
        <f t="shared" si="37"/>
        <v>5.4213076433463892E-4</v>
      </c>
      <c r="U89" s="128">
        <f t="shared" si="38"/>
        <v>0.34230778195287914</v>
      </c>
      <c r="V89" s="129">
        <f t="shared" si="39"/>
        <v>5.4213076433463892E-4</v>
      </c>
      <c r="W89" s="129">
        <f t="shared" si="40"/>
        <v>0.98008986001967224</v>
      </c>
    </row>
    <row r="90" spans="2:23" x14ac:dyDescent="0.4">
      <c r="B90" s="122">
        <f t="shared" si="23"/>
        <v>7.8862450220622168E-5</v>
      </c>
      <c r="C90" s="123">
        <f t="shared" si="24"/>
        <v>2.316850831543892</v>
      </c>
      <c r="D90" s="122">
        <f t="shared" si="25"/>
        <v>6.3089960176497734E-4</v>
      </c>
      <c r="E90" s="90">
        <v>8</v>
      </c>
      <c r="F90" s="90">
        <f t="shared" si="22"/>
        <v>1</v>
      </c>
      <c r="G90" s="123">
        <f t="shared" si="41"/>
        <v>0.98597937078812492</v>
      </c>
      <c r="H90" s="122">
        <f t="shared" si="26"/>
        <v>6.3089960176497734E-4</v>
      </c>
      <c r="I90" s="124">
        <f t="shared" si="27"/>
        <v>0.30565339966366262</v>
      </c>
      <c r="J90" s="125">
        <f t="shared" si="28"/>
        <v>6.3070066827820989E-4</v>
      </c>
      <c r="K90" s="124">
        <f t="shared" si="29"/>
        <v>0.30584623627178853</v>
      </c>
      <c r="L90" s="122">
        <f t="shared" si="30"/>
        <v>6.2205399237871091E-4</v>
      </c>
      <c r="M90" s="126">
        <f t="shared" si="31"/>
        <v>0.98443609380750519</v>
      </c>
      <c r="N90" s="126">
        <f t="shared" si="32"/>
        <v>0.97552017743199571</v>
      </c>
      <c r="O90" s="112">
        <f t="shared" si="33"/>
        <v>0.30565339966366262</v>
      </c>
      <c r="P90" s="112">
        <f t="shared" si="34"/>
        <v>6.2205399237871091E-4</v>
      </c>
      <c r="Q90" s="113">
        <f t="shared" si="34"/>
        <v>0.98443609380750519</v>
      </c>
      <c r="R90" s="113">
        <f t="shared" si="35"/>
        <v>6.2205399237871091E-4</v>
      </c>
      <c r="S90" s="127">
        <f t="shared" si="36"/>
        <v>6.2558384793886634E-5</v>
      </c>
      <c r="T90" s="128">
        <f t="shared" si="37"/>
        <v>6.2205399237871091E-4</v>
      </c>
      <c r="U90" s="128">
        <f t="shared" si="38"/>
        <v>0.30565339966366262</v>
      </c>
      <c r="V90" s="129">
        <f t="shared" si="39"/>
        <v>6.2205399237871091E-4</v>
      </c>
      <c r="W90" s="129">
        <f t="shared" si="40"/>
        <v>0.98443609380750519</v>
      </c>
    </row>
    <row r="91" spans="2:23" x14ac:dyDescent="0.4">
      <c r="B91" s="122">
        <f t="shared" si="23"/>
        <v>7.8862450220622168E-5</v>
      </c>
      <c r="C91" s="123">
        <f t="shared" si="24"/>
        <v>2.316850831543892</v>
      </c>
      <c r="D91" s="122">
        <f t="shared" si="25"/>
        <v>7.0976205198559949E-4</v>
      </c>
      <c r="E91" s="90">
        <v>9</v>
      </c>
      <c r="F91" s="90">
        <f t="shared" si="22"/>
        <v>1</v>
      </c>
      <c r="G91" s="123">
        <f t="shared" si="41"/>
        <v>0.98869551379685749</v>
      </c>
      <c r="H91" s="122">
        <f t="shared" si="26"/>
        <v>7.0976205198559949E-4</v>
      </c>
      <c r="I91" s="124">
        <f t="shared" si="27"/>
        <v>0.27724586469196</v>
      </c>
      <c r="J91" s="125">
        <f t="shared" si="28"/>
        <v>7.0951029002071502E-4</v>
      </c>
      <c r="K91" s="124">
        <f t="shared" si="29"/>
        <v>0.27744264328578827</v>
      </c>
      <c r="L91" s="122">
        <f t="shared" si="30"/>
        <v>7.0173855666141416E-4</v>
      </c>
      <c r="M91" s="126">
        <f t="shared" si="31"/>
        <v>0.98744642466333965</v>
      </c>
      <c r="N91" s="126">
        <f t="shared" si="32"/>
        <v>0.98022188077018668</v>
      </c>
      <c r="O91" s="112">
        <f t="shared" si="33"/>
        <v>0.27724586469196</v>
      </c>
      <c r="P91" s="112">
        <f t="shared" si="34"/>
        <v>7.0173855666141416E-4</v>
      </c>
      <c r="Q91" s="113">
        <f t="shared" si="34"/>
        <v>0.98744642466333965</v>
      </c>
      <c r="R91" s="113">
        <f t="shared" si="35"/>
        <v>7.0173855666141416E-4</v>
      </c>
      <c r="S91" s="127">
        <f t="shared" si="36"/>
        <v>7.0621798391532343E-5</v>
      </c>
      <c r="T91" s="128">
        <f t="shared" si="37"/>
        <v>7.0173855666141416E-4</v>
      </c>
      <c r="U91" s="128">
        <f t="shared" si="38"/>
        <v>0.27724586469196</v>
      </c>
      <c r="V91" s="129">
        <f t="shared" si="39"/>
        <v>7.0173855666141416E-4</v>
      </c>
      <c r="W91" s="129">
        <f t="shared" si="40"/>
        <v>0.98744642466333965</v>
      </c>
    </row>
    <row r="92" spans="2:23" x14ac:dyDescent="0.4">
      <c r="B92" s="122">
        <f t="shared" si="23"/>
        <v>7.8862450220622168E-5</v>
      </c>
      <c r="C92" s="123">
        <f t="shared" si="24"/>
        <v>2.316850831543892</v>
      </c>
      <c r="D92" s="122">
        <f t="shared" si="25"/>
        <v>7.8862450220622163E-4</v>
      </c>
      <c r="E92" s="90">
        <v>10</v>
      </c>
      <c r="F92" s="90">
        <f t="shared" si="22"/>
        <v>1</v>
      </c>
      <c r="G92" s="123">
        <f t="shared" si="41"/>
        <v>0.99066080912464061</v>
      </c>
      <c r="H92" s="122">
        <f t="shared" si="26"/>
        <v>7.8862450220622163E-4</v>
      </c>
      <c r="I92" s="124">
        <f t="shared" si="27"/>
        <v>0.25449601779852066</v>
      </c>
      <c r="J92" s="125">
        <f t="shared" si="28"/>
        <v>7.8831370129618227E-4</v>
      </c>
      <c r="K92" s="124">
        <f t="shared" si="29"/>
        <v>0.25469671959387047</v>
      </c>
      <c r="L92" s="122">
        <f t="shared" si="30"/>
        <v>7.8125938745113245E-4</v>
      </c>
      <c r="M92" s="126">
        <f t="shared" si="31"/>
        <v>0.98962578787985045</v>
      </c>
      <c r="N92" s="126">
        <f t="shared" si="32"/>
        <v>0.98363594267367493</v>
      </c>
      <c r="O92" s="112">
        <f t="shared" si="33"/>
        <v>0.25449601779852066</v>
      </c>
      <c r="P92" s="112">
        <f t="shared" ref="P92:Q93" si="42">L92</f>
        <v>7.8125938745113245E-4</v>
      </c>
      <c r="Q92" s="113">
        <f t="shared" si="42"/>
        <v>0.98962578787985045</v>
      </c>
      <c r="R92" s="113">
        <f t="shared" si="35"/>
        <v>7.8125938745113245E-4</v>
      </c>
      <c r="S92" s="127">
        <f t="shared" si="36"/>
        <v>7.868001005687322E-5</v>
      </c>
      <c r="T92" s="128">
        <f t="shared" si="37"/>
        <v>7.8125938745113245E-4</v>
      </c>
      <c r="U92" s="128">
        <f t="shared" si="38"/>
        <v>0.25449601779852066</v>
      </c>
      <c r="V92" s="129">
        <f t="shared" si="39"/>
        <v>7.8125938745113245E-4</v>
      </c>
      <c r="W92" s="129">
        <f t="shared" si="40"/>
        <v>0.98962578787985045</v>
      </c>
    </row>
    <row r="93" spans="2:23" x14ac:dyDescent="0.4">
      <c r="B93" s="122">
        <f t="shared" si="23"/>
        <v>7.8862450220622168E-5</v>
      </c>
      <c r="C93" s="123">
        <f t="shared" si="24"/>
        <v>2.316850831543892</v>
      </c>
      <c r="D93" s="122">
        <f t="shared" si="25"/>
        <v>8.6748695242684388E-4</v>
      </c>
      <c r="E93" s="90">
        <v>11</v>
      </c>
      <c r="F93" s="90">
        <f t="shared" si="22"/>
        <v>1</v>
      </c>
      <c r="G93" s="123">
        <f t="shared" si="41"/>
        <v>0.99213326908630028</v>
      </c>
      <c r="H93" s="122">
        <f t="shared" si="26"/>
        <v>8.6748695242684388E-4</v>
      </c>
      <c r="I93" s="124">
        <f t="shared" si="27"/>
        <v>0.23580810041076047</v>
      </c>
      <c r="J93" s="125">
        <f t="shared" si="28"/>
        <v>8.6711090308334653E-4</v>
      </c>
      <c r="K93" s="124">
        <f t="shared" si="29"/>
        <v>0.23601266086114336</v>
      </c>
      <c r="L93" s="122">
        <f t="shared" si="30"/>
        <v>8.6066266600095642E-4</v>
      </c>
      <c r="M93" s="126">
        <f t="shared" si="31"/>
        <v>0.99125931168126158</v>
      </c>
      <c r="N93" s="126">
        <f t="shared" si="32"/>
        <v>0.98620054753645536</v>
      </c>
      <c r="O93" s="112">
        <f t="shared" si="33"/>
        <v>0.23580810041076047</v>
      </c>
      <c r="P93" s="112">
        <f t="shared" si="42"/>
        <v>8.6066266600095642E-4</v>
      </c>
      <c r="Q93" s="113">
        <f t="shared" si="42"/>
        <v>0.99125931168126158</v>
      </c>
      <c r="R93" s="113">
        <f t="shared" si="35"/>
        <v>8.6066266600095642E-4</v>
      </c>
      <c r="S93" s="127">
        <f t="shared" si="36"/>
        <v>8.6737636465376747E-5</v>
      </c>
      <c r="T93" s="128">
        <f t="shared" si="37"/>
        <v>8.6066266600095642E-4</v>
      </c>
      <c r="U93" s="128">
        <f t="shared" si="38"/>
        <v>0.23580810041076047</v>
      </c>
      <c r="V93" s="129">
        <f t="shared" si="39"/>
        <v>8.6066266600095642E-4</v>
      </c>
      <c r="W93" s="129">
        <f t="shared" si="40"/>
        <v>0.99125931168126158</v>
      </c>
    </row>
    <row r="94" spans="2:23" ht="19.149999999999999" x14ac:dyDescent="0.4"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1"/>
      <c r="P94" s="131"/>
      <c r="Q94" s="131"/>
      <c r="R94" s="131"/>
      <c r="S94" s="131"/>
    </row>
    <row r="95" spans="2:23" ht="19.149999999999999" x14ac:dyDescent="0.4"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</row>
    <row r="96" spans="2:23" ht="16.5" customHeight="1" x14ac:dyDescent="0.4">
      <c r="B96" s="149" t="s">
        <v>95</v>
      </c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</row>
    <row r="97" spans="2:23" ht="16.5" customHeight="1" x14ac:dyDescent="0.4"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</row>
    <row r="98" spans="2:23" ht="16.5" customHeight="1" x14ac:dyDescent="0.4"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</row>
    <row r="99" spans="2:23" ht="16.5" customHeight="1" x14ac:dyDescent="0.4"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</row>
    <row r="100" spans="2:23" ht="16.5" customHeight="1" x14ac:dyDescent="0.4"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</row>
  </sheetData>
  <mergeCells count="11">
    <mergeCell ref="B73:N73"/>
    <mergeCell ref="O73:R73"/>
    <mergeCell ref="T73:W73"/>
    <mergeCell ref="B96:W100"/>
    <mergeCell ref="B1:X1"/>
    <mergeCell ref="B3:B4"/>
    <mergeCell ref="H3:H4"/>
    <mergeCell ref="I3:I4"/>
    <mergeCell ref="B5:O5"/>
    <mergeCell ref="P5:S5"/>
    <mergeCell ref="U5:X5"/>
  </mergeCells>
  <phoneticPr fontId="3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UHPC受压 杨剑、方志</vt:lpstr>
      <vt:lpstr>UHPC受压 单波</vt:lpstr>
      <vt:lpstr>UHPC受压 周传波在马亚峰</vt:lpstr>
      <vt:lpstr>UHPC 受拉 徐海滨</vt:lpstr>
      <vt:lpstr>UHPC 受拉 部分汇总</vt:lpstr>
      <vt:lpstr>混凝土塑形损伤模型参数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Ysx</dc:creator>
  <cp:lastModifiedBy>Ysx</cp:lastModifiedBy>
  <dcterms:created xsi:type="dcterms:W3CDTF">2015-06-05T18:19:00Z</dcterms:created>
  <dcterms:modified xsi:type="dcterms:W3CDTF">2023-12-01T01:31:35Z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113CA442D2114DA7A8062B8883A46845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false</vt:bool>
  </property>
</Properties>
</file>