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sabzeh\Desktop\تحلیل\فسرب\"/>
    </mc:Choice>
  </mc:AlternateContent>
  <xr:revisionPtr revIDLastSave="0" documentId="13_ncr:1_{FA16E326-9C16-4617-9AEC-D3CA38102F32}" xr6:coauthVersionLast="47" xr6:coauthVersionMax="47" xr10:uidLastSave="{00000000-0000-0000-0000-000000000000}"/>
  <bookViews>
    <workbookView xWindow="-120" yWindow="-120" windowWidth="29040" windowHeight="15840" tabRatio="590" xr2:uid="{00000000-000D-0000-FFFF-FFFF00000000}"/>
  </bookViews>
  <sheets>
    <sheet name="فسرب" sheetId="1" r:id="rId1"/>
    <sheet name="Sheet1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12" i="1" l="1"/>
  <c r="AE211" i="1"/>
  <c r="F291" i="1"/>
  <c r="H283" i="1" l="1"/>
  <c r="F283" i="1"/>
  <c r="C2" i="2"/>
  <c r="K8" i="1"/>
  <c r="J120" i="1" l="1"/>
  <c r="I194" i="1"/>
  <c r="I143" i="1"/>
  <c r="K122" i="1"/>
  <c r="K143" i="1" s="1"/>
  <c r="J122" i="1"/>
  <c r="J143" i="1" s="1"/>
  <c r="H210" i="1"/>
  <c r="J181" i="1"/>
  <c r="K181" i="1" s="1"/>
  <c r="C194" i="1"/>
  <c r="D194" i="1"/>
  <c r="E194" i="1"/>
  <c r="F194" i="1"/>
  <c r="F181" i="1" s="1"/>
  <c r="G194" i="1"/>
  <c r="G181" i="1" s="1"/>
  <c r="H194" i="1"/>
  <c r="H181" i="1" s="1"/>
  <c r="H193" i="1"/>
  <c r="E210" i="1"/>
  <c r="F210" i="1"/>
  <c r="G210" i="1"/>
  <c r="D143" i="1"/>
  <c r="E143" i="1"/>
  <c r="F143" i="1"/>
  <c r="F122" i="1" s="1"/>
  <c r="G143" i="1"/>
  <c r="G122" i="1" s="1"/>
  <c r="H143" i="1"/>
  <c r="H122" i="1" s="1"/>
  <c r="C143" i="1"/>
  <c r="I212" i="1" l="1"/>
  <c r="C3" i="2"/>
  <c r="C4" i="2"/>
  <c r="K120" i="1"/>
  <c r="J180" i="1"/>
  <c r="J119" i="1"/>
  <c r="K119" i="1" s="1"/>
  <c r="I64" i="1"/>
  <c r="I139" i="1" l="1"/>
  <c r="I190" i="1"/>
  <c r="H113" i="1"/>
  <c r="H274" i="1"/>
  <c r="H275" i="1" s="1"/>
  <c r="I208" i="1" l="1"/>
  <c r="I3" i="1"/>
  <c r="J3" i="1" s="1"/>
  <c r="G119" i="1"/>
  <c r="J190" i="1"/>
  <c r="J192" i="1"/>
  <c r="I192" i="1"/>
  <c r="C151" i="1"/>
  <c r="J141" i="1"/>
  <c r="J154" i="1" s="1"/>
  <c r="K141" i="1"/>
  <c r="K154" i="1" s="1"/>
  <c r="I141" i="1"/>
  <c r="I154" i="1" s="1"/>
  <c r="J139" i="1"/>
  <c r="K139" i="1"/>
  <c r="I193" i="1"/>
  <c r="H108" i="1"/>
  <c r="C175" i="1"/>
  <c r="D175" i="1"/>
  <c r="E175" i="1"/>
  <c r="F175" i="1"/>
  <c r="G175" i="1"/>
  <c r="H175" i="1"/>
  <c r="H163" i="1" s="1"/>
  <c r="H170" i="1" s="1"/>
  <c r="C153" i="1"/>
  <c r="D153" i="1"/>
  <c r="E153" i="1"/>
  <c r="H153" i="1"/>
  <c r="C152" i="1"/>
  <c r="D152" i="1"/>
  <c r="E152" i="1"/>
  <c r="F152" i="1"/>
  <c r="G152" i="1"/>
  <c r="H152" i="1"/>
  <c r="D151" i="1"/>
  <c r="E151" i="1"/>
  <c r="F151" i="1"/>
  <c r="G151" i="1"/>
  <c r="H151" i="1"/>
  <c r="D131" i="1"/>
  <c r="C201" i="1"/>
  <c r="C210" i="1"/>
  <c r="D210" i="1"/>
  <c r="K3" i="1"/>
  <c r="I246" i="1"/>
  <c r="T259" i="1"/>
  <c r="H317" i="1"/>
  <c r="H314" i="1"/>
  <c r="H313" i="1"/>
  <c r="K180" i="1" l="1"/>
  <c r="K192" i="1" s="1"/>
  <c r="J208" i="1"/>
  <c r="I203" i="1"/>
  <c r="I210" i="1" s="1"/>
  <c r="J203" i="1"/>
  <c r="J210" i="1" s="1"/>
  <c r="J240" i="1"/>
  <c r="K203" i="1" l="1"/>
  <c r="K210" i="1" s="1"/>
  <c r="K240" i="1"/>
  <c r="K246" i="1" s="1"/>
  <c r="J246" i="1"/>
  <c r="H345" i="1"/>
  <c r="J345" i="1"/>
  <c r="J347" i="1" s="1"/>
  <c r="F345" i="1"/>
  <c r="I280" i="1"/>
  <c r="F346" i="1" l="1"/>
  <c r="F347" i="1"/>
  <c r="H346" i="1"/>
  <c r="H347" i="1"/>
  <c r="J346" i="1"/>
  <c r="K346" i="1" l="1"/>
  <c r="C253" i="1" s="1"/>
  <c r="K347" i="1"/>
  <c r="C254" i="1" s="1"/>
  <c r="H308" i="1" l="1"/>
  <c r="H281" i="1" s="1"/>
  <c r="I304" i="1"/>
  <c r="J304" i="1" s="1"/>
  <c r="K304" i="1" s="1"/>
  <c r="I299" i="1"/>
  <c r="I277" i="1" s="1"/>
  <c r="C299" i="1"/>
  <c r="H297" i="1"/>
  <c r="H299" i="1" s="1"/>
  <c r="G297" i="1"/>
  <c r="G299" i="1" s="1"/>
  <c r="F297" i="1"/>
  <c r="F299" i="1" s="1"/>
  <c r="E297" i="1"/>
  <c r="E299" i="1" s="1"/>
  <c r="D297" i="1"/>
  <c r="D299" i="1" s="1"/>
  <c r="C266" i="1"/>
  <c r="D266" i="1"/>
  <c r="E266" i="1"/>
  <c r="F266" i="1"/>
  <c r="G266" i="1"/>
  <c r="H266" i="1"/>
  <c r="I266" i="1" s="1"/>
  <c r="J266" i="1" s="1"/>
  <c r="K266" i="1" s="1"/>
  <c r="J260" i="1"/>
  <c r="K260" i="1" s="1"/>
  <c r="G264" i="1"/>
  <c r="H264" i="1"/>
  <c r="H278" i="1" l="1"/>
  <c r="H279" i="1" s="1"/>
  <c r="H267" i="1"/>
  <c r="H282" i="1" l="1"/>
  <c r="H284" i="1" s="1"/>
  <c r="H318" i="1" s="1"/>
  <c r="H285" i="1" l="1"/>
  <c r="H287" i="1"/>
  <c r="I265" i="1" l="1"/>
  <c r="J265" i="1" s="1"/>
  <c r="K265" i="1" s="1"/>
  <c r="I263" i="1"/>
  <c r="J182" i="1"/>
  <c r="J194" i="1" s="1"/>
  <c r="J212" i="1" s="1"/>
  <c r="K182" i="1" l="1"/>
  <c r="K194" i="1" s="1"/>
  <c r="K212" i="1" s="1"/>
  <c r="J193" i="1"/>
  <c r="J263" i="1"/>
  <c r="H182" i="1"/>
  <c r="K190" i="1"/>
  <c r="K208" i="1" s="1"/>
  <c r="F166" i="1"/>
  <c r="F153" i="1" s="1"/>
  <c r="G166" i="1"/>
  <c r="G153" i="1" s="1"/>
  <c r="D163" i="1"/>
  <c r="D150" i="1" s="1"/>
  <c r="E163" i="1"/>
  <c r="E150" i="1" s="1"/>
  <c r="F163" i="1"/>
  <c r="F150" i="1" s="1"/>
  <c r="G163" i="1"/>
  <c r="G150" i="1" s="1"/>
  <c r="C163" i="1"/>
  <c r="C150" i="1" s="1"/>
  <c r="D133" i="1"/>
  <c r="D128" i="1"/>
  <c r="D129" i="1"/>
  <c r="D130" i="1"/>
  <c r="D127" i="1"/>
  <c r="H119" i="1"/>
  <c r="I35" i="1"/>
  <c r="J35" i="1" s="1"/>
  <c r="D154" i="1" l="1"/>
  <c r="D141" i="1" s="1"/>
  <c r="D146" i="1" s="1"/>
  <c r="C154" i="1"/>
  <c r="C141" i="1" s="1"/>
  <c r="C146" i="1" s="1"/>
  <c r="G154" i="1"/>
  <c r="G141" i="1" s="1"/>
  <c r="F154" i="1"/>
  <c r="F141" i="1" s="1"/>
  <c r="F146" i="1" s="1"/>
  <c r="E154" i="1"/>
  <c r="E141" i="1" s="1"/>
  <c r="E146" i="1" s="1"/>
  <c r="K193" i="1"/>
  <c r="H150" i="1"/>
  <c r="K263" i="1"/>
  <c r="F190" i="1"/>
  <c r="J306" i="1"/>
  <c r="K306" i="1" s="1"/>
  <c r="J307" i="1"/>
  <c r="K307" i="1" s="1"/>
  <c r="D249" i="1"/>
  <c r="E249" i="1"/>
  <c r="F249" i="1"/>
  <c r="G249" i="1"/>
  <c r="H249" i="1"/>
  <c r="D248" i="1"/>
  <c r="E248" i="1"/>
  <c r="F248" i="1"/>
  <c r="G248" i="1"/>
  <c r="H248" i="1"/>
  <c r="D247" i="1"/>
  <c r="E247" i="1"/>
  <c r="F247" i="1"/>
  <c r="G247" i="1"/>
  <c r="H247" i="1"/>
  <c r="D246" i="1"/>
  <c r="D240" i="1" s="1"/>
  <c r="E246" i="1"/>
  <c r="E240" i="1" s="1"/>
  <c r="F246" i="1"/>
  <c r="F240" i="1" s="1"/>
  <c r="G246" i="1"/>
  <c r="G240" i="1" s="1"/>
  <c r="H246" i="1"/>
  <c r="H240" i="1" s="1"/>
  <c r="D245" i="1"/>
  <c r="E245" i="1"/>
  <c r="F245" i="1"/>
  <c r="G245" i="1"/>
  <c r="H245" i="1"/>
  <c r="D244" i="1"/>
  <c r="E244" i="1"/>
  <c r="F244" i="1"/>
  <c r="G244" i="1"/>
  <c r="H244" i="1"/>
  <c r="C249" i="1"/>
  <c r="C248" i="1"/>
  <c r="C247" i="1"/>
  <c r="C246" i="1"/>
  <c r="C245" i="1"/>
  <c r="C244" i="1"/>
  <c r="D243" i="1"/>
  <c r="E243" i="1"/>
  <c r="F243" i="1"/>
  <c r="G243" i="1"/>
  <c r="H243" i="1"/>
  <c r="I243" i="1" s="1"/>
  <c r="J243" i="1" s="1"/>
  <c r="K243" i="1" s="1"/>
  <c r="C243" i="1"/>
  <c r="T260" i="1"/>
  <c r="Q335" i="1"/>
  <c r="Q334" i="1"/>
  <c r="Q333" i="1"/>
  <c r="Q332" i="1"/>
  <c r="G120" i="1" l="1"/>
  <c r="G146" i="1"/>
  <c r="G192" i="1"/>
  <c r="G180" i="1" s="1"/>
  <c r="F120" i="1"/>
  <c r="C120" i="1"/>
  <c r="E192" i="1"/>
  <c r="D120" i="1"/>
  <c r="E120" i="1"/>
  <c r="D192" i="1"/>
  <c r="D180" i="1" s="1"/>
  <c r="H154" i="1"/>
  <c r="H141" i="1" s="1"/>
  <c r="H192" i="1" s="1"/>
  <c r="H180" i="1" s="1"/>
  <c r="C192" i="1"/>
  <c r="F192" i="1"/>
  <c r="H315" i="1"/>
  <c r="H316" i="1" s="1"/>
  <c r="H319" i="1" s="1"/>
  <c r="I247" i="1"/>
  <c r="J247" i="1" s="1"/>
  <c r="D250" i="1"/>
  <c r="D241" i="1" s="1"/>
  <c r="R335" i="1"/>
  <c r="K303" i="1" s="1"/>
  <c r="K308" i="1" s="1"/>
  <c r="K281" i="1" s="1"/>
  <c r="F250" i="1"/>
  <c r="F241" i="1" s="1"/>
  <c r="G250" i="1"/>
  <c r="G241" i="1" s="1"/>
  <c r="C250" i="1"/>
  <c r="C241" i="1" s="1"/>
  <c r="E250" i="1"/>
  <c r="E241" i="1" s="1"/>
  <c r="H250" i="1"/>
  <c r="H241" i="1" s="1"/>
  <c r="R333" i="1"/>
  <c r="I303" i="1" s="1"/>
  <c r="I308" i="1" s="1"/>
  <c r="I281" i="1" s="1"/>
  <c r="R334" i="1"/>
  <c r="J303" i="1" s="1"/>
  <c r="J308" i="1" s="1"/>
  <c r="J281" i="1" s="1"/>
  <c r="H120" i="1" l="1"/>
  <c r="H146" i="1"/>
  <c r="I315" i="1"/>
  <c r="K247" i="1"/>
  <c r="K315" i="1" s="1"/>
  <c r="J315" i="1"/>
  <c r="J296" i="1"/>
  <c r="H49" i="1"/>
  <c r="K296" i="1" l="1"/>
  <c r="K299" i="1" s="1"/>
  <c r="K277" i="1" s="1"/>
  <c r="J299" i="1"/>
  <c r="J277" i="1" s="1"/>
  <c r="H81" i="1"/>
  <c r="H77" i="1"/>
  <c r="I76" i="1"/>
  <c r="J76" i="1" s="1"/>
  <c r="K76" i="1" s="1"/>
  <c r="I69" i="1"/>
  <c r="I68" i="1"/>
  <c r="I65" i="1"/>
  <c r="I36" i="1"/>
  <c r="Q61" i="1"/>
  <c r="Q62" i="1" s="1"/>
  <c r="I61" i="1" s="1"/>
  <c r="G66" i="1"/>
  <c r="G61" i="1" s="1"/>
  <c r="D66" i="1"/>
  <c r="D61" i="1" s="1"/>
  <c r="F66" i="1"/>
  <c r="F61" i="1" s="1"/>
  <c r="J60" i="1"/>
  <c r="K60" i="1" s="1"/>
  <c r="K68" i="1" s="1"/>
  <c r="J59" i="1"/>
  <c r="J69" i="1" s="1"/>
  <c r="J58" i="1"/>
  <c r="K58" i="1" s="1"/>
  <c r="K64" i="1" s="1"/>
  <c r="J57" i="1"/>
  <c r="J65" i="1" s="1"/>
  <c r="H53" i="1"/>
  <c r="C41" i="1"/>
  <c r="E41" i="1"/>
  <c r="F41" i="1"/>
  <c r="G41" i="1"/>
  <c r="H41" i="1"/>
  <c r="I41" i="1" s="1"/>
  <c r="I47" i="1" s="1"/>
  <c r="D41" i="1"/>
  <c r="H40" i="1"/>
  <c r="H36" i="1"/>
  <c r="H123" i="1" s="1"/>
  <c r="D36" i="1"/>
  <c r="D121" i="1" s="1"/>
  <c r="E36" i="1"/>
  <c r="F36" i="1"/>
  <c r="G36" i="1"/>
  <c r="C36" i="1"/>
  <c r="I29" i="1"/>
  <c r="J29" i="1" s="1"/>
  <c r="K29" i="1" s="1"/>
  <c r="I28" i="1"/>
  <c r="J28" i="1" s="1"/>
  <c r="K28" i="1" s="1"/>
  <c r="D109" i="1"/>
  <c r="D108" i="1"/>
  <c r="D112" i="1"/>
  <c r="E112" i="1"/>
  <c r="F112" i="1"/>
  <c r="G112" i="1"/>
  <c r="H112" i="1"/>
  <c r="H110" i="1"/>
  <c r="E109" i="1"/>
  <c r="F109" i="1"/>
  <c r="G109" i="1"/>
  <c r="H109" i="1"/>
  <c r="E108" i="1"/>
  <c r="F108" i="1"/>
  <c r="G108" i="1"/>
  <c r="C109" i="1"/>
  <c r="C112" i="1"/>
  <c r="C108" i="1"/>
  <c r="C66" i="1"/>
  <c r="I109" i="1" l="1"/>
  <c r="J109" i="1" s="1"/>
  <c r="J61" i="1"/>
  <c r="K61" i="1" s="1"/>
  <c r="K66" i="1" s="1"/>
  <c r="I66" i="1"/>
  <c r="E121" i="1"/>
  <c r="F121" i="1"/>
  <c r="G121" i="1"/>
  <c r="H121" i="1"/>
  <c r="I121" i="1" s="1"/>
  <c r="I142" i="1" s="1"/>
  <c r="H82" i="1"/>
  <c r="H106" i="1" s="1"/>
  <c r="I48" i="1"/>
  <c r="K59" i="1"/>
  <c r="K69" i="1" s="1"/>
  <c r="J68" i="1"/>
  <c r="K57" i="1"/>
  <c r="K65" i="1" s="1"/>
  <c r="J64" i="1"/>
  <c r="I52" i="1"/>
  <c r="I80" i="1" s="1"/>
  <c r="J41" i="1"/>
  <c r="H111" i="1"/>
  <c r="H117" i="1" s="1"/>
  <c r="J48" i="1"/>
  <c r="J66" i="1" l="1"/>
  <c r="I211" i="1"/>
  <c r="K109" i="1"/>
  <c r="H84" i="1"/>
  <c r="H83" i="1"/>
  <c r="H114" i="1"/>
  <c r="H115" i="1"/>
  <c r="H116" i="1"/>
  <c r="H260" i="1"/>
  <c r="H290" i="1"/>
  <c r="H291" i="1" s="1"/>
  <c r="J121" i="1"/>
  <c r="J142" i="1" s="1"/>
  <c r="J75" i="1"/>
  <c r="I75" i="1"/>
  <c r="I74" i="1"/>
  <c r="J47" i="1"/>
  <c r="J52" i="1"/>
  <c r="J80" i="1" s="1"/>
  <c r="K41" i="1"/>
  <c r="J36" i="1"/>
  <c r="K35" i="1"/>
  <c r="H54" i="1"/>
  <c r="H4" i="1"/>
  <c r="H3" i="1"/>
  <c r="E119" i="1"/>
  <c r="I123" i="1"/>
  <c r="I145" i="1" s="1"/>
  <c r="I146" i="1" s="1"/>
  <c r="D119" i="1"/>
  <c r="F119" i="1"/>
  <c r="C121" i="1"/>
  <c r="C119" i="1"/>
  <c r="D19" i="1"/>
  <c r="F19" i="1"/>
  <c r="J211" i="1" l="1"/>
  <c r="H23" i="1"/>
  <c r="J123" i="1"/>
  <c r="J145" i="1" s="1"/>
  <c r="J146" i="1" s="1"/>
  <c r="K121" i="1"/>
  <c r="K142" i="1" s="1"/>
  <c r="H22" i="1"/>
  <c r="J74" i="1"/>
  <c r="K47" i="1"/>
  <c r="K52" i="1"/>
  <c r="K80" i="1" s="1"/>
  <c r="K36" i="1"/>
  <c r="K48" i="1"/>
  <c r="K75" i="1" s="1"/>
  <c r="F68" i="1"/>
  <c r="K211" i="1" l="1"/>
  <c r="H24" i="1"/>
  <c r="K123" i="1"/>
  <c r="K145" i="1" s="1"/>
  <c r="K146" i="1" s="1"/>
  <c r="K74" i="1"/>
  <c r="F15" i="1"/>
  <c r="F60" i="1"/>
  <c r="D190" i="1"/>
  <c r="D179" i="1" s="1"/>
  <c r="E190" i="1"/>
  <c r="E179" i="1" s="1"/>
  <c r="F179" i="1"/>
  <c r="G190" i="1"/>
  <c r="G179" i="1" s="1"/>
  <c r="H190" i="1"/>
  <c r="H179" i="1" s="1"/>
  <c r="D191" i="1"/>
  <c r="E191" i="1"/>
  <c r="F191" i="1"/>
  <c r="G191" i="1"/>
  <c r="H191" i="1"/>
  <c r="D193" i="1"/>
  <c r="D182" i="1" s="1"/>
  <c r="E193" i="1"/>
  <c r="E182" i="1" s="1"/>
  <c r="F193" i="1"/>
  <c r="F182" i="1" s="1"/>
  <c r="G193" i="1"/>
  <c r="G182" i="1" s="1"/>
  <c r="D195" i="1"/>
  <c r="E195" i="1"/>
  <c r="F195" i="1"/>
  <c r="G195" i="1"/>
  <c r="H195" i="1"/>
  <c r="D196" i="1"/>
  <c r="E196" i="1"/>
  <c r="F196" i="1"/>
  <c r="G196" i="1"/>
  <c r="H196" i="1"/>
  <c r="I196" i="1" s="1"/>
  <c r="I214" i="1" s="1"/>
  <c r="I215" i="1" s="1"/>
  <c r="C191" i="1"/>
  <c r="C193" i="1"/>
  <c r="C195" i="1"/>
  <c r="C196" i="1"/>
  <c r="C190" i="1"/>
  <c r="C64" i="1"/>
  <c r="C16" i="1" s="1"/>
  <c r="D215" i="1"/>
  <c r="D155" i="1" s="1"/>
  <c r="E215" i="1"/>
  <c r="E155" i="1" s="1"/>
  <c r="G215" i="1"/>
  <c r="G155" i="1" s="1"/>
  <c r="D170" i="1"/>
  <c r="E170" i="1"/>
  <c r="F170" i="1"/>
  <c r="G170" i="1"/>
  <c r="H215" i="1"/>
  <c r="H155" i="1" s="1"/>
  <c r="H156" i="1" s="1"/>
  <c r="D69" i="1"/>
  <c r="E69" i="1"/>
  <c r="F69" i="1"/>
  <c r="F17" i="1" s="1"/>
  <c r="G69" i="1"/>
  <c r="H69" i="1"/>
  <c r="D68" i="1"/>
  <c r="E68" i="1"/>
  <c r="G68" i="1"/>
  <c r="H68" i="1"/>
  <c r="H15" i="1" s="1"/>
  <c r="E66" i="1"/>
  <c r="E19" i="1" s="1"/>
  <c r="G19" i="1"/>
  <c r="H66" i="1"/>
  <c r="H19" i="1" s="1"/>
  <c r="D65" i="1"/>
  <c r="E65" i="1"/>
  <c r="F65" i="1"/>
  <c r="G65" i="1"/>
  <c r="H65" i="1"/>
  <c r="H64" i="1"/>
  <c r="C69" i="1"/>
  <c r="C17" i="1" s="1"/>
  <c r="C68" i="1"/>
  <c r="C15" i="1" s="1"/>
  <c r="C65" i="1"/>
  <c r="C18" i="1" s="1"/>
  <c r="C19" i="1"/>
  <c r="D81" i="1"/>
  <c r="E81" i="1"/>
  <c r="F81" i="1"/>
  <c r="G81" i="1"/>
  <c r="C81" i="1"/>
  <c r="C77" i="1"/>
  <c r="D53" i="1"/>
  <c r="E53" i="1"/>
  <c r="F53" i="1"/>
  <c r="G53" i="1"/>
  <c r="C53" i="1"/>
  <c r="C49" i="1"/>
  <c r="C88" i="1"/>
  <c r="C307" i="1"/>
  <c r="C308" i="1" s="1"/>
  <c r="C281" i="1" s="1"/>
  <c r="C267" i="1"/>
  <c r="C276" i="1" s="1"/>
  <c r="C100" i="1"/>
  <c r="C113" i="1" s="1"/>
  <c r="D277" i="1"/>
  <c r="E308" i="1"/>
  <c r="E281" i="1" s="1"/>
  <c r="E277" i="1"/>
  <c r="D267" i="1"/>
  <c r="D276" i="1" s="1"/>
  <c r="E267" i="1"/>
  <c r="E276" i="1" s="1"/>
  <c r="E100" i="1"/>
  <c r="E237" i="1"/>
  <c r="E97" i="1" s="1"/>
  <c r="E98" i="1" s="1"/>
  <c r="E91" i="1"/>
  <c r="E228" i="1"/>
  <c r="E88" i="1" s="1"/>
  <c r="E73" i="1"/>
  <c r="E77" i="1" s="1"/>
  <c r="E46" i="1"/>
  <c r="D100" i="1"/>
  <c r="D91" i="1"/>
  <c r="D73" i="1"/>
  <c r="D77" i="1" s="1"/>
  <c r="D46" i="1"/>
  <c r="F100" i="1"/>
  <c r="F308" i="1"/>
  <c r="F281" i="1" s="1"/>
  <c r="C277" i="1"/>
  <c r="D308" i="1"/>
  <c r="D281" i="1" s="1"/>
  <c r="F277" i="1"/>
  <c r="G156" i="1" l="1"/>
  <c r="E156" i="1"/>
  <c r="D156" i="1"/>
  <c r="I108" i="1"/>
  <c r="I155" i="1"/>
  <c r="I156" i="1" s="1"/>
  <c r="F180" i="1"/>
  <c r="E180" i="1"/>
  <c r="J196" i="1"/>
  <c r="J214" i="1" s="1"/>
  <c r="D113" i="1"/>
  <c r="D17" i="1"/>
  <c r="D59" i="1"/>
  <c r="G18" i="1"/>
  <c r="G57" i="1"/>
  <c r="F18" i="1"/>
  <c r="F57" i="1"/>
  <c r="E15" i="1"/>
  <c r="E60" i="1"/>
  <c r="F59" i="1"/>
  <c r="H16" i="1"/>
  <c r="H58" i="1"/>
  <c r="E18" i="1"/>
  <c r="E57" i="1"/>
  <c r="D15" i="1"/>
  <c r="D60" i="1"/>
  <c r="E17" i="1"/>
  <c r="E59" i="1"/>
  <c r="H18" i="1"/>
  <c r="H57" i="1"/>
  <c r="D18" i="1"/>
  <c r="D57" i="1"/>
  <c r="H17" i="1"/>
  <c r="H59" i="1"/>
  <c r="G15" i="1"/>
  <c r="G60" i="1"/>
  <c r="G17" i="1"/>
  <c r="G59" i="1"/>
  <c r="D49" i="1"/>
  <c r="D54" i="1" s="1"/>
  <c r="D23" i="1" s="1"/>
  <c r="D40" i="1"/>
  <c r="E49" i="1"/>
  <c r="E54" i="1" s="1"/>
  <c r="E23" i="1" s="1"/>
  <c r="E40" i="1"/>
  <c r="E89" i="1"/>
  <c r="E92" i="1" s="1"/>
  <c r="E110" i="1"/>
  <c r="E113" i="1"/>
  <c r="G123" i="1"/>
  <c r="F123" i="1"/>
  <c r="E123" i="1"/>
  <c r="C123" i="1"/>
  <c r="D123" i="1"/>
  <c r="F215" i="1"/>
  <c r="F155" i="1" s="1"/>
  <c r="F156" i="1" s="1"/>
  <c r="C215" i="1"/>
  <c r="C155" i="1" s="1"/>
  <c r="C156" i="1" s="1"/>
  <c r="C54" i="1"/>
  <c r="C170" i="1"/>
  <c r="E64" i="1"/>
  <c r="D64" i="1"/>
  <c r="D82" i="1"/>
  <c r="D106" i="1" s="1"/>
  <c r="E82" i="1"/>
  <c r="E84" i="1" s="1"/>
  <c r="C82" i="1"/>
  <c r="C84" i="1" s="1"/>
  <c r="E238" i="1"/>
  <c r="E101" i="1"/>
  <c r="F267" i="1"/>
  <c r="F276" i="1" s="1"/>
  <c r="D237" i="1"/>
  <c r="F237" i="1"/>
  <c r="F91" i="1"/>
  <c r="F113" i="1" s="1"/>
  <c r="C237" i="1"/>
  <c r="C238" i="1" s="1"/>
  <c r="D228" i="1"/>
  <c r="D88" i="1" s="1"/>
  <c r="F228" i="1"/>
  <c r="F88" i="1" s="1"/>
  <c r="E273" i="1" l="1"/>
  <c r="C83" i="1"/>
  <c r="E83" i="1"/>
  <c r="E111" i="1"/>
  <c r="E117" i="1" s="1"/>
  <c r="D83" i="1"/>
  <c r="D84" i="1"/>
  <c r="C260" i="1"/>
  <c r="C106" i="1"/>
  <c r="E260" i="1"/>
  <c r="E106" i="1"/>
  <c r="D260" i="1"/>
  <c r="D22" i="1"/>
  <c r="D24" i="1" s="1"/>
  <c r="K196" i="1"/>
  <c r="K214" i="1" s="1"/>
  <c r="E16" i="1"/>
  <c r="E58" i="1"/>
  <c r="D16" i="1"/>
  <c r="D58" i="1"/>
  <c r="F89" i="1"/>
  <c r="F92" i="1" s="1"/>
  <c r="D89" i="1"/>
  <c r="D92" i="1" s="1"/>
  <c r="E22" i="1"/>
  <c r="E24" i="1" s="1"/>
  <c r="F97" i="1"/>
  <c r="F98" i="1" s="1"/>
  <c r="F101" i="1" s="1"/>
  <c r="F238" i="1"/>
  <c r="D97" i="1"/>
  <c r="D98" i="1" s="1"/>
  <c r="D101" i="1" s="1"/>
  <c r="D238" i="1"/>
  <c r="E103" i="1"/>
  <c r="C89" i="1"/>
  <c r="C92" i="1" s="1"/>
  <c r="C97" i="1"/>
  <c r="F46" i="1"/>
  <c r="F73" i="1"/>
  <c r="G277" i="1"/>
  <c r="G308" i="1"/>
  <c r="G281" i="1" s="1"/>
  <c r="G265" i="1"/>
  <c r="G263" i="1"/>
  <c r="G100" i="1"/>
  <c r="G237" i="1"/>
  <c r="G91" i="1"/>
  <c r="G228" i="1"/>
  <c r="G88" i="1" s="1"/>
  <c r="G73" i="1"/>
  <c r="G46" i="1"/>
  <c r="E114" i="1" l="1"/>
  <c r="E115" i="1"/>
  <c r="E116" i="1"/>
  <c r="E274" i="1"/>
  <c r="E275" i="1" s="1"/>
  <c r="E278" i="1" s="1"/>
  <c r="E290" i="1"/>
  <c r="E291" i="1" s="1"/>
  <c r="J215" i="1"/>
  <c r="K215" i="1"/>
  <c r="G49" i="1"/>
  <c r="G54" i="1" s="1"/>
  <c r="G23" i="1" s="1"/>
  <c r="G40" i="1"/>
  <c r="I40" i="1" s="1"/>
  <c r="I46" i="1" s="1"/>
  <c r="F49" i="1"/>
  <c r="F54" i="1" s="1"/>
  <c r="F23" i="1" s="1"/>
  <c r="F40" i="1"/>
  <c r="D110" i="1"/>
  <c r="G89" i="1"/>
  <c r="G92" i="1" s="1"/>
  <c r="G113" i="1"/>
  <c r="C98" i="1"/>
  <c r="C101" i="1" s="1"/>
  <c r="C103" i="1" s="1"/>
  <c r="C110" i="1"/>
  <c r="D103" i="1"/>
  <c r="F110" i="1"/>
  <c r="G77" i="1"/>
  <c r="G64" i="1"/>
  <c r="F77" i="1"/>
  <c r="F64" i="1"/>
  <c r="D273" i="1"/>
  <c r="F103" i="1"/>
  <c r="G97" i="1"/>
  <c r="G98" i="1" s="1"/>
  <c r="G101" i="1" s="1"/>
  <c r="G238" i="1"/>
  <c r="F273" i="1"/>
  <c r="G267" i="1"/>
  <c r="G276" i="1" s="1"/>
  <c r="J108" i="1" l="1"/>
  <c r="J155" i="1"/>
  <c r="J156" i="1" s="1"/>
  <c r="K108" i="1"/>
  <c r="K155" i="1"/>
  <c r="K156" i="1" s="1"/>
  <c r="F82" i="1"/>
  <c r="F84" i="1" s="1"/>
  <c r="C111" i="1"/>
  <c r="D111" i="1"/>
  <c r="D117" i="1" s="1"/>
  <c r="G82" i="1"/>
  <c r="G84" i="1" s="1"/>
  <c r="F111" i="1"/>
  <c r="F117" i="1" s="1"/>
  <c r="F274" i="1"/>
  <c r="F275" i="1" s="1"/>
  <c r="F278" i="1" s="1"/>
  <c r="D274" i="1"/>
  <c r="D275" i="1" s="1"/>
  <c r="D278" i="1" s="1"/>
  <c r="D290" i="1"/>
  <c r="D291" i="1" s="1"/>
  <c r="E279" i="1"/>
  <c r="E282" i="1" s="1"/>
  <c r="E284" i="1" s="1"/>
  <c r="G16" i="1"/>
  <c r="G58" i="1"/>
  <c r="F16" i="1"/>
  <c r="F58" i="1"/>
  <c r="I51" i="1"/>
  <c r="J40" i="1"/>
  <c r="G110" i="1"/>
  <c r="C273" i="1"/>
  <c r="G103" i="1"/>
  <c r="G273" i="1"/>
  <c r="C117" i="1" l="1"/>
  <c r="C115" i="1"/>
  <c r="G260" i="1"/>
  <c r="G83" i="1"/>
  <c r="F22" i="1"/>
  <c r="F24" i="1" s="1"/>
  <c r="F290" i="1"/>
  <c r="F106" i="1"/>
  <c r="F260" i="1"/>
  <c r="G22" i="1"/>
  <c r="G24" i="1" s="1"/>
  <c r="G106" i="1"/>
  <c r="F83" i="1"/>
  <c r="C114" i="1"/>
  <c r="C116" i="1"/>
  <c r="F114" i="1"/>
  <c r="F116" i="1"/>
  <c r="F115" i="1"/>
  <c r="G111" i="1"/>
  <c r="G117" i="1" s="1"/>
  <c r="D114" i="1"/>
  <c r="D115" i="1"/>
  <c r="D116" i="1"/>
  <c r="E285" i="1"/>
  <c r="E287" i="1"/>
  <c r="G274" i="1"/>
  <c r="G275" i="1" s="1"/>
  <c r="G278" i="1" s="1"/>
  <c r="G290" i="1"/>
  <c r="G291" i="1" s="1"/>
  <c r="C274" i="1"/>
  <c r="C275" i="1" s="1"/>
  <c r="C278" i="1" s="1"/>
  <c r="C290" i="1"/>
  <c r="C291" i="1" s="1"/>
  <c r="F279" i="1"/>
  <c r="F282" i="1" s="1"/>
  <c r="F284" i="1" s="1"/>
  <c r="D279" i="1"/>
  <c r="D282" i="1" s="1"/>
  <c r="D284" i="1" s="1"/>
  <c r="I73" i="1"/>
  <c r="I77" i="1" s="1"/>
  <c r="I49" i="1"/>
  <c r="I53" i="1"/>
  <c r="I79" i="1"/>
  <c r="I81" i="1" s="1"/>
  <c r="K40" i="1"/>
  <c r="J46" i="1"/>
  <c r="J51" i="1"/>
  <c r="G114" i="1" l="1"/>
  <c r="G116" i="1"/>
  <c r="G115" i="1"/>
  <c r="D285" i="1"/>
  <c r="D287" i="1"/>
  <c r="F285" i="1"/>
  <c r="F287" i="1"/>
  <c r="C279" i="1"/>
  <c r="C282" i="1" s="1"/>
  <c r="C284" i="1" s="1"/>
  <c r="G279" i="1"/>
  <c r="G282" i="1" s="1"/>
  <c r="G284" i="1" s="1"/>
  <c r="I82" i="1"/>
  <c r="I84" i="1" s="1"/>
  <c r="I54" i="1"/>
  <c r="J73" i="1"/>
  <c r="J77" i="1" s="1"/>
  <c r="J49" i="1"/>
  <c r="J53" i="1"/>
  <c r="J79" i="1"/>
  <c r="J81" i="1" s="1"/>
  <c r="K46" i="1"/>
  <c r="K51" i="1"/>
  <c r="I83" i="1" l="1"/>
  <c r="I253" i="1"/>
  <c r="I254" i="1"/>
  <c r="I244" i="1"/>
  <c r="I248" i="1"/>
  <c r="I23" i="1"/>
  <c r="I106" i="1"/>
  <c r="I22" i="1"/>
  <c r="G285" i="1"/>
  <c r="G287" i="1"/>
  <c r="C285" i="1"/>
  <c r="C287" i="1"/>
  <c r="I264" i="1"/>
  <c r="I267" i="1" s="1"/>
  <c r="I276" i="1" s="1"/>
  <c r="I317" i="1" s="1"/>
  <c r="I272" i="1"/>
  <c r="I313" i="1" s="1"/>
  <c r="J82" i="1"/>
  <c r="J83" i="1" s="1"/>
  <c r="I249" i="1"/>
  <c r="K73" i="1"/>
  <c r="K77" i="1" s="1"/>
  <c r="K49" i="1"/>
  <c r="J54" i="1"/>
  <c r="K53" i="1"/>
  <c r="K79" i="1"/>
  <c r="K81" i="1" s="1"/>
  <c r="J248" i="1" l="1"/>
  <c r="J84" i="1"/>
  <c r="J106" i="1"/>
  <c r="J22" i="1"/>
  <c r="J253" i="1"/>
  <c r="J254" i="1"/>
  <c r="J23" i="1"/>
  <c r="I24" i="1"/>
  <c r="J244" i="1"/>
  <c r="I255" i="1"/>
  <c r="I245" i="1" s="1"/>
  <c r="I250" i="1" s="1"/>
  <c r="I110" i="1" s="1"/>
  <c r="J264" i="1"/>
  <c r="J267" i="1" s="1"/>
  <c r="J276" i="1" s="1"/>
  <c r="J317" i="1" s="1"/>
  <c r="J272" i="1"/>
  <c r="J313" i="1" s="1"/>
  <c r="K82" i="1"/>
  <c r="J249" i="1"/>
  <c r="K54" i="1"/>
  <c r="K84" i="1" l="1"/>
  <c r="K106" i="1"/>
  <c r="K248" i="1"/>
  <c r="I111" i="1"/>
  <c r="I117" i="1" s="1"/>
  <c r="I241" i="1"/>
  <c r="K83" i="1"/>
  <c r="J24" i="1"/>
  <c r="K22" i="1"/>
  <c r="K254" i="1"/>
  <c r="K253" i="1"/>
  <c r="K23" i="1"/>
  <c r="K244" i="1"/>
  <c r="J255" i="1"/>
  <c r="J245" i="1" s="1"/>
  <c r="J250" i="1" s="1"/>
  <c r="J110" i="1" s="1"/>
  <c r="K264" i="1"/>
  <c r="K267" i="1" s="1"/>
  <c r="K272" i="1"/>
  <c r="K313" i="1" s="1"/>
  <c r="K249" i="1"/>
  <c r="J241" i="1" l="1"/>
  <c r="J111" i="1"/>
  <c r="J117" i="1" s="1"/>
  <c r="I114" i="1"/>
  <c r="I273" i="1" s="1"/>
  <c r="I116" i="1"/>
  <c r="I115" i="1"/>
  <c r="K24" i="1"/>
  <c r="K276" i="1"/>
  <c r="K317" i="1" s="1"/>
  <c r="K255" i="1"/>
  <c r="K245" i="1" s="1"/>
  <c r="K250" i="1" s="1"/>
  <c r="K110" i="1" s="1"/>
  <c r="K111" i="1" l="1"/>
  <c r="K117" i="1" s="1"/>
  <c r="I314" i="1"/>
  <c r="I316" i="1" s="1"/>
  <c r="I274" i="1"/>
  <c r="I290" i="1"/>
  <c r="I283" i="1" s="1"/>
  <c r="J114" i="1"/>
  <c r="J273" i="1" s="1"/>
  <c r="J116" i="1"/>
  <c r="J115" i="1"/>
  <c r="K241" i="1"/>
  <c r="J314" i="1" l="1"/>
  <c r="J316" i="1" s="1"/>
  <c r="J274" i="1"/>
  <c r="J275" i="1" s="1"/>
  <c r="J278" i="1" s="1"/>
  <c r="J279" i="1" s="1"/>
  <c r="J282" i="1" s="1"/>
  <c r="J290" i="1"/>
  <c r="J283" i="1" s="1"/>
  <c r="I275" i="1"/>
  <c r="I278" i="1" s="1"/>
  <c r="I279" i="1" s="1"/>
  <c r="I282" i="1" s="1"/>
  <c r="I284" i="1" s="1"/>
  <c r="K114" i="1"/>
  <c r="K273" i="1" s="1"/>
  <c r="K116" i="1"/>
  <c r="K115" i="1"/>
  <c r="I287" i="1" l="1"/>
  <c r="I318" i="1"/>
  <c r="I319" i="1" s="1"/>
  <c r="I285" i="1"/>
  <c r="K314" i="1"/>
  <c r="K316" i="1" s="1"/>
  <c r="K274" i="1"/>
  <c r="K290" i="1"/>
  <c r="K283" i="1" s="1"/>
  <c r="J284" i="1"/>
  <c r="P6" i="1" l="1"/>
  <c r="AE6" i="1"/>
  <c r="J287" i="1"/>
  <c r="J285" i="1"/>
  <c r="J318" i="1"/>
  <c r="J319" i="1" s="1"/>
  <c r="K275" i="1"/>
  <c r="K278" i="1" s="1"/>
  <c r="K279" i="1" s="1"/>
  <c r="K282" i="1" s="1"/>
  <c r="K284" i="1" s="1"/>
  <c r="Q272" i="1" s="1"/>
  <c r="Q275" i="1" l="1"/>
  <c r="K287" i="1"/>
  <c r="K285" i="1"/>
  <c r="K318" i="1"/>
  <c r="K319" i="1" s="1"/>
</calcChain>
</file>

<file path=xl/sharedStrings.xml><?xml version="1.0" encoding="utf-8"?>
<sst xmlns="http://schemas.openxmlformats.org/spreadsheetml/2006/main" count="366" uniqueCount="225">
  <si>
    <t>مفروضات</t>
  </si>
  <si>
    <t>مقدار ظرفیت(تن)</t>
  </si>
  <si>
    <t>مقدار تولید(تن)</t>
  </si>
  <si>
    <t>مجموع</t>
  </si>
  <si>
    <t>مقدار فروش داخلی(تن)</t>
  </si>
  <si>
    <t>مقدار فروش صادراتی(تن)</t>
  </si>
  <si>
    <t>نرخ فروش داخلی(ریال برای هر تن)</t>
  </si>
  <si>
    <t>نرخ فروش صادراتی(ریال برای هرتن)</t>
  </si>
  <si>
    <t>مبلغ فروش داخلی(میلیون ریال)</t>
  </si>
  <si>
    <t>مبلغ فروش صادراتی(میلیون ریال)</t>
  </si>
  <si>
    <t>بهای تمام شده کالای فروش رفته</t>
  </si>
  <si>
    <t xml:space="preserve"> مواد مستقیم</t>
  </si>
  <si>
    <t>دستمزد مستقیم</t>
  </si>
  <si>
    <t xml:space="preserve"> سربار</t>
  </si>
  <si>
    <t>جمع هزینه های تولیدی</t>
  </si>
  <si>
    <t>کاهش (افزایش) موجودی انبار</t>
  </si>
  <si>
    <t>مجموع بهای تمام شده کالای  فروش رفته</t>
  </si>
  <si>
    <t>بهای تمام شده دلاری هر تن</t>
  </si>
  <si>
    <t>نسبت مواد به تولید</t>
  </si>
  <si>
    <t>مقدار مواد مصرفی</t>
  </si>
  <si>
    <t>جمع</t>
  </si>
  <si>
    <t>نرخ مواد مصرفی</t>
  </si>
  <si>
    <t>مبلغ مواد مصرفی</t>
  </si>
  <si>
    <t>سایر</t>
  </si>
  <si>
    <t>حقوق و دستمزد</t>
  </si>
  <si>
    <t>استهلاک</t>
  </si>
  <si>
    <t>هزینه عمومی اداری و فروش(میلیون ریال)</t>
  </si>
  <si>
    <t>استهلاك</t>
  </si>
  <si>
    <t>صورت سود و زیان</t>
  </si>
  <si>
    <t>فروش</t>
  </si>
  <si>
    <t>سود (زیان) ناخالص</t>
  </si>
  <si>
    <t>حاشیه سود ناخالص</t>
  </si>
  <si>
    <t>هزینه های عمومی, اداری و تشکیلاتی</t>
  </si>
  <si>
    <t>سود (زیان) عملیاتی</t>
  </si>
  <si>
    <t>حاشیه سود عملیاتی</t>
  </si>
  <si>
    <t>هزینه های مالی</t>
  </si>
  <si>
    <t>خالص  درامدها و هزینه های غیرعملیاتی</t>
  </si>
  <si>
    <t>سود قبل از مالیات</t>
  </si>
  <si>
    <t>سود (زیان) خالص</t>
  </si>
  <si>
    <t>حاشیه سود خالص</t>
  </si>
  <si>
    <t>سرمایه</t>
  </si>
  <si>
    <t xml:space="preserve">سود هر سهم </t>
  </si>
  <si>
    <t>سایر درآمدها و هزینه های عملیاتی</t>
  </si>
  <si>
    <t>سایر درآمدها و هزینه های غیر عملیاتی</t>
  </si>
  <si>
    <t>سود تسعیر دارایی ها</t>
  </si>
  <si>
    <t>سایر درآمد ها و هزینه ها</t>
  </si>
  <si>
    <t>شمش  سرب و آلیاژ</t>
  </si>
  <si>
    <t>شمش روی</t>
  </si>
  <si>
    <t>شمش سرب</t>
  </si>
  <si>
    <t>نقره</t>
  </si>
  <si>
    <t>نقره (کیلوگرم)</t>
  </si>
  <si>
    <t>بهای تمام شده کالای فروش رفته (سرب)</t>
  </si>
  <si>
    <t>بهای تمام شده کالای فروش رفته (روی)</t>
  </si>
  <si>
    <t>سربار تولید (سرب)</t>
  </si>
  <si>
    <t>سربار تولید (روی)</t>
  </si>
  <si>
    <t>مواد غیر مستقیم</t>
  </si>
  <si>
    <t>دستمزد غیر مستقیم</t>
  </si>
  <si>
    <t>تعمیر و نگه داری دارایی غیر جاری</t>
  </si>
  <si>
    <t>ملزومات</t>
  </si>
  <si>
    <t>سایر اقلام</t>
  </si>
  <si>
    <t>هزینه جذب نشده</t>
  </si>
  <si>
    <t>سود  سهام سایر شرکت ها</t>
  </si>
  <si>
    <t>سود سپرده گذاری</t>
  </si>
  <si>
    <t>درآمد حاصل از فروش اعتباری اعتبار مالیات</t>
  </si>
  <si>
    <t xml:space="preserve"> سایر درامدها و هزینه های عملیاتی</t>
  </si>
  <si>
    <t>مالیات جاری</t>
  </si>
  <si>
    <t>برق و گاز و سوخت</t>
  </si>
  <si>
    <t>هزینه های جذب نشده در تولید</t>
  </si>
  <si>
    <t>مجموع کل</t>
  </si>
  <si>
    <t>کل بهای تمام شده</t>
  </si>
  <si>
    <t>مجموع کل سربار</t>
  </si>
  <si>
    <t>کنسانتره سرب و مواد پر عیار</t>
  </si>
  <si>
    <t>فیلتر کیک لیچ</t>
  </si>
  <si>
    <t>پودر سنگ معدن پر عیار</t>
  </si>
  <si>
    <t>پودر سنگ معدن متوسط عیار روی</t>
  </si>
  <si>
    <t>پودر سنگ معدن کم عیار روی</t>
  </si>
  <si>
    <t>سرباره سرب کم عیار و مواد کم عیار</t>
  </si>
  <si>
    <t>کنسانتره روی خام</t>
  </si>
  <si>
    <t>سایر مواد</t>
  </si>
  <si>
    <t>کنسانتره روی</t>
  </si>
  <si>
    <t>فيلترکيک سرب ۱</t>
  </si>
  <si>
    <t>مواد B.Z.S (هیدروکسید)</t>
  </si>
  <si>
    <t>نرخ تورم</t>
  </si>
  <si>
    <t>نرخ ارز مبادله ای</t>
  </si>
  <si>
    <t>نرخ نقره</t>
  </si>
  <si>
    <t>نرخ شمش روی صادراتی</t>
  </si>
  <si>
    <t>نرخ شمش روی داخلی</t>
  </si>
  <si>
    <t>نرخ شمش سرب صادراتی</t>
  </si>
  <si>
    <t>نرخ شمش سرب داخلی</t>
  </si>
  <si>
    <t xml:space="preserve">گاز </t>
  </si>
  <si>
    <t>برق</t>
  </si>
  <si>
    <t>روی</t>
  </si>
  <si>
    <t>سرب</t>
  </si>
  <si>
    <t>فروش دلاری</t>
  </si>
  <si>
    <t>مواد مستقیم دلاری</t>
  </si>
  <si>
    <t>مواد به فروش</t>
  </si>
  <si>
    <t>شمش نقره</t>
  </si>
  <si>
    <t>بهای تمام شده کالای فروش رفته کل</t>
  </si>
  <si>
    <t>درصد صادراتی شمش سرب</t>
  </si>
  <si>
    <t>درصد صادراتی شمش روی</t>
  </si>
  <si>
    <t>شمش روی داخلی به شمش روی جهانی</t>
  </si>
  <si>
    <t>شمش سرب داخلی به شمش سرب جهانی</t>
  </si>
  <si>
    <t>شمش روی صادراتی به شمش روی جهانی</t>
  </si>
  <si>
    <t>شمش سرب صادراتی به شمش سرب جهانی</t>
  </si>
  <si>
    <t>نرخ دلاری نقره</t>
  </si>
  <si>
    <t>-</t>
  </si>
  <si>
    <t>هر انس</t>
  </si>
  <si>
    <t>گرم</t>
  </si>
  <si>
    <t>قیمت</t>
  </si>
  <si>
    <t>دلار</t>
  </si>
  <si>
    <t>نرخ مواد مصرفی به قیمت جهانی</t>
  </si>
  <si>
    <t>خالص دارایی های ارزی</t>
  </si>
  <si>
    <t>سال 99</t>
  </si>
  <si>
    <t>سال 1400</t>
  </si>
  <si>
    <t>سال 1401</t>
  </si>
  <si>
    <t>سال 1402</t>
  </si>
  <si>
    <t>سربار تولید کل</t>
  </si>
  <si>
    <t>تعمیر و نگه داری دلاری به ازای هرواحد تولید</t>
  </si>
  <si>
    <t>عیار 98</t>
  </si>
  <si>
    <t>هرتن کنسانتره سرب چقدر شمش سرب</t>
  </si>
  <si>
    <t>Rc سرب</t>
  </si>
  <si>
    <t>Rc روی</t>
  </si>
  <si>
    <t>Tc</t>
  </si>
  <si>
    <t>حق العمل و کمیسیون فروش</t>
  </si>
  <si>
    <t>کمیسیون فروش به مبلغ فروش</t>
  </si>
  <si>
    <t>سود یا زیان ناشی از تسعیر دارایی های ارزی عملیاتی</t>
  </si>
  <si>
    <t>درآمد مشمول مالیات</t>
  </si>
  <si>
    <t>بهای تمام شده</t>
  </si>
  <si>
    <t>وجه نقد عملیاتی</t>
  </si>
  <si>
    <t>هزینه های عمومی اداری</t>
  </si>
  <si>
    <t>سود مجمع</t>
  </si>
  <si>
    <t>خالص وجه نقد</t>
  </si>
  <si>
    <t>مانده وام ریالی</t>
  </si>
  <si>
    <t>شرکت ملی سرب و روی ایران  (سهامی عام)</t>
  </si>
  <si>
    <t>جزئیات مصرف  انرژی طی سالیان اخیر</t>
  </si>
  <si>
    <t>شرح</t>
  </si>
  <si>
    <t>واحد</t>
  </si>
  <si>
    <t>عملکرد سال مالی 87</t>
  </si>
  <si>
    <t>عملکرد سال مالی 88</t>
  </si>
  <si>
    <t>پیش بینی سال مالی 89</t>
  </si>
  <si>
    <t xml:space="preserve">مقدار مصرف </t>
  </si>
  <si>
    <t xml:space="preserve">مبلغ - میلیون ریال </t>
  </si>
  <si>
    <t>متر مکعب</t>
  </si>
  <si>
    <t xml:space="preserve">برق </t>
  </si>
  <si>
    <t xml:space="preserve">مگاوات ساعت </t>
  </si>
  <si>
    <t xml:space="preserve">مازوت </t>
  </si>
  <si>
    <t>لیتر</t>
  </si>
  <si>
    <t xml:space="preserve">گازوئيل </t>
  </si>
  <si>
    <t>مقدار تولید</t>
  </si>
  <si>
    <t>تن</t>
  </si>
  <si>
    <t>گاز مصرفی</t>
  </si>
  <si>
    <t>متر مکعب بر تن</t>
  </si>
  <si>
    <t>برق مصرفی</t>
  </si>
  <si>
    <t>کیلوا وات ساعت</t>
  </si>
  <si>
    <t>انرژی</t>
  </si>
  <si>
    <t>گاز مصرفی متر مکعب بر تن</t>
  </si>
  <si>
    <t>برق مصرفی کیلو وات ساعت</t>
  </si>
  <si>
    <t>هزینه انرژی</t>
  </si>
  <si>
    <t>واردات</t>
  </si>
  <si>
    <t>هیدروکسید</t>
  </si>
  <si>
    <t>درصد واردات پودر سنگ از ترکیه نسبت به کل خرید</t>
  </si>
  <si>
    <t>هزینه حمل و ترخیص هرتن از ترکیه (دلار)</t>
  </si>
  <si>
    <t>هزینه حمل</t>
  </si>
  <si>
    <t>کنسانتره روی عیار20</t>
  </si>
  <si>
    <t>کنسانتره روی عیار 20</t>
  </si>
  <si>
    <t>عیار</t>
  </si>
  <si>
    <t>کنسانتره روی عیار 20%</t>
  </si>
  <si>
    <t>4-8</t>
  </si>
  <si>
    <t>فسرب</t>
  </si>
  <si>
    <t>عیار سنگ پرعیار</t>
  </si>
  <si>
    <t>عیار پودر سنگ متوسط عیار</t>
  </si>
  <si>
    <t>عیار پودر سنگ کم عیار</t>
  </si>
  <si>
    <t>عیار کنسانتره روی</t>
  </si>
  <si>
    <t>عیار کیک لیچ</t>
  </si>
  <si>
    <t>شرکت</t>
  </si>
  <si>
    <t>ماده اولیه</t>
  </si>
  <si>
    <t>محصول</t>
  </si>
  <si>
    <t>فرآور</t>
  </si>
  <si>
    <t>باما</t>
  </si>
  <si>
    <t>فروی</t>
  </si>
  <si>
    <t>فگستر</t>
  </si>
  <si>
    <t>شمش روی، شمش سرب، شمش نقره</t>
  </si>
  <si>
    <t>کنسانتره روی سولفوره، کنسانتره روی خام، کنسانتره روی پخته، شمش روی، کنسانتره سرب، شمش سرب</t>
  </si>
  <si>
    <t>خاک معدنی</t>
  </si>
  <si>
    <t>کنسانتره سرب و مواد پرعیار، انواع پودر سنگ معدن ، کنسانتره روی خام، فیلتر کیک لیچ</t>
  </si>
  <si>
    <t>شمش روی، ورق روی، سولفات روی</t>
  </si>
  <si>
    <t>پودر روی، خاک معدنی و کنسانتره، اسید سولفوریک</t>
  </si>
  <si>
    <t>کربنات روی، کنسانتره سولفور روی، کنسانتره اکسید روی، شمش روی، کنسانتره سولفور سرب، کربنات سرب</t>
  </si>
  <si>
    <t>خاک سولفور، سنگ های کم عیار</t>
  </si>
  <si>
    <t>اکسید روی، کیک روی، سرباره روی، شمش روی، سولفور سرب، کربنات سرب</t>
  </si>
  <si>
    <t>انواع خاک روی، ذغال سنگ</t>
  </si>
  <si>
    <t>شمش روی، شمش سرب</t>
  </si>
  <si>
    <t>فاسمین</t>
  </si>
  <si>
    <t>کبافق</t>
  </si>
  <si>
    <t>کنسانتره روی، شمش روی، کنسانتره سرب، شمش سرب</t>
  </si>
  <si>
    <t>سنگ کم عیار معدنی، مواد ناریه</t>
  </si>
  <si>
    <t>فزرین</t>
  </si>
  <si>
    <t>کنسانتره روی خام، کنسانتره روی سولفوره، کنسانتره روی، شمش روی، کنسانتره سرب</t>
  </si>
  <si>
    <t>کیمیا</t>
  </si>
  <si>
    <t>کنسانتره روی اکسیده، کنسانتره روی سولفوره، شمش روی، کنسانتره سرب اکسیده، کنسانتره سرب سولفوره، کنسانتره مس</t>
  </si>
  <si>
    <t>خاک سرب و روی</t>
  </si>
  <si>
    <t>کنسانتره روی اکسیده، کنسانتره روی سولفوره، شمش روی، کنسانتره سرب اکسیده، کنسانتره سرب سولفوره، کنسانتره منگنز</t>
  </si>
  <si>
    <t>فتوسا</t>
  </si>
  <si>
    <t>استرالیا</t>
  </si>
  <si>
    <t>چین</t>
  </si>
  <si>
    <t>مکزیک</t>
  </si>
  <si>
    <t>پرو</t>
  </si>
  <si>
    <t>قزاقستان</t>
  </si>
  <si>
    <t>USA</t>
  </si>
  <si>
    <t>هند</t>
  </si>
  <si>
    <t>بولیوی</t>
  </si>
  <si>
    <t>سوئد</t>
  </si>
  <si>
    <t>کانادا</t>
  </si>
  <si>
    <t>روسیه</t>
  </si>
  <si>
    <t>ترکیه</t>
  </si>
  <si>
    <t>باتری</t>
  </si>
  <si>
    <t>نورد و محصولات تابع</t>
  </si>
  <si>
    <t>آلیاژهای سربی</t>
  </si>
  <si>
    <t>گالوانیزه</t>
  </si>
  <si>
    <t>ریخته گری</t>
  </si>
  <si>
    <t>برنج و برنز</t>
  </si>
  <si>
    <t>روی نورد شده</t>
  </si>
  <si>
    <t>مواد شیمیایی</t>
  </si>
  <si>
    <t>ارزش ذاتی (میلیارد ریال)</t>
  </si>
  <si>
    <t>ارزش بازار (میلیارد ریال)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</si>
</sst>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;[Red]#,##0"/>
    <numFmt numFmtId="165" formatCode="_(* #,##0_);_(* \(#,##0\);_(* &quot;-&quot;??_);_(@_)"/>
    <numFmt numFmtId="166" formatCode="#,##0.000;[Red]#,##0.000"/>
    <numFmt numFmtId="167" formatCode="#,##0.00;[Red]#,##0.00"/>
    <numFmt numFmtId="168" formatCode="0.0%"/>
    <numFmt numFmtId="169" formatCode="#,##0.0;[Red]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 Nazanin"/>
      <charset val="178"/>
    </font>
    <font>
      <b/>
      <sz val="11"/>
      <color theme="1"/>
      <name val="B Nazanin"/>
      <charset val="178"/>
    </font>
    <font>
      <b/>
      <sz val="11"/>
      <color theme="4" tint="-0.249977111117893"/>
      <name val="B Nazanin"/>
      <charset val="178"/>
    </font>
    <font>
      <b/>
      <sz val="11"/>
      <color rgb="FF0070C0"/>
      <name val="B Nazanin"/>
      <charset val="178"/>
    </font>
    <font>
      <sz val="8"/>
      <name val="Calibri"/>
      <family val="2"/>
      <scheme val="minor"/>
    </font>
    <font>
      <sz val="11"/>
      <color theme="1"/>
      <name val="B Mitra"/>
      <charset val="178"/>
    </font>
    <font>
      <b/>
      <sz val="11"/>
      <name val="B Nazanin"/>
      <charset val="178"/>
    </font>
    <font>
      <sz val="11"/>
      <color theme="1"/>
      <name val="Arial"/>
      <family val="2"/>
    </font>
    <font>
      <sz val="20"/>
      <color indexed="8"/>
      <name val="B Titr"/>
      <charset val="178"/>
    </font>
    <font>
      <sz val="9"/>
      <color indexed="8"/>
      <name val="B Titr"/>
      <charset val="178"/>
    </font>
    <font>
      <sz val="16"/>
      <color indexed="8"/>
      <name val="B Titr"/>
      <charset val="178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</cellStyleXfs>
  <cellXfs count="270">
    <xf numFmtId="0" fontId="0" fillId="0" borderId="0" xfId="0"/>
    <xf numFmtId="0" fontId="2" fillId="0" borderId="0" xfId="0" applyFont="1"/>
    <xf numFmtId="0" fontId="2" fillId="0" borderId="0" xfId="1" applyNumberFormat="1" applyFont="1"/>
    <xf numFmtId="0" fontId="2" fillId="0" borderId="0" xfId="0" applyNumberFormat="1" applyFont="1"/>
    <xf numFmtId="164" fontId="2" fillId="0" borderId="0" xfId="1" applyNumberFormat="1" applyFont="1"/>
    <xf numFmtId="164" fontId="2" fillId="0" borderId="0" xfId="0" applyNumberFormat="1" applyFont="1"/>
    <xf numFmtId="0" fontId="2" fillId="0" borderId="4" xfId="0" applyFont="1" applyBorder="1"/>
    <xf numFmtId="0" fontId="2" fillId="0" borderId="6" xfId="0" applyFont="1" applyBorder="1"/>
    <xf numFmtId="0" fontId="3" fillId="2" borderId="1" xfId="0" applyFont="1" applyFill="1" applyBorder="1"/>
    <xf numFmtId="0" fontId="3" fillId="0" borderId="6" xfId="0" applyFont="1" applyBorder="1"/>
    <xf numFmtId="0" fontId="4" fillId="0" borderId="6" xfId="0" applyFont="1" applyBorder="1"/>
    <xf numFmtId="0" fontId="4" fillId="0" borderId="4" xfId="0" applyFont="1" applyBorder="1"/>
    <xf numFmtId="0" fontId="4" fillId="0" borderId="9" xfId="0" applyFont="1" applyBorder="1"/>
    <xf numFmtId="0" fontId="3" fillId="0" borderId="4" xfId="0" applyFont="1" applyBorder="1"/>
    <xf numFmtId="0" fontId="2" fillId="0" borderId="0" xfId="0" applyFont="1" applyBorder="1"/>
    <xf numFmtId="0" fontId="4" fillId="0" borderId="0" xfId="0" applyFont="1" applyBorder="1"/>
    <xf numFmtId="0" fontId="3" fillId="0" borderId="0" xfId="0" applyFont="1"/>
    <xf numFmtId="164" fontId="2" fillId="0" borderId="0" xfId="1" applyNumberFormat="1" applyFont="1" applyAlignment="1">
      <alignment horizontal="center" vertical="center"/>
    </xf>
    <xf numFmtId="164" fontId="2" fillId="0" borderId="0" xfId="1" applyNumberFormat="1" applyFont="1" applyFill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 vertical="center"/>
    </xf>
    <xf numFmtId="164" fontId="3" fillId="2" borderId="3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164" fontId="2" fillId="0" borderId="5" xfId="1" applyNumberFormat="1" applyFont="1" applyFill="1" applyBorder="1" applyAlignment="1">
      <alignment horizontal="center" vertical="center"/>
    </xf>
    <xf numFmtId="164" fontId="2" fillId="0" borderId="7" xfId="1" applyNumberFormat="1" applyFont="1" applyBorder="1" applyAlignment="1">
      <alignment horizontal="center" vertical="center"/>
    </xf>
    <xf numFmtId="164" fontId="2" fillId="0" borderId="0" xfId="1" applyNumberFormat="1" applyFont="1" applyBorder="1" applyAlignment="1">
      <alignment horizontal="center" vertical="center"/>
    </xf>
    <xf numFmtId="164" fontId="4" fillId="0" borderId="7" xfId="1" applyNumberFormat="1" applyFont="1" applyBorder="1" applyAlignment="1">
      <alignment horizontal="center" vertical="center"/>
    </xf>
    <xf numFmtId="164" fontId="4" fillId="0" borderId="0" xfId="1" applyNumberFormat="1" applyFont="1" applyBorder="1" applyAlignment="1">
      <alignment horizontal="center" vertical="center"/>
    </xf>
    <xf numFmtId="164" fontId="4" fillId="0" borderId="0" xfId="1" applyNumberFormat="1" applyFont="1" applyFill="1" applyBorder="1" applyAlignment="1">
      <alignment horizontal="center" vertical="center"/>
    </xf>
    <xf numFmtId="164" fontId="4" fillId="0" borderId="10" xfId="1" applyNumberFormat="1" applyFont="1" applyBorder="1" applyAlignment="1">
      <alignment horizontal="center" vertical="center"/>
    </xf>
    <xf numFmtId="164" fontId="4" fillId="0" borderId="7" xfId="1" applyNumberFormat="1" applyFont="1" applyFill="1" applyBorder="1" applyAlignment="1">
      <alignment horizontal="center" vertical="center"/>
    </xf>
    <xf numFmtId="164" fontId="3" fillId="0" borderId="0" xfId="1" applyNumberFormat="1" applyFont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 vertical="center"/>
    </xf>
    <xf numFmtId="164" fontId="3" fillId="0" borderId="7" xfId="1" applyNumberFormat="1" applyFont="1" applyBorder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164" fontId="3" fillId="0" borderId="0" xfId="1" applyNumberFormat="1" applyFont="1" applyFill="1" applyAlignment="1">
      <alignment horizontal="center" vertical="center"/>
    </xf>
    <xf numFmtId="0" fontId="3" fillId="0" borderId="13" xfId="0" applyFont="1" applyBorder="1"/>
    <xf numFmtId="0" fontId="3" fillId="0" borderId="14" xfId="1" applyNumberFormat="1" applyFont="1" applyBorder="1" applyAlignment="1">
      <alignment horizontal="center" vertical="center"/>
    </xf>
    <xf numFmtId="0" fontId="3" fillId="0" borderId="16" xfId="0" applyFont="1" applyBorder="1"/>
    <xf numFmtId="0" fontId="3" fillId="0" borderId="0" xfId="1" applyNumberFormat="1" applyFont="1" applyBorder="1" applyAlignment="1">
      <alignment horizontal="center" vertical="center"/>
    </xf>
    <xf numFmtId="166" fontId="3" fillId="0" borderId="0" xfId="1" applyNumberFormat="1" applyFont="1" applyBorder="1" applyAlignment="1">
      <alignment horizontal="center" vertical="center"/>
    </xf>
    <xf numFmtId="9" fontId="3" fillId="0" borderId="0" xfId="2" applyFont="1" applyBorder="1" applyAlignment="1">
      <alignment horizontal="center" vertical="center"/>
    </xf>
    <xf numFmtId="164" fontId="3" fillId="0" borderId="19" xfId="1" applyNumberFormat="1" applyFont="1" applyBorder="1" applyAlignment="1">
      <alignment horizontal="center" vertical="center"/>
    </xf>
    <xf numFmtId="0" fontId="3" fillId="0" borderId="2" xfId="0" applyFont="1" applyBorder="1"/>
    <xf numFmtId="164" fontId="3" fillId="0" borderId="2" xfId="1" applyNumberFormat="1" applyFont="1" applyBorder="1" applyAlignment="1">
      <alignment horizontal="center" vertical="center"/>
    </xf>
    <xf numFmtId="0" fontId="3" fillId="0" borderId="0" xfId="0" applyFont="1" applyBorder="1"/>
    <xf numFmtId="0" fontId="3" fillId="0" borderId="12" xfId="0" applyFont="1" applyBorder="1"/>
    <xf numFmtId="164" fontId="3" fillId="0" borderId="12" xfId="1" applyNumberFormat="1" applyFont="1" applyBorder="1" applyAlignment="1">
      <alignment horizontal="center" vertical="center"/>
    </xf>
    <xf numFmtId="166" fontId="2" fillId="0" borderId="0" xfId="1" applyNumberFormat="1" applyFont="1" applyBorder="1" applyAlignment="1">
      <alignment horizontal="center" vertical="center"/>
    </xf>
    <xf numFmtId="0" fontId="2" fillId="0" borderId="0" xfId="0" applyFont="1" applyFill="1"/>
    <xf numFmtId="0" fontId="0" fillId="0" borderId="0" xfId="0" applyFill="1"/>
    <xf numFmtId="0" fontId="3" fillId="0" borderId="0" xfId="0" applyFont="1" applyFill="1" applyBorder="1"/>
    <xf numFmtId="164" fontId="2" fillId="0" borderId="0" xfId="1" applyNumberFormat="1" applyFont="1" applyFill="1"/>
    <xf numFmtId="164" fontId="2" fillId="0" borderId="0" xfId="0" applyNumberFormat="1" applyFont="1" applyFill="1"/>
    <xf numFmtId="0" fontId="2" fillId="0" borderId="0" xfId="0" applyFont="1" applyFill="1" applyBorder="1"/>
    <xf numFmtId="164" fontId="4" fillId="2" borderId="2" xfId="1" applyNumberFormat="1" applyFont="1" applyFill="1" applyBorder="1" applyAlignment="1">
      <alignment horizontal="center" vertical="center"/>
    </xf>
    <xf numFmtId="164" fontId="4" fillId="2" borderId="3" xfId="1" applyNumberFormat="1" applyFont="1" applyFill="1" applyBorder="1" applyAlignment="1">
      <alignment horizontal="center" vertical="center"/>
    </xf>
    <xf numFmtId="0" fontId="2" fillId="0" borderId="4" xfId="0" applyFont="1" applyFill="1" applyBorder="1"/>
    <xf numFmtId="164" fontId="5" fillId="0" borderId="7" xfId="1" applyNumberFormat="1" applyFont="1" applyFill="1" applyBorder="1" applyAlignment="1">
      <alignment horizontal="center" vertical="center"/>
    </xf>
    <xf numFmtId="0" fontId="3" fillId="2" borderId="4" xfId="0" applyFont="1" applyFill="1" applyBorder="1"/>
    <xf numFmtId="164" fontId="3" fillId="2" borderId="0" xfId="1" applyNumberFormat="1" applyFont="1" applyFill="1" applyBorder="1" applyAlignment="1">
      <alignment horizontal="center" vertical="center"/>
    </xf>
    <xf numFmtId="164" fontId="3" fillId="2" borderId="5" xfId="1" applyNumberFormat="1" applyFont="1" applyFill="1" applyBorder="1" applyAlignment="1">
      <alignment horizontal="center" vertical="center"/>
    </xf>
    <xf numFmtId="0" fontId="2" fillId="0" borderId="21" xfId="0" applyFont="1" applyBorder="1"/>
    <xf numFmtId="164" fontId="2" fillId="0" borderId="22" xfId="1" applyNumberFormat="1" applyFont="1" applyBorder="1" applyAlignment="1">
      <alignment horizontal="center" vertical="center"/>
    </xf>
    <xf numFmtId="164" fontId="4" fillId="0" borderId="22" xfId="1" applyNumberFormat="1" applyFont="1" applyFill="1" applyBorder="1" applyAlignment="1">
      <alignment horizontal="center" vertical="center"/>
    </xf>
    <xf numFmtId="0" fontId="4" fillId="0" borderId="21" xfId="0" applyFont="1" applyBorder="1"/>
    <xf numFmtId="164" fontId="4" fillId="0" borderId="22" xfId="1" applyNumberFormat="1" applyFont="1" applyBorder="1" applyAlignment="1">
      <alignment horizontal="center" vertical="center"/>
    </xf>
    <xf numFmtId="0" fontId="2" fillId="0" borderId="6" xfId="0" applyFont="1" applyFill="1" applyBorder="1"/>
    <xf numFmtId="165" fontId="2" fillId="0" borderId="0" xfId="1" applyNumberFormat="1" applyFont="1" applyFill="1" applyBorder="1" applyAlignment="1">
      <alignment horizontal="center" vertical="center"/>
    </xf>
    <xf numFmtId="165" fontId="2" fillId="0" borderId="7" xfId="1" applyNumberFormat="1" applyFont="1" applyFill="1" applyBorder="1" applyAlignment="1">
      <alignment horizontal="center" vertical="center"/>
    </xf>
    <xf numFmtId="164" fontId="2" fillId="0" borderId="7" xfId="1" applyNumberFormat="1" applyFont="1" applyFill="1" applyBorder="1" applyAlignment="1">
      <alignment horizontal="center" vertical="center"/>
    </xf>
    <xf numFmtId="164" fontId="2" fillId="4" borderId="0" xfId="1" applyNumberFormat="1" applyFont="1" applyFill="1"/>
    <xf numFmtId="166" fontId="2" fillId="4" borderId="0" xfId="1" applyNumberFormat="1" applyFont="1" applyFill="1"/>
    <xf numFmtId="164" fontId="2" fillId="5" borderId="0" xfId="1" applyNumberFormat="1" applyFont="1" applyFill="1"/>
    <xf numFmtId="164" fontId="2" fillId="6" borderId="0" xfId="1" applyNumberFormat="1" applyFont="1" applyFill="1"/>
    <xf numFmtId="164" fontId="2" fillId="0" borderId="23" xfId="1" applyNumberFormat="1" applyFont="1" applyBorder="1" applyAlignment="1">
      <alignment horizontal="center"/>
    </xf>
    <xf numFmtId="164" fontId="2" fillId="0" borderId="25" xfId="1" applyNumberFormat="1" applyFont="1" applyBorder="1" applyAlignment="1">
      <alignment horizontal="center"/>
    </xf>
    <xf numFmtId="164" fontId="2" fillId="0" borderId="13" xfId="1" applyNumberFormat="1" applyFont="1" applyBorder="1"/>
    <xf numFmtId="164" fontId="2" fillId="0" borderId="15" xfId="1" applyNumberFormat="1" applyFont="1" applyBorder="1"/>
    <xf numFmtId="164" fontId="2" fillId="0" borderId="16" xfId="1" applyNumberFormat="1" applyFont="1" applyBorder="1"/>
    <xf numFmtId="164" fontId="2" fillId="0" borderId="0" xfId="1" applyNumberFormat="1" applyFont="1" applyBorder="1"/>
    <xf numFmtId="164" fontId="2" fillId="0" borderId="17" xfId="1" applyNumberFormat="1" applyFont="1" applyBorder="1"/>
    <xf numFmtId="164" fontId="2" fillId="0" borderId="18" xfId="1" applyNumberFormat="1" applyFont="1" applyBorder="1"/>
    <xf numFmtId="164" fontId="2" fillId="0" borderId="20" xfId="1" applyNumberFormat="1" applyFont="1" applyBorder="1"/>
    <xf numFmtId="164" fontId="2" fillId="0" borderId="25" xfId="1" applyNumberFormat="1" applyFont="1" applyBorder="1"/>
    <xf numFmtId="164" fontId="2" fillId="0" borderId="26" xfId="1" applyNumberFormat="1" applyFont="1" applyBorder="1"/>
    <xf numFmtId="0" fontId="5" fillId="0" borderId="6" xfId="0" applyFont="1" applyBorder="1"/>
    <xf numFmtId="165" fontId="2" fillId="0" borderId="0" xfId="1" applyNumberFormat="1" applyFont="1" applyBorder="1" applyAlignment="1">
      <alignment horizontal="center" vertical="center"/>
    </xf>
    <xf numFmtId="0" fontId="2" fillId="0" borderId="7" xfId="0" applyFont="1" applyBorder="1"/>
    <xf numFmtId="165" fontId="2" fillId="0" borderId="7" xfId="1" applyNumberFormat="1" applyFont="1" applyBorder="1" applyAlignment="1">
      <alignment horizontal="center" vertical="center"/>
    </xf>
    <xf numFmtId="0" fontId="2" fillId="0" borderId="2" xfId="0" applyFont="1" applyBorder="1"/>
    <xf numFmtId="165" fontId="2" fillId="0" borderId="2" xfId="1" applyNumberFormat="1" applyFont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7" fontId="2" fillId="0" borderId="0" xfId="1" applyNumberFormat="1" applyFont="1"/>
    <xf numFmtId="168" fontId="2" fillId="0" borderId="0" xfId="2" applyNumberFormat="1" applyFont="1"/>
    <xf numFmtId="9" fontId="2" fillId="0" borderId="0" xfId="2" applyFont="1" applyFill="1" applyAlignment="1">
      <alignment horizontal="center" vertical="center"/>
    </xf>
    <xf numFmtId="164" fontId="2" fillId="0" borderId="2" xfId="1" applyNumberFormat="1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6" xfId="0" applyFont="1" applyFill="1" applyBorder="1"/>
    <xf numFmtId="0" fontId="3" fillId="0" borderId="21" xfId="0" applyFont="1" applyFill="1" applyBorder="1"/>
    <xf numFmtId="0" fontId="7" fillId="7" borderId="0" xfId="0" applyFont="1" applyFill="1" applyAlignment="1">
      <alignment horizontal="center" vertical="center"/>
    </xf>
    <xf numFmtId="9" fontId="2" fillId="0" borderId="0" xfId="2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2" fillId="7" borderId="0" xfId="0" applyFont="1" applyFill="1"/>
    <xf numFmtId="164" fontId="2" fillId="7" borderId="0" xfId="1" applyNumberFormat="1" applyFont="1" applyFill="1" applyAlignment="1">
      <alignment horizontal="center" vertical="center"/>
    </xf>
    <xf numFmtId="167" fontId="2" fillId="7" borderId="0" xfId="1" applyNumberFormat="1" applyFont="1" applyFill="1" applyAlignment="1">
      <alignment horizontal="center" vertical="center"/>
    </xf>
    <xf numFmtId="0" fontId="2" fillId="7" borderId="0" xfId="0" applyFont="1" applyFill="1" applyBorder="1"/>
    <xf numFmtId="164" fontId="2" fillId="7" borderId="0" xfId="1" applyNumberFormat="1" applyFont="1" applyFill="1" applyBorder="1" applyAlignment="1">
      <alignment horizontal="center" vertical="center"/>
    </xf>
    <xf numFmtId="0" fontId="2" fillId="7" borderId="10" xfId="0" applyFont="1" applyFill="1" applyBorder="1"/>
    <xf numFmtId="0" fontId="2" fillId="7" borderId="27" xfId="0" applyFont="1" applyFill="1" applyBorder="1"/>
    <xf numFmtId="0" fontId="2" fillId="6" borderId="4" xfId="0" applyFont="1" applyFill="1" applyBorder="1"/>
    <xf numFmtId="164" fontId="2" fillId="6" borderId="0" xfId="1" applyNumberFormat="1" applyFont="1" applyFill="1" applyBorder="1" applyAlignment="1">
      <alignment horizontal="center" vertical="center"/>
    </xf>
    <xf numFmtId="167" fontId="2" fillId="0" borderId="0" xfId="1" applyNumberFormat="1" applyFont="1" applyFill="1" applyAlignment="1">
      <alignment horizontal="center" vertical="center"/>
    </xf>
    <xf numFmtId="167" fontId="3" fillId="0" borderId="0" xfId="1" applyNumberFormat="1" applyFont="1" applyFill="1" applyAlignment="1">
      <alignment horizontal="center" vertical="center"/>
    </xf>
    <xf numFmtId="0" fontId="3" fillId="3" borderId="0" xfId="0" applyFont="1" applyFill="1"/>
    <xf numFmtId="167" fontId="3" fillId="3" borderId="0" xfId="1" applyNumberFormat="1" applyFont="1" applyFill="1" applyAlignment="1">
      <alignment horizontal="center" vertical="center"/>
    </xf>
    <xf numFmtId="164" fontId="3" fillId="3" borderId="0" xfId="1" applyNumberFormat="1" applyFont="1" applyFill="1" applyAlignment="1">
      <alignment horizontal="center" vertical="center"/>
    </xf>
    <xf numFmtId="0" fontId="2" fillId="0" borderId="1" xfId="0" applyFont="1" applyBorder="1"/>
    <xf numFmtId="164" fontId="2" fillId="0" borderId="3" xfId="1" applyNumberFormat="1" applyFont="1" applyBorder="1" applyAlignment="1">
      <alignment horizontal="center" vertical="center"/>
    </xf>
    <xf numFmtId="0" fontId="2" fillId="0" borderId="9" xfId="0" applyFont="1" applyFill="1" applyBorder="1"/>
    <xf numFmtId="164" fontId="2" fillId="0" borderId="10" xfId="1" applyNumberFormat="1" applyFont="1" applyBorder="1" applyAlignment="1">
      <alignment horizontal="center" vertical="center"/>
    </xf>
    <xf numFmtId="164" fontId="2" fillId="0" borderId="11" xfId="1" applyNumberFormat="1" applyFont="1" applyBorder="1" applyAlignment="1">
      <alignment horizontal="center" vertical="center"/>
    </xf>
    <xf numFmtId="0" fontId="2" fillId="8" borderId="0" xfId="0" applyFont="1" applyFill="1"/>
    <xf numFmtId="43" fontId="2" fillId="7" borderId="0" xfId="1" applyFont="1" applyFill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16" xfId="0" applyFont="1" applyBorder="1" applyAlignment="1">
      <alignment horizontal="right"/>
    </xf>
    <xf numFmtId="0" fontId="3" fillId="0" borderId="18" xfId="0" applyFont="1" applyBorder="1" applyAlignment="1">
      <alignment horizontal="right"/>
    </xf>
    <xf numFmtId="164" fontId="2" fillId="4" borderId="0" xfId="1" applyNumberFormat="1" applyFont="1" applyFill="1" applyAlignment="1">
      <alignment horizontal="center" vertical="center"/>
    </xf>
    <xf numFmtId="9" fontId="2" fillId="4" borderId="0" xfId="2" applyFont="1" applyFill="1" applyAlignment="1">
      <alignment horizontal="center" vertical="center"/>
    </xf>
    <xf numFmtId="0" fontId="2" fillId="4" borderId="12" xfId="0" applyFont="1" applyFill="1" applyBorder="1"/>
    <xf numFmtId="9" fontId="2" fillId="4" borderId="12" xfId="2" applyFont="1" applyFill="1" applyBorder="1" applyAlignment="1">
      <alignment horizontal="center" vertical="center"/>
    </xf>
    <xf numFmtId="10" fontId="2" fillId="4" borderId="12" xfId="2" applyNumberFormat="1" applyFont="1" applyFill="1" applyBorder="1" applyAlignment="1">
      <alignment horizontal="center" vertical="center"/>
    </xf>
    <xf numFmtId="167" fontId="2" fillId="0" borderId="0" xfId="1" applyNumberFormat="1" applyFont="1" applyFill="1" applyBorder="1" applyAlignment="1">
      <alignment horizontal="center" vertical="center"/>
    </xf>
    <xf numFmtId="0" fontId="3" fillId="3" borderId="14" xfId="1" applyNumberFormat="1" applyFont="1" applyFill="1" applyBorder="1" applyAlignment="1">
      <alignment horizontal="center" vertical="center"/>
    </xf>
    <xf numFmtId="0" fontId="3" fillId="3" borderId="15" xfId="1" applyNumberFormat="1" applyFont="1" applyFill="1" applyBorder="1" applyAlignment="1">
      <alignment horizontal="center" vertical="center"/>
    </xf>
    <xf numFmtId="0" fontId="3" fillId="3" borderId="0" xfId="1" applyNumberFormat="1" applyFont="1" applyFill="1" applyBorder="1" applyAlignment="1">
      <alignment horizontal="center" vertical="center"/>
    </xf>
    <xf numFmtId="0" fontId="3" fillId="3" borderId="17" xfId="1" applyNumberFormat="1" applyFont="1" applyFill="1" applyBorder="1" applyAlignment="1">
      <alignment horizontal="center" vertical="center"/>
    </xf>
    <xf numFmtId="164" fontId="3" fillId="3" borderId="0" xfId="1" applyNumberFormat="1" applyFont="1" applyFill="1" applyBorder="1" applyAlignment="1">
      <alignment horizontal="center" vertical="center"/>
    </xf>
    <xf numFmtId="164" fontId="3" fillId="3" borderId="17" xfId="1" applyNumberFormat="1" applyFont="1" applyFill="1" applyBorder="1" applyAlignment="1">
      <alignment horizontal="center" vertical="center"/>
    </xf>
    <xf numFmtId="9" fontId="3" fillId="3" borderId="0" xfId="2" applyFont="1" applyFill="1" applyBorder="1" applyAlignment="1">
      <alignment horizontal="center" vertical="center"/>
    </xf>
    <xf numFmtId="9" fontId="3" fillId="3" borderId="17" xfId="2" applyFont="1" applyFill="1" applyBorder="1" applyAlignment="1">
      <alignment horizontal="center" vertical="center"/>
    </xf>
    <xf numFmtId="164" fontId="3" fillId="3" borderId="19" xfId="1" applyNumberFormat="1" applyFont="1" applyFill="1" applyBorder="1" applyAlignment="1">
      <alignment horizontal="center" vertical="center"/>
    </xf>
    <xf numFmtId="164" fontId="3" fillId="3" borderId="20" xfId="1" applyNumberFormat="1" applyFont="1" applyFill="1" applyBorder="1" applyAlignment="1">
      <alignment horizontal="center" vertical="center"/>
    </xf>
    <xf numFmtId="164" fontId="2" fillId="3" borderId="0" xfId="1" applyNumberFormat="1" applyFont="1" applyFill="1" applyBorder="1" applyAlignment="1">
      <alignment horizontal="center" vertical="center"/>
    </xf>
    <xf numFmtId="164" fontId="2" fillId="3" borderId="5" xfId="1" applyNumberFormat="1" applyFont="1" applyFill="1" applyBorder="1" applyAlignment="1">
      <alignment horizontal="center" vertical="center"/>
    </xf>
    <xf numFmtId="164" fontId="2" fillId="3" borderId="7" xfId="1" applyNumberFormat="1" applyFont="1" applyFill="1" applyBorder="1" applyAlignment="1">
      <alignment horizontal="center" vertical="center"/>
    </xf>
    <xf numFmtId="164" fontId="2" fillId="3" borderId="8" xfId="1" applyNumberFormat="1" applyFont="1" applyFill="1" applyBorder="1" applyAlignment="1">
      <alignment horizontal="center" vertical="center"/>
    </xf>
    <xf numFmtId="164" fontId="4" fillId="3" borderId="7" xfId="1" applyNumberFormat="1" applyFont="1" applyFill="1" applyBorder="1" applyAlignment="1">
      <alignment horizontal="center" vertical="center"/>
    </xf>
    <xf numFmtId="164" fontId="4" fillId="3" borderId="8" xfId="1" applyNumberFormat="1" applyFont="1" applyFill="1" applyBorder="1" applyAlignment="1">
      <alignment horizontal="center" vertical="center"/>
    </xf>
    <xf numFmtId="164" fontId="4" fillId="3" borderId="0" xfId="1" applyNumberFormat="1" applyFont="1" applyFill="1" applyBorder="1" applyAlignment="1">
      <alignment horizontal="center" vertical="center"/>
    </xf>
    <xf numFmtId="164" fontId="4" fillId="3" borderId="5" xfId="1" applyNumberFormat="1" applyFont="1" applyFill="1" applyBorder="1" applyAlignment="1">
      <alignment horizontal="center" vertical="center"/>
    </xf>
    <xf numFmtId="164" fontId="4" fillId="3" borderId="10" xfId="1" applyNumberFormat="1" applyFont="1" applyFill="1" applyBorder="1" applyAlignment="1">
      <alignment horizontal="center" vertical="center"/>
    </xf>
    <xf numFmtId="164" fontId="4" fillId="3" borderId="11" xfId="1" applyNumberFormat="1" applyFont="1" applyFill="1" applyBorder="1" applyAlignment="1">
      <alignment horizontal="center" vertical="center"/>
    </xf>
    <xf numFmtId="164" fontId="4" fillId="3" borderId="24" xfId="1" applyNumberFormat="1" applyFont="1" applyFill="1" applyBorder="1" applyAlignment="1">
      <alignment horizontal="center" vertical="center"/>
    </xf>
    <xf numFmtId="164" fontId="4" fillId="3" borderId="22" xfId="1" applyNumberFormat="1" applyFont="1" applyFill="1" applyBorder="1" applyAlignment="1">
      <alignment horizontal="center" vertical="center"/>
    </xf>
    <xf numFmtId="164" fontId="4" fillId="3" borderId="23" xfId="1" applyNumberFormat="1" applyFont="1" applyFill="1" applyBorder="1" applyAlignment="1">
      <alignment horizontal="center" vertical="center"/>
    </xf>
    <xf numFmtId="164" fontId="2" fillId="3" borderId="22" xfId="1" applyNumberFormat="1" applyFont="1" applyFill="1" applyBorder="1" applyAlignment="1">
      <alignment horizontal="center" vertical="center"/>
    </xf>
    <xf numFmtId="164" fontId="2" fillId="3" borderId="23" xfId="1" applyNumberFormat="1" applyFont="1" applyFill="1" applyBorder="1" applyAlignment="1">
      <alignment horizontal="center" vertical="center"/>
    </xf>
    <xf numFmtId="164" fontId="3" fillId="3" borderId="5" xfId="1" applyNumberFormat="1" applyFont="1" applyFill="1" applyBorder="1" applyAlignment="1">
      <alignment horizontal="center" vertical="center"/>
    </xf>
    <xf numFmtId="164" fontId="2" fillId="3" borderId="24" xfId="1" applyNumberFormat="1" applyFont="1" applyFill="1" applyBorder="1" applyAlignment="1">
      <alignment horizontal="center" vertical="center"/>
    </xf>
    <xf numFmtId="164" fontId="5" fillId="3" borderId="7" xfId="1" applyNumberFormat="1" applyFont="1" applyFill="1" applyBorder="1" applyAlignment="1">
      <alignment horizontal="center" vertical="center"/>
    </xf>
    <xf numFmtId="164" fontId="5" fillId="3" borderId="8" xfId="1" applyNumberFormat="1" applyFont="1" applyFill="1" applyBorder="1" applyAlignment="1">
      <alignment horizontal="center" vertical="center"/>
    </xf>
    <xf numFmtId="164" fontId="3" fillId="3" borderId="7" xfId="1" applyNumberFormat="1" applyFont="1" applyFill="1" applyBorder="1" applyAlignment="1">
      <alignment horizontal="center" vertical="center"/>
    </xf>
    <xf numFmtId="164" fontId="3" fillId="3" borderId="8" xfId="1" applyNumberFormat="1" applyFont="1" applyFill="1" applyBorder="1" applyAlignment="1">
      <alignment horizontal="center" vertical="center"/>
    </xf>
    <xf numFmtId="0" fontId="5" fillId="0" borderId="0" xfId="0" applyFont="1" applyBorder="1"/>
    <xf numFmtId="164" fontId="5" fillId="0" borderId="0" xfId="1" applyNumberFormat="1" applyFont="1" applyFill="1" applyBorder="1" applyAlignment="1">
      <alignment horizontal="center" vertical="center"/>
    </xf>
    <xf numFmtId="0" fontId="3" fillId="0" borderId="4" xfId="0" applyFont="1" applyFill="1" applyBorder="1"/>
    <xf numFmtId="9" fontId="3" fillId="0" borderId="0" xfId="2" applyFont="1" applyAlignment="1">
      <alignment horizontal="center" vertical="center"/>
    </xf>
    <xf numFmtId="9" fontId="3" fillId="3" borderId="5" xfId="2" applyFont="1" applyFill="1" applyBorder="1" applyAlignment="1">
      <alignment horizontal="center" vertical="center"/>
    </xf>
    <xf numFmtId="3" fontId="11" fillId="0" borderId="28" xfId="3" applyNumberFormat="1" applyFont="1" applyBorder="1" applyAlignment="1">
      <alignment horizontal="center" vertical="center"/>
    </xf>
    <xf numFmtId="3" fontId="11" fillId="0" borderId="28" xfId="3" applyNumberFormat="1" applyFont="1" applyBorder="1" applyAlignment="1">
      <alignment horizontal="right" vertical="center" indent="1"/>
    </xf>
    <xf numFmtId="3" fontId="11" fillId="0" borderId="28" xfId="3" applyNumberFormat="1" applyFont="1" applyBorder="1" applyAlignment="1">
      <alignment horizontal="right" vertical="center" indent="2"/>
    </xf>
    <xf numFmtId="49" fontId="11" fillId="0" borderId="28" xfId="3" applyNumberFormat="1" applyFont="1" applyBorder="1" applyAlignment="1">
      <alignment horizontal="center" vertical="center"/>
    </xf>
    <xf numFmtId="164" fontId="2" fillId="4" borderId="0" xfId="1" applyNumberFormat="1" applyFont="1" applyFill="1" applyAlignment="1">
      <alignment horizontal="center" vertical="center" wrapText="1"/>
    </xf>
    <xf numFmtId="0" fontId="3" fillId="0" borderId="21" xfId="0" applyFont="1" applyBorder="1"/>
    <xf numFmtId="164" fontId="3" fillId="0" borderId="22" xfId="1" applyNumberFormat="1" applyFont="1" applyFill="1" applyBorder="1" applyAlignment="1">
      <alignment horizontal="center" vertical="center"/>
    </xf>
    <xf numFmtId="164" fontId="8" fillId="0" borderId="0" xfId="1" applyNumberFormat="1" applyFont="1" applyFill="1" applyBorder="1" applyAlignment="1">
      <alignment horizontal="center" vertical="center"/>
    </xf>
    <xf numFmtId="167" fontId="3" fillId="3" borderId="0" xfId="1" applyNumberFormat="1" applyFont="1" applyFill="1" applyBorder="1" applyAlignment="1">
      <alignment horizontal="center" vertical="center"/>
    </xf>
    <xf numFmtId="167" fontId="3" fillId="3" borderId="17" xfId="1" applyNumberFormat="1" applyFont="1" applyFill="1" applyBorder="1" applyAlignment="1">
      <alignment horizontal="center" vertical="center"/>
    </xf>
    <xf numFmtId="164" fontId="2" fillId="0" borderId="14" xfId="1" applyNumberFormat="1" applyFont="1" applyBorder="1" applyAlignment="1">
      <alignment horizontal="center" vertical="center"/>
    </xf>
    <xf numFmtId="164" fontId="5" fillId="0" borderId="14" xfId="1" applyNumberFormat="1" applyFont="1" applyFill="1" applyBorder="1" applyAlignment="1">
      <alignment horizontal="center" vertical="center"/>
    </xf>
    <xf numFmtId="164" fontId="5" fillId="0" borderId="15" xfId="1" applyNumberFormat="1" applyFont="1" applyFill="1" applyBorder="1" applyAlignment="1">
      <alignment horizontal="center" vertical="center"/>
    </xf>
    <xf numFmtId="0" fontId="8" fillId="0" borderId="16" xfId="0" applyFont="1" applyBorder="1"/>
    <xf numFmtId="164" fontId="8" fillId="0" borderId="17" xfId="1" applyNumberFormat="1" applyFont="1" applyFill="1" applyBorder="1" applyAlignment="1">
      <alignment horizontal="center" vertical="center"/>
    </xf>
    <xf numFmtId="0" fontId="8" fillId="0" borderId="21" xfId="0" applyFont="1" applyBorder="1"/>
    <xf numFmtId="164" fontId="8" fillId="0" borderId="22" xfId="1" applyNumberFormat="1" applyFont="1" applyFill="1" applyBorder="1" applyAlignment="1">
      <alignment horizontal="center" vertical="center"/>
    </xf>
    <xf numFmtId="164" fontId="8" fillId="0" borderId="23" xfId="1" applyNumberFormat="1" applyFont="1" applyFill="1" applyBorder="1" applyAlignment="1">
      <alignment horizontal="center" vertical="center"/>
    </xf>
    <xf numFmtId="9" fontId="8" fillId="0" borderId="22" xfId="2" applyFont="1" applyFill="1" applyBorder="1" applyAlignment="1">
      <alignment horizontal="center" vertical="center"/>
    </xf>
    <xf numFmtId="9" fontId="8" fillId="0" borderId="23" xfId="2" applyFont="1" applyFill="1" applyBorder="1" applyAlignment="1">
      <alignment horizontal="center" vertical="center"/>
    </xf>
    <xf numFmtId="164" fontId="3" fillId="0" borderId="14" xfId="1" applyNumberFormat="1" applyFont="1" applyBorder="1" applyAlignment="1">
      <alignment horizontal="center" vertical="center"/>
    </xf>
    <xf numFmtId="164" fontId="3" fillId="0" borderId="15" xfId="1" applyNumberFormat="1" applyFont="1" applyBorder="1" applyAlignment="1">
      <alignment horizontal="center" vertical="center"/>
    </xf>
    <xf numFmtId="0" fontId="3" fillId="0" borderId="18" xfId="0" applyFont="1" applyBorder="1"/>
    <xf numFmtId="9" fontId="3" fillId="0" borderId="19" xfId="2" applyFont="1" applyBorder="1" applyAlignment="1">
      <alignment horizontal="center" vertical="center"/>
    </xf>
    <xf numFmtId="9" fontId="3" fillId="0" borderId="20" xfId="2" applyFont="1" applyBorder="1" applyAlignment="1">
      <alignment horizontal="center" vertical="center"/>
    </xf>
    <xf numFmtId="0" fontId="3" fillId="8" borderId="13" xfId="0" applyFont="1" applyFill="1" applyBorder="1"/>
    <xf numFmtId="0" fontId="8" fillId="8" borderId="21" xfId="0" applyFont="1" applyFill="1" applyBorder="1"/>
    <xf numFmtId="0" fontId="2" fillId="8" borderId="2" xfId="0" applyFont="1" applyFill="1" applyBorder="1"/>
    <xf numFmtId="9" fontId="3" fillId="0" borderId="12" xfId="2" applyFont="1" applyBorder="1" applyAlignment="1">
      <alignment horizontal="center" vertical="center"/>
    </xf>
    <xf numFmtId="9" fontId="2" fillId="0" borderId="0" xfId="2" applyFont="1"/>
    <xf numFmtId="0" fontId="2" fillId="4" borderId="0" xfId="0" applyFont="1" applyFill="1"/>
    <xf numFmtId="0" fontId="3" fillId="8" borderId="21" xfId="0" applyFont="1" applyFill="1" applyBorder="1"/>
    <xf numFmtId="164" fontId="3" fillId="8" borderId="22" xfId="1" applyNumberFormat="1" applyFont="1" applyFill="1" applyBorder="1" applyAlignment="1">
      <alignment horizontal="center" vertical="center"/>
    </xf>
    <xf numFmtId="164" fontId="3" fillId="8" borderId="23" xfId="1" applyNumberFormat="1" applyFont="1" applyFill="1" applyBorder="1" applyAlignment="1">
      <alignment horizontal="center" vertical="center"/>
    </xf>
    <xf numFmtId="0" fontId="8" fillId="0" borderId="0" xfId="0" applyFont="1" applyBorder="1"/>
    <xf numFmtId="167" fontId="3" fillId="0" borderId="22" xfId="1" applyNumberFormat="1" applyFont="1" applyFill="1" applyBorder="1" applyAlignment="1">
      <alignment horizontal="center" vertical="center"/>
    </xf>
    <xf numFmtId="167" fontId="3" fillId="0" borderId="23" xfId="1" applyNumberFormat="1" applyFont="1" applyFill="1" applyBorder="1" applyAlignment="1">
      <alignment horizontal="center" vertical="center"/>
    </xf>
    <xf numFmtId="0" fontId="0" fillId="9" borderId="0" xfId="0" applyFill="1"/>
    <xf numFmtId="0" fontId="7" fillId="9" borderId="0" xfId="0" applyFont="1" applyFill="1"/>
    <xf numFmtId="164" fontId="2" fillId="7" borderId="0" xfId="1" applyNumberFormat="1" applyFont="1" applyFill="1" applyBorder="1"/>
    <xf numFmtId="164" fontId="2" fillId="7" borderId="27" xfId="1" applyNumberFormat="1" applyFont="1" applyFill="1" applyBorder="1"/>
    <xf numFmtId="49" fontId="2" fillId="0" borderId="0" xfId="1" applyNumberFormat="1" applyFont="1" applyFill="1" applyAlignment="1">
      <alignment horizontal="center" vertical="center"/>
    </xf>
    <xf numFmtId="0" fontId="3" fillId="0" borderId="1" xfId="0" applyFont="1" applyFill="1" applyBorder="1"/>
    <xf numFmtId="164" fontId="4" fillId="0" borderId="2" xfId="1" applyNumberFormat="1" applyFont="1" applyFill="1" applyBorder="1" applyAlignment="1">
      <alignment horizontal="center" vertical="center"/>
    </xf>
    <xf numFmtId="164" fontId="4" fillId="0" borderId="3" xfId="1" applyNumberFormat="1" applyFont="1" applyFill="1" applyBorder="1" applyAlignment="1">
      <alignment horizontal="center" vertical="center"/>
    </xf>
    <xf numFmtId="164" fontId="4" fillId="0" borderId="8" xfId="1" applyNumberFormat="1" applyFont="1" applyFill="1" applyBorder="1" applyAlignment="1">
      <alignment horizontal="center" vertical="center"/>
    </xf>
    <xf numFmtId="169" fontId="2" fillId="7" borderId="0" xfId="1" applyNumberFormat="1" applyFont="1" applyFill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9" fontId="2" fillId="0" borderId="0" xfId="2" applyFont="1" applyAlignment="1">
      <alignment horizontal="center" vertical="center"/>
    </xf>
    <xf numFmtId="0" fontId="2" fillId="7" borderId="4" xfId="0" applyFont="1" applyFill="1" applyBorder="1"/>
    <xf numFmtId="164" fontId="2" fillId="7" borderId="5" xfId="1" applyNumberFormat="1" applyFont="1" applyFill="1" applyBorder="1" applyAlignment="1">
      <alignment horizontal="center" vertical="center"/>
    </xf>
    <xf numFmtId="164" fontId="2" fillId="3" borderId="19" xfId="1" applyNumberFormat="1" applyFont="1" applyFill="1" applyBorder="1" applyAlignment="1">
      <alignment horizontal="center" vertical="center"/>
    </xf>
    <xf numFmtId="0" fontId="8" fillId="0" borderId="18" xfId="0" applyFont="1" applyBorder="1"/>
    <xf numFmtId="164" fontId="8" fillId="0" borderId="19" xfId="1" applyNumberFormat="1" applyFont="1" applyFill="1" applyBorder="1" applyAlignment="1">
      <alignment horizontal="center" vertical="center"/>
    </xf>
    <xf numFmtId="164" fontId="8" fillId="0" borderId="20" xfId="1" applyNumberFormat="1" applyFont="1" applyFill="1" applyBorder="1" applyAlignment="1">
      <alignment horizontal="center" vertical="center"/>
    </xf>
    <xf numFmtId="9" fontId="4" fillId="0" borderId="0" xfId="2" applyFont="1" applyFill="1" applyBorder="1" applyAlignment="1">
      <alignment horizontal="center" vertical="center"/>
    </xf>
    <xf numFmtId="0" fontId="0" fillId="0" borderId="13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0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9" fontId="0" fillId="0" borderId="14" xfId="0" applyNumberFormat="1" applyBorder="1"/>
    <xf numFmtId="9" fontId="0" fillId="0" borderId="14" xfId="2" applyFont="1" applyBorder="1"/>
    <xf numFmtId="9" fontId="0" fillId="0" borderId="15" xfId="2" applyFont="1" applyBorder="1"/>
    <xf numFmtId="9" fontId="0" fillId="0" borderId="0" xfId="0" applyNumberFormat="1" applyBorder="1"/>
    <xf numFmtId="9" fontId="0" fillId="0" borderId="0" xfId="2" applyFont="1" applyBorder="1"/>
    <xf numFmtId="9" fontId="0" fillId="0" borderId="17" xfId="2" applyFont="1" applyBorder="1"/>
    <xf numFmtId="0" fontId="0" fillId="0" borderId="0" xfId="0" applyAlignment="1">
      <alignment wrapText="1"/>
    </xf>
    <xf numFmtId="0" fontId="0" fillId="0" borderId="0" xfId="0" applyAlignment="1">
      <alignment horizontal="right" vertical="center" wrapText="1"/>
    </xf>
    <xf numFmtId="164" fontId="2" fillId="0" borderId="26" xfId="1" applyNumberFormat="1" applyFont="1" applyBorder="1" applyAlignment="1">
      <alignment horizontal="center"/>
    </xf>
    <xf numFmtId="164" fontId="2" fillId="0" borderId="29" xfId="1" applyNumberFormat="1" applyFont="1" applyBorder="1" applyAlignment="1">
      <alignment horizontal="center"/>
    </xf>
    <xf numFmtId="164" fontId="2" fillId="0" borderId="14" xfId="1" applyNumberFormat="1" applyFont="1" applyBorder="1"/>
    <xf numFmtId="164" fontId="2" fillId="0" borderId="14" xfId="0" applyNumberFormat="1" applyFont="1" applyBorder="1"/>
    <xf numFmtId="164" fontId="2" fillId="0" borderId="15" xfId="0" applyNumberFormat="1" applyFont="1" applyBorder="1"/>
    <xf numFmtId="164" fontId="2" fillId="0" borderId="0" xfId="0" applyNumberFormat="1" applyFont="1" applyBorder="1"/>
    <xf numFmtId="164" fontId="2" fillId="0" borderId="17" xfId="0" applyNumberFormat="1" applyFont="1" applyBorder="1"/>
    <xf numFmtId="164" fontId="2" fillId="0" borderId="19" xfId="1" applyNumberFormat="1" applyFont="1" applyBorder="1"/>
    <xf numFmtId="164" fontId="2" fillId="0" borderId="19" xfId="0" applyNumberFormat="1" applyFont="1" applyBorder="1"/>
    <xf numFmtId="164" fontId="2" fillId="0" borderId="20" xfId="0" applyNumberFormat="1" applyFont="1" applyBorder="1"/>
    <xf numFmtId="164" fontId="2" fillId="4" borderId="0" xfId="1" applyNumberFormat="1" applyFont="1" applyFill="1" applyBorder="1"/>
    <xf numFmtId="0" fontId="2" fillId="4" borderId="4" xfId="0" applyFont="1" applyFill="1" applyBorder="1"/>
    <xf numFmtId="164" fontId="2" fillId="4" borderId="0" xfId="1" applyNumberFormat="1" applyFont="1" applyFill="1" applyBorder="1" applyAlignment="1">
      <alignment horizontal="center" vertical="center"/>
    </xf>
    <xf numFmtId="164" fontId="2" fillId="4" borderId="5" xfId="1" applyNumberFormat="1" applyFont="1" applyFill="1" applyBorder="1" applyAlignment="1">
      <alignment horizontal="center" vertical="center"/>
    </xf>
    <xf numFmtId="164" fontId="2" fillId="7" borderId="10" xfId="1" applyNumberFormat="1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center"/>
    </xf>
    <xf numFmtId="164" fontId="2" fillId="0" borderId="22" xfId="1" applyNumberFormat="1" applyFont="1" applyBorder="1" applyAlignment="1">
      <alignment horizontal="center"/>
    </xf>
    <xf numFmtId="3" fontId="10" fillId="0" borderId="0" xfId="3" applyNumberFormat="1" applyFont="1" applyAlignment="1">
      <alignment horizontal="center" vertical="center"/>
    </xf>
    <xf numFmtId="3" fontId="12" fillId="0" borderId="0" xfId="3" applyNumberFormat="1" applyFont="1" applyAlignment="1">
      <alignment horizontal="center" vertical="center"/>
    </xf>
    <xf numFmtId="3" fontId="11" fillId="0" borderId="28" xfId="3" applyNumberFormat="1" applyFont="1" applyBorder="1" applyAlignment="1">
      <alignment horizontal="center" vertical="center"/>
    </xf>
    <xf numFmtId="3" fontId="11" fillId="0" borderId="9" xfId="3" applyNumberFormat="1" applyFont="1" applyBorder="1" applyAlignment="1">
      <alignment horizontal="center" vertical="center"/>
    </xf>
    <xf numFmtId="3" fontId="11" fillId="0" borderId="11" xfId="3" applyNumberFormat="1" applyFont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7589B77D-5250-4657-B652-55844CCC99D3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C870-4F78-9746-7AC4F342D6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B66-41AE-97C6-C06C462E0DC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B66-41AE-97C6-C06C462E0DCA}"/>
              </c:ext>
            </c:extLst>
          </c:dPt>
          <c:dLbls>
            <c:delete val="1"/>
          </c:dLbls>
          <c:cat>
            <c:strRef>
              <c:f>Sheet1!$B$2:$B$4</c:f>
              <c:strCache>
                <c:ptCount val="3"/>
                <c:pt idx="0">
                  <c:v> مواد مستقیم</c:v>
                </c:pt>
                <c:pt idx="1">
                  <c:v>دستمزد مستقیم</c:v>
                </c:pt>
                <c:pt idx="2">
                  <c:v> سربار</c:v>
                </c:pt>
              </c:strCache>
            </c:strRef>
          </c:cat>
          <c:val>
            <c:numRef>
              <c:f>Sheet1!$C$2:$C$4</c:f>
              <c:numCache>
                <c:formatCode>0%</c:formatCode>
                <c:ptCount val="3"/>
                <c:pt idx="0">
                  <c:v>0.7243043484731494</c:v>
                </c:pt>
                <c:pt idx="1">
                  <c:v>4.9569170623701919E-2</c:v>
                </c:pt>
                <c:pt idx="2">
                  <c:v>0.22612648090314871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0-4F78-9746-7AC4F342D67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Mitra" panose="00000400000000000000" pitchFamily="2" charset="-78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Sheet1!$O$2:$O$11</c:f>
              <c:numCache>
                <c:formatCode>General</c:formatCode>
                <c:ptCount val="1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</c:numCache>
            </c:numRef>
          </c:cat>
          <c:val>
            <c:numRef>
              <c:f>Sheet1!$P$2:$P$11</c:f>
              <c:numCache>
                <c:formatCode>General</c:formatCode>
                <c:ptCount val="10"/>
                <c:pt idx="0">
                  <c:v>138</c:v>
                </c:pt>
                <c:pt idx="1">
                  <c:v>138</c:v>
                </c:pt>
                <c:pt idx="2">
                  <c:v>130</c:v>
                </c:pt>
                <c:pt idx="3">
                  <c:v>150</c:v>
                </c:pt>
                <c:pt idx="4">
                  <c:v>168.2</c:v>
                </c:pt>
                <c:pt idx="5">
                  <c:v>157.30000000000001</c:v>
                </c:pt>
                <c:pt idx="6">
                  <c:v>140</c:v>
                </c:pt>
                <c:pt idx="7">
                  <c:v>130</c:v>
                </c:pt>
                <c:pt idx="8">
                  <c:v>130</c:v>
                </c:pt>
                <c:pt idx="9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1-405E-9357-6317F404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84068688"/>
        <c:axId val="1984074512"/>
      </c:barChart>
      <c:catAx>
        <c:axId val="198406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74512"/>
        <c:crosses val="autoZero"/>
        <c:auto val="1"/>
        <c:lblAlgn val="ctr"/>
        <c:lblOffset val="100"/>
        <c:noMultiLvlLbl val="0"/>
      </c:catAx>
      <c:valAx>
        <c:axId val="198407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6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Sheet1!$AB$2:$AB$12</c:f>
              <c:strCache>
                <c:ptCount val="11"/>
                <c:pt idx="0">
                  <c:v>استرالیا</c:v>
                </c:pt>
                <c:pt idx="1">
                  <c:v>چین</c:v>
                </c:pt>
                <c:pt idx="2">
                  <c:v>مکزیک</c:v>
                </c:pt>
                <c:pt idx="3">
                  <c:v>پرو</c:v>
                </c:pt>
                <c:pt idx="4">
                  <c:v>قزاقستان</c:v>
                </c:pt>
                <c:pt idx="5">
                  <c:v>USA</c:v>
                </c:pt>
                <c:pt idx="6">
                  <c:v>هند</c:v>
                </c:pt>
                <c:pt idx="7">
                  <c:v>بولیوی</c:v>
                </c:pt>
                <c:pt idx="8">
                  <c:v>سوئد</c:v>
                </c:pt>
                <c:pt idx="9">
                  <c:v>کانادا</c:v>
                </c:pt>
                <c:pt idx="10">
                  <c:v>سایر</c:v>
                </c:pt>
              </c:strCache>
            </c:strRef>
          </c:cat>
          <c:val>
            <c:numRef>
              <c:f>Sheet1!$AC$2:$AC$12</c:f>
              <c:numCache>
                <c:formatCode>General</c:formatCode>
                <c:ptCount val="11"/>
                <c:pt idx="0">
                  <c:v>68</c:v>
                </c:pt>
                <c:pt idx="1">
                  <c:v>44</c:v>
                </c:pt>
                <c:pt idx="2">
                  <c:v>22</c:v>
                </c:pt>
                <c:pt idx="3">
                  <c:v>20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  <c:pt idx="7">
                  <c:v>4.8</c:v>
                </c:pt>
                <c:pt idx="8">
                  <c:v>3.6</c:v>
                </c:pt>
                <c:pt idx="9">
                  <c:v>2.2999999999999998</c:v>
                </c:pt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A-46AC-849F-5A8A950E4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82348976"/>
        <c:axId val="1982364784"/>
      </c:barChart>
      <c:catAx>
        <c:axId val="1982348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64784"/>
        <c:crosses val="autoZero"/>
        <c:auto val="1"/>
        <c:lblAlgn val="ctr"/>
        <c:lblOffset val="100"/>
        <c:noMultiLvlLbl val="0"/>
      </c:catAx>
      <c:valAx>
        <c:axId val="198236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4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Sheet1!$O$23:$O$34</c:f>
              <c:strCache>
                <c:ptCount val="12"/>
                <c:pt idx="0">
                  <c:v>استرالیا</c:v>
                </c:pt>
                <c:pt idx="1">
                  <c:v>چین</c:v>
                </c:pt>
                <c:pt idx="2">
                  <c:v>پرو</c:v>
                </c:pt>
                <c:pt idx="3">
                  <c:v>مکزیک</c:v>
                </c:pt>
                <c:pt idx="4">
                  <c:v>USA</c:v>
                </c:pt>
                <c:pt idx="5">
                  <c:v>روسیه</c:v>
                </c:pt>
                <c:pt idx="6">
                  <c:v>هند</c:v>
                </c:pt>
                <c:pt idx="7">
                  <c:v>قزاقستان</c:v>
                </c:pt>
                <c:pt idx="8">
                  <c:v>بولیوی</c:v>
                </c:pt>
                <c:pt idx="9">
                  <c:v>سوئد</c:v>
                </c:pt>
                <c:pt idx="10">
                  <c:v>ترکیه</c:v>
                </c:pt>
                <c:pt idx="11">
                  <c:v>سایر</c:v>
                </c:pt>
              </c:strCache>
            </c:strRef>
          </c:cat>
          <c:val>
            <c:numRef>
              <c:f>Sheet1!$P$23:$P$34</c:f>
              <c:numCache>
                <c:formatCode>General</c:formatCode>
                <c:ptCount val="12"/>
                <c:pt idx="0">
                  <c:v>36</c:v>
                </c:pt>
                <c:pt idx="1">
                  <c:v>18</c:v>
                </c:pt>
                <c:pt idx="2">
                  <c:v>6</c:v>
                </c:pt>
                <c:pt idx="3">
                  <c:v>5.6</c:v>
                </c:pt>
                <c:pt idx="4">
                  <c:v>5</c:v>
                </c:pt>
                <c:pt idx="5">
                  <c:v>4</c:v>
                </c:pt>
                <c:pt idx="6">
                  <c:v>2.5</c:v>
                </c:pt>
                <c:pt idx="7">
                  <c:v>2</c:v>
                </c:pt>
                <c:pt idx="8">
                  <c:v>1.6</c:v>
                </c:pt>
                <c:pt idx="9">
                  <c:v>1.1000000000000001</c:v>
                </c:pt>
                <c:pt idx="10">
                  <c:v>0.86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6-4149-B66E-BD3796E4E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1268992"/>
        <c:axId val="2071275232"/>
      </c:barChart>
      <c:catAx>
        <c:axId val="2071268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75232"/>
        <c:crosses val="autoZero"/>
        <c:auto val="1"/>
        <c:lblAlgn val="ctr"/>
        <c:lblOffset val="100"/>
        <c:noMultiLvlLbl val="0"/>
      </c:catAx>
      <c:valAx>
        <c:axId val="207127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26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93-4089-9424-6C10E8D82C4E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93-4089-9424-6C10E8D82C4E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93-4089-9424-6C10E8D82C4E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93-4089-9424-6C10E8D82C4E}"/>
              </c:ext>
            </c:extLst>
          </c:dPt>
          <c:cat>
            <c:strRef>
              <c:f>Sheet1!$C$38:$C$41</c:f>
              <c:strCache>
                <c:ptCount val="4"/>
                <c:pt idx="0">
                  <c:v>باتری</c:v>
                </c:pt>
                <c:pt idx="1">
                  <c:v>نورد و محصولات تابع</c:v>
                </c:pt>
                <c:pt idx="2">
                  <c:v>آلیاژهای سربی</c:v>
                </c:pt>
                <c:pt idx="3">
                  <c:v>سایر</c:v>
                </c:pt>
              </c:strCache>
            </c:strRef>
          </c:cat>
          <c:val>
            <c:numRef>
              <c:f>Sheet1!$D$38:$D$41</c:f>
              <c:numCache>
                <c:formatCode>General</c:formatCode>
                <c:ptCount val="4"/>
                <c:pt idx="0">
                  <c:v>0.86</c:v>
                </c:pt>
                <c:pt idx="1">
                  <c:v>7.0000000000000007E-2</c:v>
                </c:pt>
                <c:pt idx="2">
                  <c:v>0.05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0-47C7-8AE1-BDAE9C38B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FD-484C-B0C1-EA9AD028E4DD}"/>
              </c:ext>
            </c:extLst>
          </c:dPt>
          <c:dPt>
            <c:idx val="1"/>
            <c:bubble3D val="0"/>
            <c:spPr>
              <a:solidFill>
                <a:schemeClr val="accent5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FD-484C-B0C1-EA9AD028E4DD}"/>
              </c:ext>
            </c:extLst>
          </c:dPt>
          <c:dPt>
            <c:idx val="2"/>
            <c:bubble3D val="0"/>
            <c:spPr>
              <a:solidFill>
                <a:schemeClr val="accent5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FD-484C-B0C1-EA9AD028E4DD}"/>
              </c:ext>
            </c:extLst>
          </c:dPt>
          <c:dPt>
            <c:idx val="3"/>
            <c:bubble3D val="0"/>
            <c:spPr>
              <a:solidFill>
                <a:schemeClr val="accent5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FD-484C-B0C1-EA9AD028E4DD}"/>
              </c:ext>
            </c:extLst>
          </c:dPt>
          <c:dPt>
            <c:idx val="4"/>
            <c:bubble3D val="0"/>
            <c:spPr>
              <a:solidFill>
                <a:schemeClr val="accent5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FD-484C-B0C1-EA9AD028E4DD}"/>
              </c:ext>
            </c:extLst>
          </c:dPt>
          <c:dPt>
            <c:idx val="5"/>
            <c:bubble3D val="0"/>
            <c:spPr>
              <a:solidFill>
                <a:schemeClr val="accent5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EFD-484C-B0C1-EA9AD028E4DD}"/>
              </c:ext>
            </c:extLst>
          </c:dPt>
          <c:cat>
            <c:strRef>
              <c:f>Sheet1!$C$51:$C$56</c:f>
              <c:strCache>
                <c:ptCount val="6"/>
                <c:pt idx="0">
                  <c:v>گالوانیزه</c:v>
                </c:pt>
                <c:pt idx="1">
                  <c:v>ریخته گری</c:v>
                </c:pt>
                <c:pt idx="2">
                  <c:v>برنج و برنز</c:v>
                </c:pt>
                <c:pt idx="3">
                  <c:v>روی نورد شده</c:v>
                </c:pt>
                <c:pt idx="4">
                  <c:v>مواد شیمیایی</c:v>
                </c:pt>
                <c:pt idx="5">
                  <c:v>سایر</c:v>
                </c:pt>
              </c:strCache>
            </c:strRef>
          </c:cat>
          <c:val>
            <c:numRef>
              <c:f>Sheet1!$D$51:$D$56</c:f>
              <c:numCache>
                <c:formatCode>General</c:formatCode>
                <c:ptCount val="6"/>
                <c:pt idx="0">
                  <c:v>0.55000000000000004</c:v>
                </c:pt>
                <c:pt idx="1">
                  <c:v>0.17</c:v>
                </c:pt>
                <c:pt idx="2">
                  <c:v>0.17</c:v>
                </c:pt>
                <c:pt idx="3">
                  <c:v>0.06</c:v>
                </c:pt>
                <c:pt idx="4">
                  <c:v>0.06</c:v>
                </c:pt>
                <c:pt idx="5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F-4047-935E-C0C4AEAC4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610491</xdr:colOff>
      <xdr:row>23</xdr:row>
      <xdr:rowOff>124733</xdr:rowOff>
    </xdr:from>
    <xdr:to>
      <xdr:col>18</xdr:col>
      <xdr:colOff>35019</xdr:colOff>
      <xdr:row>32</xdr:row>
      <xdr:rowOff>14332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BB78BB-FC04-4C34-BA96-FCFDE44A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2329750" y="5751810"/>
          <a:ext cx="4905067" cy="2036387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</xdr:colOff>
      <xdr:row>323</xdr:row>
      <xdr:rowOff>42151</xdr:rowOff>
    </xdr:from>
    <xdr:to>
      <xdr:col>28</xdr:col>
      <xdr:colOff>596447</xdr:colOff>
      <xdr:row>339</xdr:row>
      <xdr:rowOff>94481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B44201-76E7-404A-BEDC-CAFA5D44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4532839" y="69288901"/>
          <a:ext cx="6695849" cy="4379401"/>
        </a:xfrm>
        <a:prstGeom prst="rect">
          <a:avLst/>
        </a:prstGeom>
      </xdr:spPr>
    </xdr:pic>
    <xdr:clientData/>
  </xdr:twoCellAnchor>
  <xdr:twoCellAnchor editAs="oneCell">
    <xdr:from>
      <xdr:col>21</xdr:col>
      <xdr:colOff>177295</xdr:colOff>
      <xdr:row>256</xdr:row>
      <xdr:rowOff>156796</xdr:rowOff>
    </xdr:from>
    <xdr:to>
      <xdr:col>34</xdr:col>
      <xdr:colOff>8443</xdr:colOff>
      <xdr:row>268</xdr:row>
      <xdr:rowOff>574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6FCE89-9331-4EBA-8ED4-8A5667526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6951557" y="52068046"/>
          <a:ext cx="7755948" cy="2758428"/>
        </a:xfrm>
        <a:prstGeom prst="rect">
          <a:avLst/>
        </a:prstGeom>
      </xdr:spPr>
    </xdr:pic>
    <xdr:clientData/>
  </xdr:twoCellAnchor>
  <xdr:twoCellAnchor editAs="oneCell">
    <xdr:from>
      <xdr:col>11</xdr:col>
      <xdr:colOff>363538</xdr:colOff>
      <xdr:row>195</xdr:row>
      <xdr:rowOff>95249</xdr:rowOff>
    </xdr:from>
    <xdr:to>
      <xdr:col>22</xdr:col>
      <xdr:colOff>181342</xdr:colOff>
      <xdr:row>200</xdr:row>
      <xdr:rowOff>98098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C24347-955C-48EA-B927-2273CB30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9702187" y="42664062"/>
          <a:ext cx="7764463" cy="1147071"/>
        </a:xfrm>
        <a:prstGeom prst="rect">
          <a:avLst/>
        </a:prstGeom>
      </xdr:spPr>
    </xdr:pic>
    <xdr:clientData/>
  </xdr:twoCellAnchor>
  <xdr:twoCellAnchor editAs="oneCell">
    <xdr:from>
      <xdr:col>11</xdr:col>
      <xdr:colOff>942956</xdr:colOff>
      <xdr:row>146</xdr:row>
      <xdr:rowOff>136816</xdr:rowOff>
    </xdr:from>
    <xdr:to>
      <xdr:col>22</xdr:col>
      <xdr:colOff>370201</xdr:colOff>
      <xdr:row>158</xdr:row>
      <xdr:rowOff>200140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466382-E570-44EB-AB5A-1333BD8B4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851663" y="28971589"/>
          <a:ext cx="8478881" cy="2713006"/>
        </a:xfrm>
        <a:prstGeom prst="rect">
          <a:avLst/>
        </a:prstGeom>
      </xdr:spPr>
    </xdr:pic>
    <xdr:clientData/>
  </xdr:twoCellAnchor>
  <xdr:twoCellAnchor editAs="oneCell">
    <xdr:from>
      <xdr:col>11</xdr:col>
      <xdr:colOff>867491</xdr:colOff>
      <xdr:row>162</xdr:row>
      <xdr:rowOff>143311</xdr:rowOff>
    </xdr:from>
    <xdr:to>
      <xdr:col>20</xdr:col>
      <xdr:colOff>407971</xdr:colOff>
      <xdr:row>171</xdr:row>
      <xdr:rowOff>118974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7C8119-61F2-42FB-9F61-40F795699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0740529" y="33957061"/>
          <a:ext cx="6237288" cy="2063836"/>
        </a:xfrm>
        <a:prstGeom prst="rect">
          <a:avLst/>
        </a:prstGeom>
      </xdr:spPr>
    </xdr:pic>
    <xdr:clientData/>
  </xdr:twoCellAnchor>
  <xdr:twoCellAnchor editAs="oneCell">
    <xdr:from>
      <xdr:col>11</xdr:col>
      <xdr:colOff>201928</xdr:colOff>
      <xdr:row>168</xdr:row>
      <xdr:rowOff>2878</xdr:rowOff>
    </xdr:from>
    <xdr:to>
      <xdr:col>21</xdr:col>
      <xdr:colOff>438410</xdr:colOff>
      <xdr:row>171</xdr:row>
      <xdr:rowOff>220098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DBDB77-305F-488A-98BA-C2F06FA9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0101955" y="33003340"/>
          <a:ext cx="7541425" cy="94258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219227</xdr:colOff>
      <xdr:row>119</xdr:row>
      <xdr:rowOff>137583</xdr:rowOff>
    </xdr:from>
    <xdr:to>
      <xdr:col>20</xdr:col>
      <xdr:colOff>344598</xdr:colOff>
      <xdr:row>125</xdr:row>
      <xdr:rowOff>170953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51A2A1-56D8-4BED-A404-09FD2F80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9312725" y="27923369"/>
          <a:ext cx="6864048" cy="14212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1087931</xdr:colOff>
      <xdr:row>208</xdr:row>
      <xdr:rowOff>15875</xdr:rowOff>
    </xdr:from>
    <xdr:to>
      <xdr:col>20</xdr:col>
      <xdr:colOff>562689</xdr:colOff>
      <xdr:row>252</xdr:row>
      <xdr:rowOff>114269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D331BB-3313-415F-B0AD-6D5A6B94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9094634" y="45722268"/>
          <a:ext cx="6213435" cy="6107518"/>
        </a:xfrm>
        <a:prstGeom prst="rect">
          <a:avLst/>
        </a:prstGeom>
      </xdr:spPr>
    </xdr:pic>
    <xdr:clientData/>
  </xdr:twoCellAnchor>
  <xdr:twoCellAnchor editAs="oneCell">
    <xdr:from>
      <xdr:col>11</xdr:col>
      <xdr:colOff>358323</xdr:colOff>
      <xdr:row>189</xdr:row>
      <xdr:rowOff>15876</xdr:rowOff>
    </xdr:from>
    <xdr:to>
      <xdr:col>22</xdr:col>
      <xdr:colOff>141731</xdr:colOff>
      <xdr:row>193</xdr:row>
      <xdr:rowOff>175323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AD8205-8C6B-44C8-82BE-FCADDD56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8295137" y="41517662"/>
          <a:ext cx="7742540" cy="1084733"/>
        </a:xfrm>
        <a:prstGeom prst="rect">
          <a:avLst/>
        </a:prstGeom>
      </xdr:spPr>
    </xdr:pic>
    <xdr:clientData/>
  </xdr:twoCellAnchor>
  <xdr:twoCellAnchor editAs="oneCell">
    <xdr:from>
      <xdr:col>11</xdr:col>
      <xdr:colOff>487590</xdr:colOff>
      <xdr:row>201</xdr:row>
      <xdr:rowOff>208642</xdr:rowOff>
    </xdr:from>
    <xdr:to>
      <xdr:col>21</xdr:col>
      <xdr:colOff>306958</xdr:colOff>
      <xdr:row>205</xdr:row>
      <xdr:rowOff>204937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547B57-52F2-4BDE-8F56-91791FAD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8738044" y="44282178"/>
          <a:ext cx="7170366" cy="957169"/>
        </a:xfrm>
        <a:prstGeom prst="rect">
          <a:avLst/>
        </a:prstGeom>
      </xdr:spPr>
    </xdr:pic>
    <xdr:clientData/>
  </xdr:twoCellAnchor>
  <xdr:twoCellAnchor editAs="oneCell">
    <xdr:from>
      <xdr:col>11</xdr:col>
      <xdr:colOff>373061</xdr:colOff>
      <xdr:row>182</xdr:row>
      <xdr:rowOff>119064</xdr:rowOff>
    </xdr:from>
    <xdr:to>
      <xdr:col>20</xdr:col>
      <xdr:colOff>126681</xdr:colOff>
      <xdr:row>188</xdr:row>
      <xdr:rowOff>31077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AD87AA-F56A-4E64-AF30-0B126518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0979223" y="39885939"/>
          <a:ext cx="6477904" cy="1295581"/>
        </a:xfrm>
        <a:prstGeom prst="rect">
          <a:avLst/>
        </a:prstGeom>
      </xdr:spPr>
    </xdr:pic>
    <xdr:clientData/>
  </xdr:twoCellAnchor>
  <xdr:twoCellAnchor editAs="oneCell">
    <xdr:from>
      <xdr:col>11</xdr:col>
      <xdr:colOff>214012</xdr:colOff>
      <xdr:row>175</xdr:row>
      <xdr:rowOff>19050</xdr:rowOff>
    </xdr:from>
    <xdr:to>
      <xdr:col>20</xdr:col>
      <xdr:colOff>546588</xdr:colOff>
      <xdr:row>180</xdr:row>
      <xdr:rowOff>144835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797E42-9EB9-4662-B899-F92BDBC8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4580000" y="39223950"/>
          <a:ext cx="7044038" cy="1281974"/>
        </a:xfrm>
        <a:prstGeom prst="rect">
          <a:avLst/>
        </a:prstGeom>
      </xdr:spPr>
    </xdr:pic>
    <xdr:clientData/>
  </xdr:twoCellAnchor>
  <xdr:twoCellAnchor editAs="oneCell">
    <xdr:from>
      <xdr:col>24</xdr:col>
      <xdr:colOff>62801</xdr:colOff>
      <xdr:row>198</xdr:row>
      <xdr:rowOff>138164</xdr:rowOff>
    </xdr:from>
    <xdr:to>
      <xdr:col>36</xdr:col>
      <xdr:colOff>510371</xdr:colOff>
      <xdr:row>206</xdr:row>
      <xdr:rowOff>188637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2FC2B1-16D9-43EB-A0ED-F0E42A57B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1274321" y="41835683"/>
          <a:ext cx="7745186" cy="1911511"/>
        </a:xfrm>
        <a:prstGeom prst="rect">
          <a:avLst/>
        </a:prstGeom>
      </xdr:spPr>
    </xdr:pic>
    <xdr:clientData/>
  </xdr:twoCellAnchor>
  <xdr:twoCellAnchor editAs="oneCell">
    <xdr:from>
      <xdr:col>15</xdr:col>
      <xdr:colOff>483088</xdr:colOff>
      <xdr:row>281</xdr:row>
      <xdr:rowOff>190336</xdr:rowOff>
    </xdr:from>
    <xdr:to>
      <xdr:col>25</xdr:col>
      <xdr:colOff>129930</xdr:colOff>
      <xdr:row>298</xdr:row>
      <xdr:rowOff>236835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290CD2-5FA2-455E-8332-5D3F3A201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001412" y="58178536"/>
          <a:ext cx="6438900" cy="4135322"/>
        </a:xfrm>
        <a:prstGeom prst="rect">
          <a:avLst/>
        </a:prstGeom>
      </xdr:spPr>
    </xdr:pic>
    <xdr:clientData/>
  </xdr:twoCellAnchor>
  <xdr:twoCellAnchor editAs="oneCell">
    <xdr:from>
      <xdr:col>26</xdr:col>
      <xdr:colOff>312943</xdr:colOff>
      <xdr:row>281</xdr:row>
      <xdr:rowOff>130745</xdr:rowOff>
    </xdr:from>
    <xdr:to>
      <xdr:col>37</xdr:col>
      <xdr:colOff>158426</xdr:colOff>
      <xdr:row>298</xdr:row>
      <xdr:rowOff>113362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2DB2A29-71DC-45AA-8C7F-5270BECA0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4972775" y="58118945"/>
          <a:ext cx="6551082" cy="40714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4</xdr:row>
      <xdr:rowOff>184149</xdr:rowOff>
    </xdr:from>
    <xdr:to>
      <xdr:col>7</xdr:col>
      <xdr:colOff>265113</xdr:colOff>
      <xdr:row>19</xdr:row>
      <xdr:rowOff>77787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814FB-CD6B-4C54-9AEF-1F070CA1D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111125</xdr:colOff>
      <xdr:row>0</xdr:row>
      <xdr:rowOff>41275</xdr:rowOff>
    </xdr:from>
    <xdr:to>
      <xdr:col>23</xdr:col>
      <xdr:colOff>404813</xdr:colOff>
      <xdr:row>14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AAF62-68D4-4AAC-9437-766C85AD4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404812</xdr:colOff>
      <xdr:row>0</xdr:row>
      <xdr:rowOff>65088</xdr:rowOff>
    </xdr:from>
    <xdr:to>
      <xdr:col>37</xdr:col>
      <xdr:colOff>87312</xdr:colOff>
      <xdr:row>14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EF4895-C8B5-464E-9860-CC52B6E0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408782</xdr:colOff>
      <xdr:row>21</xdr:row>
      <xdr:rowOff>65089</xdr:rowOff>
    </xdr:from>
    <xdr:to>
      <xdr:col>24</xdr:col>
      <xdr:colOff>91282</xdr:colOff>
      <xdr:row>35</xdr:row>
      <xdr:rowOff>141289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5E3C0-FBC0-47B0-BF2B-6D7EAF950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182562</xdr:colOff>
      <xdr:row>31</xdr:row>
      <xdr:rowOff>152400</xdr:rowOff>
    </xdr:from>
    <xdr:to>
      <xdr:col>14</xdr:col>
      <xdr:colOff>476249</xdr:colOff>
      <xdr:row>45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C2AC34-E877-4B9F-A25B-36368ECA6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543720</xdr:colOff>
      <xdr:row>46</xdr:row>
      <xdr:rowOff>120651</xdr:rowOff>
    </xdr:from>
    <xdr:to>
      <xdr:col>14</xdr:col>
      <xdr:colOff>154782</xdr:colOff>
      <xdr:row>61</xdr:row>
      <xdr:rowOff>6351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BAF748-5F31-4FCE-B045-1326FF0D6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47"/>
  <sheetViews>
    <sheetView rightToLeft="1" tabSelected="1" topLeftCell="D192" zoomScaleNormal="100" workbookViewId="0">
      <selection activeCell="AE212" sqref="AE212"/>
    </sheetView>
  </sheetViews>
  <sheetFormatPr defaultRowHeight="18" x14ac:dyDescent="0.45"/>
  <cols>
    <col min="2" max="2" width="38.28515625" style="1" bestFit="1" customWidth="1"/>
    <col min="3" max="3" width="13.42578125" style="17" bestFit="1" customWidth="1"/>
    <col min="4" max="4" width="14.42578125" style="17" bestFit="1" customWidth="1"/>
    <col min="5" max="5" width="12.28515625" style="17" customWidth="1"/>
    <col min="6" max="6" width="13.42578125" style="17" bestFit="1" customWidth="1"/>
    <col min="7" max="7" width="17.5703125" style="17" bestFit="1" customWidth="1"/>
    <col min="8" max="8" width="12.28515625" style="17" customWidth="1"/>
    <col min="9" max="10" width="14.42578125" style="17" bestFit="1" customWidth="1"/>
    <col min="11" max="11" width="14.42578125" style="18" bestFit="1" customWidth="1"/>
    <col min="12" max="12" width="16.28515625" style="4" bestFit="1" customWidth="1"/>
    <col min="13" max="13" width="9.140625" style="4"/>
    <col min="14" max="14" width="9.85546875" style="4" bestFit="1" customWidth="1"/>
    <col min="15" max="15" width="9.140625" style="4"/>
    <col min="16" max="16" width="18.140625" style="4" bestFit="1" customWidth="1"/>
    <col min="17" max="17" width="10.5703125" style="4" customWidth="1"/>
    <col min="18" max="24" width="9.140625" style="4"/>
    <col min="25" max="27" width="9.140625" style="5"/>
    <col min="28" max="31" width="9.140625" style="1"/>
  </cols>
  <sheetData>
    <row r="1" spans="2:42" ht="19.5" x14ac:dyDescent="0.5">
      <c r="B1" s="35" t="s">
        <v>168</v>
      </c>
      <c r="C1" s="36">
        <v>1394</v>
      </c>
      <c r="D1" s="36">
        <v>1395</v>
      </c>
      <c r="E1" s="36">
        <v>1396</v>
      </c>
      <c r="F1" s="36">
        <v>1397</v>
      </c>
      <c r="G1" s="36">
        <v>1398</v>
      </c>
      <c r="H1" s="36">
        <v>1399</v>
      </c>
      <c r="I1" s="132">
        <v>1400</v>
      </c>
      <c r="J1" s="132">
        <v>1401</v>
      </c>
      <c r="K1" s="133">
        <v>1402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3"/>
      <c r="AA1" s="3"/>
      <c r="AB1" s="3"/>
      <c r="AC1" s="3"/>
    </row>
    <row r="2" spans="2:42" ht="19.5" x14ac:dyDescent="0.5">
      <c r="B2" s="37" t="s">
        <v>0</v>
      </c>
      <c r="C2" s="38"/>
      <c r="D2" s="38"/>
      <c r="E2" s="38"/>
      <c r="F2" s="38"/>
      <c r="G2" s="38"/>
      <c r="H2" s="38"/>
      <c r="I2" s="134"/>
      <c r="J2" s="134"/>
      <c r="K2" s="13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  <c r="Z2" s="3"/>
      <c r="AA2" s="3"/>
      <c r="AB2" s="3"/>
      <c r="AC2" s="3"/>
    </row>
    <row r="3" spans="2:42" ht="19.5" x14ac:dyDescent="0.5">
      <c r="B3" s="37" t="s">
        <v>89</v>
      </c>
      <c r="C3" s="39"/>
      <c r="D3" s="39"/>
      <c r="E3" s="39"/>
      <c r="F3" s="39"/>
      <c r="G3" s="39"/>
      <c r="H3" s="39">
        <f>2860/H8</f>
        <v>1.3687452291332157E-2</v>
      </c>
      <c r="I3" s="176">
        <f>0.1*0.13</f>
        <v>1.3000000000000001E-2</v>
      </c>
      <c r="J3" s="176">
        <f>I3</f>
        <v>1.3000000000000001E-2</v>
      </c>
      <c r="K3" s="177">
        <f>J3</f>
        <v>1.3000000000000001E-2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/>
      <c r="Z3" s="3"/>
      <c r="AA3" s="3"/>
      <c r="AB3" s="3"/>
      <c r="AC3" s="3"/>
    </row>
    <row r="4" spans="2:42" ht="19.5" x14ac:dyDescent="0.5">
      <c r="B4" s="37" t="s">
        <v>90</v>
      </c>
      <c r="C4" s="39"/>
      <c r="D4" s="39"/>
      <c r="E4" s="39"/>
      <c r="F4" s="39"/>
      <c r="G4" s="39"/>
      <c r="H4" s="39">
        <f>780/H8</f>
        <v>3.7329415339996791E-3</v>
      </c>
      <c r="I4" s="176">
        <v>0.01</v>
      </c>
      <c r="J4" s="176">
        <v>0.02</v>
      </c>
      <c r="K4" s="177">
        <v>0.03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/>
      <c r="Z4" s="3"/>
      <c r="AA4" s="3"/>
      <c r="AB4" s="3"/>
      <c r="AC4" s="3"/>
    </row>
    <row r="5" spans="2:42" ht="20.25" thickBot="1" x14ac:dyDescent="0.55000000000000004">
      <c r="B5" s="37" t="s">
        <v>91</v>
      </c>
      <c r="C5" s="30"/>
      <c r="D5" s="30">
        <v>2337</v>
      </c>
      <c r="E5" s="30">
        <v>3043</v>
      </c>
      <c r="F5" s="30">
        <v>2753</v>
      </c>
      <c r="G5" s="30">
        <v>2432</v>
      </c>
      <c r="H5" s="30">
        <v>2374</v>
      </c>
      <c r="I5" s="136">
        <v>3000</v>
      </c>
      <c r="J5" s="136">
        <v>3000</v>
      </c>
      <c r="K5" s="137">
        <v>3000</v>
      </c>
      <c r="M5" s="2"/>
      <c r="N5" s="2"/>
      <c r="O5" s="2"/>
      <c r="P5" s="2" t="s">
        <v>91</v>
      </c>
      <c r="Q5" s="2"/>
      <c r="R5" s="2"/>
      <c r="S5" s="2"/>
      <c r="T5" s="2"/>
      <c r="U5" s="2"/>
      <c r="V5" s="2"/>
      <c r="W5" s="2"/>
      <c r="X5" s="2"/>
      <c r="Y5" s="3"/>
      <c r="Z5" s="3"/>
      <c r="AA5" s="3"/>
      <c r="AB5" s="3"/>
      <c r="AC5" s="3"/>
      <c r="AE5" s="1" t="s">
        <v>92</v>
      </c>
    </row>
    <row r="6" spans="2:42" ht="19.5" x14ac:dyDescent="0.5">
      <c r="B6" s="37" t="s">
        <v>92</v>
      </c>
      <c r="C6" s="30"/>
      <c r="D6" s="30">
        <v>1987</v>
      </c>
      <c r="E6" s="30">
        <v>2377</v>
      </c>
      <c r="F6" s="30">
        <v>2132</v>
      </c>
      <c r="G6" s="30">
        <v>1962</v>
      </c>
      <c r="H6" s="30">
        <v>1808</v>
      </c>
      <c r="I6" s="136">
        <v>2100</v>
      </c>
      <c r="J6" s="136">
        <v>2100</v>
      </c>
      <c r="K6" s="137">
        <v>2050</v>
      </c>
      <c r="P6" s="76">
        <f>I287</f>
        <v>4534.615807122329</v>
      </c>
      <c r="Q6" s="250">
        <v>2500</v>
      </c>
      <c r="R6" s="250">
        <v>2600</v>
      </c>
      <c r="S6" s="250">
        <v>2700</v>
      </c>
      <c r="T6" s="250">
        <v>2800</v>
      </c>
      <c r="U6" s="250">
        <v>2900</v>
      </c>
      <c r="V6" s="250">
        <v>3000</v>
      </c>
      <c r="W6" s="250">
        <v>3100</v>
      </c>
      <c r="X6" s="250">
        <v>3200</v>
      </c>
      <c r="Y6" s="251">
        <v>3300</v>
      </c>
      <c r="Z6" s="251">
        <v>3400</v>
      </c>
      <c r="AA6" s="252">
        <v>3500</v>
      </c>
      <c r="AE6" s="76">
        <f>I287</f>
        <v>4534.615807122329</v>
      </c>
      <c r="AF6" s="250">
        <v>1600</v>
      </c>
      <c r="AG6" s="250">
        <v>1700</v>
      </c>
      <c r="AH6" s="250">
        <v>1800</v>
      </c>
      <c r="AI6" s="250">
        <v>1900</v>
      </c>
      <c r="AJ6" s="250">
        <v>2000</v>
      </c>
      <c r="AK6" s="250">
        <v>2100</v>
      </c>
      <c r="AL6" s="250">
        <v>2200</v>
      </c>
      <c r="AM6" s="250">
        <v>2300</v>
      </c>
      <c r="AN6" s="250">
        <v>2400</v>
      </c>
      <c r="AO6" s="251">
        <v>2500</v>
      </c>
      <c r="AP6" s="252">
        <v>2600</v>
      </c>
    </row>
    <row r="7" spans="2:42" ht="19.5" x14ac:dyDescent="0.5">
      <c r="B7" s="37" t="s">
        <v>82</v>
      </c>
      <c r="C7" s="30"/>
      <c r="D7" s="40">
        <v>0.11826821541710664</v>
      </c>
      <c r="E7" s="40">
        <v>5.193578847969782E-2</v>
      </c>
      <c r="F7" s="40">
        <v>0.4748653500897666</v>
      </c>
      <c r="G7" s="40">
        <v>0.22032866707242849</v>
      </c>
      <c r="H7" s="40">
        <v>0.48</v>
      </c>
      <c r="I7" s="138">
        <v>0.35</v>
      </c>
      <c r="J7" s="138">
        <v>0.2</v>
      </c>
      <c r="K7" s="139">
        <v>0.2</v>
      </c>
      <c r="P7" s="78">
        <v>200000</v>
      </c>
      <c r="Q7" s="79">
        <f t="dataTable" ref="Q7:AA17" dt2D="1" dtr="1" r1="I5" r2="I8" ca="1"/>
        <v>1879.8191007804344</v>
      </c>
      <c r="R7" s="79">
        <v>2014.595894303111</v>
      </c>
      <c r="S7" s="79">
        <v>2149.4579256644038</v>
      </c>
      <c r="T7" s="79">
        <v>2284.400441300786</v>
      </c>
      <c r="U7" s="79">
        <v>2419.4190346617297</v>
      </c>
      <c r="V7" s="79">
        <v>2554.5096151120588</v>
      </c>
      <c r="W7" s="79">
        <v>2689.6683801195936</v>
      </c>
      <c r="X7" s="79">
        <v>2824.8917903301663</v>
      </c>
      <c r="Y7" s="253">
        <v>2960.1765471863218</v>
      </c>
      <c r="Z7" s="253">
        <v>3095.5195727917717</v>
      </c>
      <c r="AA7" s="254">
        <v>3230.9179917631827</v>
      </c>
      <c r="AE7" s="78">
        <v>200000</v>
      </c>
      <c r="AF7" s="79">
        <f t="dataTable" ref="AF7:AP17" dt2D="1" dtr="1" r1="I6" r2="I8"/>
        <v>2316.4021650898658</v>
      </c>
      <c r="AG7" s="79">
        <v>2363.9981304669654</v>
      </c>
      <c r="AH7" s="79">
        <v>2411.6076475431346</v>
      </c>
      <c r="AI7" s="79">
        <v>2459.2298950400418</v>
      </c>
      <c r="AJ7" s="79">
        <v>2506.864116728249</v>
      </c>
      <c r="AK7" s="79">
        <v>2554.5096151120588</v>
      </c>
      <c r="AL7" s="79">
        <v>2602.1657458360678</v>
      </c>
      <c r="AM7" s="79">
        <v>2649.831912718967</v>
      </c>
      <c r="AN7" s="79">
        <v>2697.5075633341025</v>
      </c>
      <c r="AO7" s="253">
        <v>2745.1921850677782</v>
      </c>
      <c r="AP7" s="254">
        <v>2792.8853015960849</v>
      </c>
    </row>
    <row r="8" spans="2:42" ht="19.5" x14ac:dyDescent="0.5">
      <c r="B8" s="37" t="s">
        <v>83</v>
      </c>
      <c r="C8" s="30"/>
      <c r="D8" s="30">
        <v>36380</v>
      </c>
      <c r="E8" s="30">
        <v>40450</v>
      </c>
      <c r="F8" s="30">
        <v>68032.25</v>
      </c>
      <c r="G8" s="30">
        <v>112528.14338354449</v>
      </c>
      <c r="H8" s="30">
        <v>208950.5</v>
      </c>
      <c r="I8" s="136">
        <v>250000</v>
      </c>
      <c r="J8" s="136">
        <v>320000</v>
      </c>
      <c r="K8" s="137">
        <f>J8*(1+K7)</f>
        <v>384000</v>
      </c>
      <c r="P8" s="78">
        <v>210000</v>
      </c>
      <c r="Q8" s="79">
        <v>2241.8300505555862</v>
      </c>
      <c r="R8" s="79">
        <v>2383.4050971915321</v>
      </c>
      <c r="S8" s="79">
        <v>2525.0673927961416</v>
      </c>
      <c r="T8" s="79">
        <v>2666.8120716487133</v>
      </c>
      <c r="U8" s="79">
        <v>2808.634623229098</v>
      </c>
      <c r="V8" s="79">
        <v>2950.5308603863023</v>
      </c>
      <c r="W8" s="79">
        <v>3092.4968908699316</v>
      </c>
      <c r="X8" s="79">
        <v>3234.5290918171231</v>
      </c>
      <c r="Y8" s="253">
        <v>3376.6240868431455</v>
      </c>
      <c r="Z8" s="253">
        <v>3518.7787254308068</v>
      </c>
      <c r="AA8" s="254">
        <v>3660.9900643540072</v>
      </c>
      <c r="AE8" s="78">
        <v>210000</v>
      </c>
      <c r="AF8" s="79">
        <v>2700.8346775767791</v>
      </c>
      <c r="AG8" s="79">
        <v>2750.7417806493495</v>
      </c>
      <c r="AH8" s="79">
        <v>2800.6659442404402</v>
      </c>
      <c r="AI8" s="79">
        <v>2850.606134425519</v>
      </c>
      <c r="AJ8" s="79">
        <v>2900.5613991714677</v>
      </c>
      <c r="AK8" s="79">
        <v>2950.5308603863023</v>
      </c>
      <c r="AL8" s="79">
        <v>3000.5137068774739</v>
      </c>
      <c r="AM8" s="79">
        <v>3050.5091880998234</v>
      </c>
      <c r="AN8" s="79">
        <v>3100.5166085918263</v>
      </c>
      <c r="AO8" s="253">
        <v>3150.5353230133383</v>
      </c>
      <c r="AP8" s="254">
        <v>3200.5647317101843</v>
      </c>
    </row>
    <row r="9" spans="2:42" ht="19.5" x14ac:dyDescent="0.5">
      <c r="B9" s="124" t="s">
        <v>120</v>
      </c>
      <c r="C9" s="30"/>
      <c r="D9" s="30"/>
      <c r="E9" s="30"/>
      <c r="F9" s="30"/>
      <c r="G9" s="30"/>
      <c r="H9" s="30"/>
      <c r="I9" s="138">
        <v>0.03</v>
      </c>
      <c r="J9" s="138">
        <v>0.03</v>
      </c>
      <c r="K9" s="139">
        <v>0.03</v>
      </c>
      <c r="P9" s="78">
        <v>220000</v>
      </c>
      <c r="Q9" s="79">
        <v>2603.8409960417189</v>
      </c>
      <c r="R9" s="79">
        <v>2752.2142958737509</v>
      </c>
      <c r="S9" s="79">
        <v>2900.6768558013418</v>
      </c>
      <c r="T9" s="79">
        <v>3049.2236979468134</v>
      </c>
      <c r="U9" s="79">
        <v>3197.8502078205447</v>
      </c>
      <c r="V9" s="79">
        <v>3346.5521017558917</v>
      </c>
      <c r="W9" s="79">
        <v>3495.3253977843692</v>
      </c>
      <c r="X9" s="79">
        <v>3644.1663895345541</v>
      </c>
      <c r="Y9" s="253">
        <v>3793.0716227945609</v>
      </c>
      <c r="Z9" s="253">
        <v>3942.0378744263971</v>
      </c>
      <c r="AA9" s="254">
        <v>4091.0621333613194</v>
      </c>
      <c r="AE9" s="78">
        <v>220000</v>
      </c>
      <c r="AF9" s="79">
        <v>3085.2671857392056</v>
      </c>
      <c r="AG9" s="79">
        <v>3137.4854265982776</v>
      </c>
      <c r="AH9" s="79">
        <v>3189.7242367915783</v>
      </c>
      <c r="AI9" s="79">
        <v>3241.9823697485872</v>
      </c>
      <c r="AJ9" s="79">
        <v>3294.2586776327162</v>
      </c>
      <c r="AK9" s="79">
        <v>3346.5521017558917</v>
      </c>
      <c r="AL9" s="79">
        <v>3398.861664088603</v>
      </c>
      <c r="AM9" s="79">
        <v>3451.1864597219842</v>
      </c>
      <c r="AN9" s="79">
        <v>3503.5256501598233</v>
      </c>
      <c r="AO9" s="253">
        <v>3555.8784573356429</v>
      </c>
      <c r="AP9" s="254">
        <v>3608.2441582651663</v>
      </c>
    </row>
    <row r="10" spans="2:42" ht="19.5" x14ac:dyDescent="0.5">
      <c r="B10" s="124" t="s">
        <v>121</v>
      </c>
      <c r="C10" s="30"/>
      <c r="D10" s="30"/>
      <c r="E10" s="30"/>
      <c r="F10" s="30"/>
      <c r="G10" s="30"/>
      <c r="H10" s="30"/>
      <c r="I10" s="138">
        <v>0.08</v>
      </c>
      <c r="J10" s="138">
        <v>0.08</v>
      </c>
      <c r="K10" s="139">
        <v>0.08</v>
      </c>
      <c r="P10" s="78">
        <v>230000</v>
      </c>
      <c r="Q10" s="79">
        <v>2965.8519377982757</v>
      </c>
      <c r="R10" s="79">
        <v>3121.0234908983971</v>
      </c>
      <c r="S10" s="79">
        <v>3276.2863152182595</v>
      </c>
      <c r="T10" s="79">
        <v>3431.6353207233351</v>
      </c>
      <c r="U10" s="79">
        <v>3587.0657889546883</v>
      </c>
      <c r="V10" s="79">
        <v>3742.5733397301333</v>
      </c>
      <c r="W10" s="79">
        <v>3898.1539013632464</v>
      </c>
      <c r="X10" s="79">
        <v>4053.8036839741344</v>
      </c>
      <c r="Y10" s="253">
        <v>4209.5191555238771</v>
      </c>
      <c r="Z10" s="253">
        <v>4365.297020253779</v>
      </c>
      <c r="AA10" s="254">
        <v>4521.1341992525349</v>
      </c>
      <c r="AE10" s="78">
        <v>230000</v>
      </c>
      <c r="AF10" s="79">
        <v>3469.6996901412044</v>
      </c>
      <c r="AG10" s="79">
        <v>3524.2290688659546</v>
      </c>
      <c r="AH10" s="79">
        <v>3578.782525737357</v>
      </c>
      <c r="AI10" s="79">
        <v>3633.3586015391284</v>
      </c>
      <c r="AJ10" s="79">
        <v>3687.9559526313806</v>
      </c>
      <c r="AK10" s="79">
        <v>3742.5733397301333</v>
      </c>
      <c r="AL10" s="79">
        <v>3797.2096179690493</v>
      </c>
      <c r="AM10" s="79">
        <v>3851.8637280757198</v>
      </c>
      <c r="AN10" s="79">
        <v>3906.5346885193608</v>
      </c>
      <c r="AO10" s="253">
        <v>3961.2215885073056</v>
      </c>
      <c r="AP10" s="254">
        <v>4015.9235817252588</v>
      </c>
    </row>
    <row r="11" spans="2:42" ht="20.25" thickBot="1" x14ac:dyDescent="0.55000000000000004">
      <c r="B11" s="125" t="s">
        <v>122</v>
      </c>
      <c r="C11" s="41"/>
      <c r="D11" s="41"/>
      <c r="E11" s="41"/>
      <c r="F11" s="41"/>
      <c r="G11" s="41"/>
      <c r="H11" s="41"/>
      <c r="I11" s="140">
        <v>150</v>
      </c>
      <c r="J11" s="140">
        <v>150</v>
      </c>
      <c r="K11" s="141">
        <v>150</v>
      </c>
      <c r="P11" s="78">
        <v>240000</v>
      </c>
      <c r="Q11" s="79">
        <v>3327.8628762914545</v>
      </c>
      <c r="R11" s="79">
        <v>3489.8326827226683</v>
      </c>
      <c r="S11" s="79">
        <v>3651.8957714954158</v>
      </c>
      <c r="T11" s="79">
        <v>3814.0469404184605</v>
      </c>
      <c r="U11" s="79">
        <v>3976.2813670636683</v>
      </c>
      <c r="V11" s="79">
        <v>4138.5945747334399</v>
      </c>
      <c r="W11" s="79">
        <v>4300.9824020235019</v>
      </c>
      <c r="X11" s="79">
        <v>4463.4409755455908</v>
      </c>
      <c r="Y11" s="253">
        <v>4625.9666854338493</v>
      </c>
      <c r="Z11" s="253">
        <v>4788.5561633089692</v>
      </c>
      <c r="AA11" s="254">
        <v>4951.2062624171567</v>
      </c>
      <c r="AE11" s="78">
        <v>240000</v>
      </c>
      <c r="AF11" s="79">
        <v>3854.132191252831</v>
      </c>
      <c r="AG11" s="79">
        <v>3910.9727079125146</v>
      </c>
      <c r="AH11" s="79">
        <v>3967.8408115284356</v>
      </c>
      <c r="AI11" s="79">
        <v>4024.7348302386968</v>
      </c>
      <c r="AJ11" s="79">
        <v>4081.6532246002853</v>
      </c>
      <c r="AK11" s="79">
        <v>4138.5945747334399</v>
      </c>
      <c r="AL11" s="79">
        <v>4195.5575689351472</v>
      </c>
      <c r="AM11" s="79">
        <v>4252.5409935695843</v>
      </c>
      <c r="AN11" s="79">
        <v>4309.5437240714973</v>
      </c>
      <c r="AO11" s="253">
        <v>4366.5647169221447</v>
      </c>
      <c r="AP11" s="254">
        <v>4423.6030024773163</v>
      </c>
    </row>
    <row r="12" spans="2:42" ht="19.5" x14ac:dyDescent="0.5">
      <c r="B12" s="123"/>
      <c r="C12" s="33"/>
      <c r="D12" s="33"/>
      <c r="E12" s="33"/>
      <c r="F12" s="33"/>
      <c r="G12" s="33"/>
      <c r="H12" s="33"/>
      <c r="I12" s="33"/>
      <c r="J12" s="33"/>
      <c r="K12" s="34"/>
      <c r="P12" s="78">
        <v>250000</v>
      </c>
      <c r="Q12" s="79">
        <v>3689.8738119128584</v>
      </c>
      <c r="R12" s="79">
        <v>3858.6418717306124</v>
      </c>
      <c r="S12" s="79">
        <v>4027.505225009591</v>
      </c>
      <c r="T12" s="79">
        <v>4196.4585574019702</v>
      </c>
      <c r="U12" s="79">
        <v>4365.4969425105191</v>
      </c>
      <c r="V12" s="258">
        <v>4534.615807122329</v>
      </c>
      <c r="W12" s="79">
        <v>4703.810900115368</v>
      </c>
      <c r="X12" s="79">
        <v>4873.0782645931049</v>
      </c>
      <c r="Y12" s="253">
        <v>5042.4142128628073</v>
      </c>
      <c r="Z12" s="253">
        <v>5211.815303924629</v>
      </c>
      <c r="AA12" s="254">
        <v>5381.278323182386</v>
      </c>
      <c r="AE12" s="78">
        <v>250000</v>
      </c>
      <c r="AF12" s="79">
        <v>4238.5646894689335</v>
      </c>
      <c r="AG12" s="79">
        <v>4297.7163441245084</v>
      </c>
      <c r="AH12" s="79">
        <v>4356.8990945433934</v>
      </c>
      <c r="AI12" s="79">
        <v>4416.1110562182203</v>
      </c>
      <c r="AJ12" s="79">
        <v>4475.3504939030026</v>
      </c>
      <c r="AK12" s="258">
        <v>4534.615807122329</v>
      </c>
      <c r="AL12" s="79">
        <v>4593.9055173366232</v>
      </c>
      <c r="AM12" s="79">
        <v>4653.2182565467601</v>
      </c>
      <c r="AN12" s="79">
        <v>4712.5527571531229</v>
      </c>
      <c r="AO12" s="253">
        <v>4771.9078429109877</v>
      </c>
      <c r="AP12" s="254">
        <v>4831.2824208463189</v>
      </c>
    </row>
    <row r="13" spans="2:42" ht="19.5" x14ac:dyDescent="0.5">
      <c r="B13" s="16"/>
      <c r="C13" s="33"/>
      <c r="D13" s="33"/>
      <c r="E13" s="33"/>
      <c r="F13" s="33"/>
      <c r="G13" s="33"/>
      <c r="H13" s="33"/>
      <c r="I13" s="33"/>
      <c r="J13" s="33"/>
      <c r="K13" s="34"/>
      <c r="P13" s="78">
        <v>260000</v>
      </c>
      <c r="Q13" s="79">
        <v>4051.8847449938421</v>
      </c>
      <c r="R13" s="79">
        <v>4227.4510582471912</v>
      </c>
      <c r="S13" s="79">
        <v>4403.1146760795909</v>
      </c>
      <c r="T13" s="79">
        <v>4578.8701719867377</v>
      </c>
      <c r="U13" s="79">
        <v>4754.7125156024103</v>
      </c>
      <c r="V13" s="79">
        <v>4930.6370371984631</v>
      </c>
      <c r="W13" s="79">
        <v>5106.6393959352008</v>
      </c>
      <c r="X13" s="79">
        <v>5282.7155514078904</v>
      </c>
      <c r="Y13" s="253">
        <v>5458.8617380970209</v>
      </c>
      <c r="Z13" s="253">
        <v>5635.0744423822534</v>
      </c>
      <c r="AA13" s="254">
        <v>5811.3503818250692</v>
      </c>
      <c r="AE13" s="78">
        <v>260000</v>
      </c>
      <c r="AF13" s="79">
        <v>4622.9971851236078</v>
      </c>
      <c r="AG13" s="79">
        <v>4684.4599778289967</v>
      </c>
      <c r="AH13" s="79">
        <v>4745.9573751025409</v>
      </c>
      <c r="AI13" s="79">
        <v>4807.4872797915532</v>
      </c>
      <c r="AJ13" s="79">
        <v>4869.0477608471701</v>
      </c>
      <c r="AK13" s="79">
        <v>4930.6370371984631</v>
      </c>
      <c r="AL13" s="79">
        <v>4992.2534634693975</v>
      </c>
      <c r="AM13" s="79">
        <v>5053.8955172976357</v>
      </c>
      <c r="AN13" s="79">
        <v>5115.5617880492882</v>
      </c>
      <c r="AO13" s="253">
        <v>5177.250966753747</v>
      </c>
      <c r="AP13" s="254">
        <v>5238.9618371072256</v>
      </c>
    </row>
    <row r="14" spans="2:42" ht="19.5" x14ac:dyDescent="0.5">
      <c r="B14" s="16"/>
      <c r="C14" s="33"/>
      <c r="D14" s="33"/>
      <c r="E14" s="33"/>
      <c r="F14" s="33"/>
      <c r="G14" s="33"/>
      <c r="H14" s="33"/>
      <c r="I14" s="33"/>
      <c r="J14" s="33"/>
      <c r="K14" s="34"/>
      <c r="P14" s="78">
        <v>270000</v>
      </c>
      <c r="Q14" s="79">
        <v>4413.8956758166796</v>
      </c>
      <c r="R14" s="79">
        <v>4596.2602425492159</v>
      </c>
      <c r="S14" s="79">
        <v>4778.7241249769804</v>
      </c>
      <c r="T14" s="79">
        <v>4961.2817844392857</v>
      </c>
      <c r="U14" s="79">
        <v>5143.9280866009913</v>
      </c>
      <c r="V14" s="79">
        <v>5326.6582652188081</v>
      </c>
      <c r="W14" s="79">
        <v>5509.4678897354424</v>
      </c>
      <c r="X14" s="79">
        <v>5692.3528362380403</v>
      </c>
      <c r="Y14" s="253">
        <v>5875.309261380341</v>
      </c>
      <c r="Z14" s="253">
        <v>6058.3335789216153</v>
      </c>
      <c r="AA14" s="254">
        <v>6241.4224385810385</v>
      </c>
      <c r="AE14" s="78">
        <v>270000</v>
      </c>
      <c r="AF14" s="79">
        <v>5007.429678501454</v>
      </c>
      <c r="AG14" s="79">
        <v>5071.2036093045936</v>
      </c>
      <c r="AH14" s="79">
        <v>5135.0156534787484</v>
      </c>
      <c r="AI14" s="79">
        <v>5198.8635012260393</v>
      </c>
      <c r="AJ14" s="79">
        <v>5262.7450256948459</v>
      </c>
      <c r="AK14" s="79">
        <v>5326.6582652188081</v>
      </c>
      <c r="AL14" s="79">
        <v>5390.6014075855419</v>
      </c>
      <c r="AM14" s="79">
        <v>5454.5727760695736</v>
      </c>
      <c r="AN14" s="79">
        <v>5518.5708170028402</v>
      </c>
      <c r="AO14" s="253">
        <v>5582.5940886888848</v>
      </c>
      <c r="AP14" s="254">
        <v>5646.6412514942667</v>
      </c>
    </row>
    <row r="15" spans="2:42" x14ac:dyDescent="0.45">
      <c r="B15" s="89" t="s">
        <v>87</v>
      </c>
      <c r="C15" s="90" t="str">
        <f t="shared" ref="C15:H15" si="0">IFERROR(C68/C8,"")</f>
        <v/>
      </c>
      <c r="D15" s="90">
        <f t="shared" si="0"/>
        <v>2123.5251828984651</v>
      </c>
      <c r="E15" s="90">
        <f t="shared" si="0"/>
        <v>2213.5970333745363</v>
      </c>
      <c r="F15" s="90">
        <f t="shared" si="0"/>
        <v>1767.544069173076</v>
      </c>
      <c r="G15" s="90">
        <f t="shared" si="0"/>
        <v>1849.6706134266253</v>
      </c>
      <c r="H15" s="90" t="str">
        <f t="shared" si="0"/>
        <v/>
      </c>
      <c r="I15" s="90"/>
      <c r="J15" s="90"/>
      <c r="K15" s="91"/>
      <c r="L15" s="2"/>
      <c r="P15" s="78">
        <v>280000</v>
      </c>
      <c r="Q15" s="79">
        <v>4775.9066046233111</v>
      </c>
      <c r="R15" s="79">
        <v>4965.0694248739646</v>
      </c>
      <c r="S15" s="79">
        <v>5154.333571934555</v>
      </c>
      <c r="T15" s="79">
        <v>5343.6933949880695</v>
      </c>
      <c r="U15" s="79">
        <v>5533.1436557305533</v>
      </c>
      <c r="V15" s="79">
        <v>5722.6794914036327</v>
      </c>
      <c r="W15" s="79">
        <v>5912.2963817324844</v>
      </c>
      <c r="X15" s="79">
        <v>6101.9901192961852</v>
      </c>
      <c r="Y15" s="253">
        <v>6291.7567829218033</v>
      </c>
      <c r="Z15" s="253">
        <v>6481.5927137482468</v>
      </c>
      <c r="AA15" s="254">
        <v>6671.4944936524598</v>
      </c>
      <c r="AE15" s="78">
        <v>280000</v>
      </c>
      <c r="AF15" s="79">
        <v>5391.8621698464258</v>
      </c>
      <c r="AG15" s="79">
        <v>5457.9472387900987</v>
      </c>
      <c r="AH15" s="79">
        <v>5524.0739299058978</v>
      </c>
      <c r="AI15" s="79">
        <v>5590.2397207508438</v>
      </c>
      <c r="AJ15" s="79">
        <v>5656.4422886706534</v>
      </c>
      <c r="AK15" s="79">
        <v>5722.6794914036327</v>
      </c>
      <c r="AL15" s="79">
        <v>5788.9493499011296</v>
      </c>
      <c r="AM15" s="79">
        <v>5855.2500330746007</v>
      </c>
      <c r="AN15" s="79">
        <v>5921.579844221892</v>
      </c>
      <c r="AO15" s="253">
        <v>5987.9372089207882</v>
      </c>
      <c r="AP15" s="254">
        <v>6054.3206642082114</v>
      </c>
    </row>
    <row r="16" spans="2:42" x14ac:dyDescent="0.45">
      <c r="B16" s="14" t="s">
        <v>88</v>
      </c>
      <c r="C16" s="86" t="str">
        <f t="shared" ref="C16:H16" si="1">IFERROR(C64/C8,"")</f>
        <v/>
      </c>
      <c r="D16" s="86">
        <f t="shared" si="1"/>
        <v>895.34826698877521</v>
      </c>
      <c r="E16" s="86">
        <f t="shared" si="1"/>
        <v>1926.8045247932866</v>
      </c>
      <c r="F16" s="86">
        <f t="shared" si="1"/>
        <v>2404.8035424992677</v>
      </c>
      <c r="G16" s="86">
        <f t="shared" si="1"/>
        <v>1701.4854051453692</v>
      </c>
      <c r="H16" s="86">
        <f t="shared" si="1"/>
        <v>2000.8113390703495</v>
      </c>
      <c r="I16" s="86"/>
      <c r="J16" s="86"/>
      <c r="K16" s="67"/>
      <c r="L16" s="2"/>
      <c r="P16" s="78">
        <v>290000</v>
      </c>
      <c r="Q16" s="79">
        <v>5137.9175316223163</v>
      </c>
      <c r="R16" s="79">
        <v>5333.8786054259854</v>
      </c>
      <c r="S16" s="79">
        <v>5529.9430171529812</v>
      </c>
      <c r="T16" s="79">
        <v>5726.1050038300373</v>
      </c>
      <c r="U16" s="79">
        <v>5922.3592231844523</v>
      </c>
      <c r="V16" s="79">
        <v>6118.7007159428222</v>
      </c>
      <c r="W16" s="79">
        <v>6315.1248721128686</v>
      </c>
      <c r="X16" s="79">
        <v>6511.6274007656393</v>
      </c>
      <c r="Y16" s="253">
        <v>6708.2043029016022</v>
      </c>
      <c r="Z16" s="253">
        <v>6904.8518470393301</v>
      </c>
      <c r="AA16" s="254">
        <v>7101.5665472135843</v>
      </c>
      <c r="AE16" s="78">
        <v>290000</v>
      </c>
      <c r="AF16" s="79">
        <v>5776.2946593688084</v>
      </c>
      <c r="AG16" s="79">
        <v>5844.6908664913981</v>
      </c>
      <c r="AH16" s="79">
        <v>5913.1322045856314</v>
      </c>
      <c r="AI16" s="79">
        <v>5981.6159385635237</v>
      </c>
      <c r="AJ16" s="79">
        <v>6050.139549968243</v>
      </c>
      <c r="AK16" s="79">
        <v>6118.7007159428222</v>
      </c>
      <c r="AL16" s="79">
        <v>6187.2972906024152</v>
      </c>
      <c r="AM16" s="79">
        <v>6255.9272884955099</v>
      </c>
      <c r="AN16" s="79">
        <v>6324.5888698858926</v>
      </c>
      <c r="AO16" s="253">
        <v>6393.2803276256409</v>
      </c>
      <c r="AP16" s="254">
        <v>6462.0000754221437</v>
      </c>
    </row>
    <row r="17" spans="2:42" ht="18.75" thickBot="1" x14ac:dyDescent="0.5">
      <c r="B17" s="14" t="s">
        <v>85</v>
      </c>
      <c r="C17" s="86" t="str">
        <f t="shared" ref="C17:H17" si="2">IFERROR(C69/C8,"")</f>
        <v/>
      </c>
      <c r="D17" s="86">
        <f t="shared" si="2"/>
        <v>2459.0429522026093</v>
      </c>
      <c r="E17" s="86">
        <f t="shared" si="2"/>
        <v>2996.2917181705811</v>
      </c>
      <c r="F17" s="86">
        <f>IFERROR(F69/F8,"")</f>
        <v>3659.7262030788042</v>
      </c>
      <c r="G17" s="86">
        <f t="shared" si="2"/>
        <v>2197.3732456910893</v>
      </c>
      <c r="H17" s="86">
        <f t="shared" si="2"/>
        <v>3052.0326584526001</v>
      </c>
      <c r="I17" s="86"/>
      <c r="J17" s="86"/>
      <c r="K17" s="67"/>
      <c r="L17" s="2"/>
      <c r="P17" s="81">
        <v>300000</v>
      </c>
      <c r="Q17" s="255">
        <v>5499.9284569944557</v>
      </c>
      <c r="R17" s="255">
        <v>5702.6877843825469</v>
      </c>
      <c r="S17" s="255">
        <v>5905.5524608061669</v>
      </c>
      <c r="T17" s="255">
        <v>6108.5166111358703</v>
      </c>
      <c r="U17" s="255">
        <v>6311.5747891302371</v>
      </c>
      <c r="V17" s="255">
        <v>6514.7219390009368</v>
      </c>
      <c r="W17" s="255">
        <v>6717.9533610382487</v>
      </c>
      <c r="X17" s="255">
        <v>6921.2646808052777</v>
      </c>
      <c r="Y17" s="256">
        <v>7124.6518214758898</v>
      </c>
      <c r="Z17" s="256">
        <v>7328.1109789484181</v>
      </c>
      <c r="AA17" s="257">
        <v>7531.6385994154407</v>
      </c>
      <c r="AE17" s="81">
        <v>300000</v>
      </c>
      <c r="AF17" s="255">
        <v>6160.7271472508755</v>
      </c>
      <c r="AG17" s="255">
        <v>6231.4344925869009</v>
      </c>
      <c r="AH17" s="255">
        <v>6302.190477692674</v>
      </c>
      <c r="AI17" s="255">
        <v>6372.9921548352886</v>
      </c>
      <c r="AJ17" s="255">
        <v>6443.836809755423</v>
      </c>
      <c r="AK17" s="255">
        <v>6514.7219390009368</v>
      </c>
      <c r="AL17" s="255">
        <v>6585.6452298508375</v>
      </c>
      <c r="AM17" s="255">
        <v>6656.6045424907134</v>
      </c>
      <c r="AN17" s="255">
        <v>6727.5978941503427</v>
      </c>
      <c r="AO17" s="256">
        <v>6798.6234449561762</v>
      </c>
      <c r="AP17" s="257">
        <v>6869.6794852860721</v>
      </c>
    </row>
    <row r="18" spans="2:42" x14ac:dyDescent="0.45">
      <c r="B18" s="14" t="s">
        <v>86</v>
      </c>
      <c r="C18" s="86" t="str">
        <f t="shared" ref="C18:H18" si="3">IFERROR(C65/C8,"")</f>
        <v/>
      </c>
      <c r="D18" s="86">
        <f t="shared" si="3"/>
        <v>2455.7772531772466</v>
      </c>
      <c r="E18" s="86">
        <f t="shared" si="3"/>
        <v>3419.6159069596688</v>
      </c>
      <c r="F18" s="86">
        <f t="shared" si="3"/>
        <v>3338.4735484933458</v>
      </c>
      <c r="G18" s="86">
        <f t="shared" si="3"/>
        <v>2126.0421573307663</v>
      </c>
      <c r="H18" s="86">
        <f t="shared" si="3"/>
        <v>2475.6074684890395</v>
      </c>
      <c r="I18" s="86"/>
      <c r="J18" s="86"/>
      <c r="K18" s="67"/>
      <c r="L18" s="2"/>
    </row>
    <row r="19" spans="2:42" x14ac:dyDescent="0.45">
      <c r="B19" s="87" t="s">
        <v>84</v>
      </c>
      <c r="C19" s="88" t="str">
        <f t="shared" ref="C19:H19" si="4">IFERROR(C66/C8,"")</f>
        <v/>
      </c>
      <c r="D19" s="88">
        <f t="shared" si="4"/>
        <v>563852.89443957724</v>
      </c>
      <c r="E19" s="88" t="str">
        <f t="shared" si="4"/>
        <v/>
      </c>
      <c r="F19" s="88">
        <f t="shared" si="4"/>
        <v>792317.66042065574</v>
      </c>
      <c r="G19" s="88">
        <f t="shared" si="4"/>
        <v>591447.37224824564</v>
      </c>
      <c r="H19" s="88" t="str">
        <f t="shared" si="4"/>
        <v/>
      </c>
      <c r="I19" s="88"/>
      <c r="J19" s="88"/>
      <c r="K19" s="68"/>
    </row>
    <row r="20" spans="2:42" ht="19.5" x14ac:dyDescent="0.5">
      <c r="B20" s="16"/>
      <c r="C20" s="33"/>
      <c r="D20" s="33"/>
      <c r="E20" s="33"/>
      <c r="F20" s="33"/>
      <c r="G20" s="33"/>
      <c r="H20" s="33"/>
      <c r="I20" s="33"/>
      <c r="J20" s="33"/>
      <c r="K20" s="34"/>
    </row>
    <row r="21" spans="2:42" ht="19.5" x14ac:dyDescent="0.5">
      <c r="B21" s="16"/>
      <c r="C21" s="33"/>
      <c r="D21" s="33"/>
      <c r="E21" s="33"/>
      <c r="F21" s="33"/>
      <c r="G21" s="33"/>
      <c r="H21" s="33"/>
      <c r="I21" s="33"/>
      <c r="J21" s="33"/>
      <c r="K21" s="34"/>
    </row>
    <row r="22" spans="2:42" ht="19.5" x14ac:dyDescent="0.5">
      <c r="B22" s="42" t="s">
        <v>93</v>
      </c>
      <c r="C22" s="43"/>
      <c r="D22" s="43">
        <f>D82*10^6/D54/D8</f>
        <v>2268.1980722565013</v>
      </c>
      <c r="E22" s="43">
        <f>E82*10^6/E54/E8</f>
        <v>2617.4174221353396</v>
      </c>
      <c r="F22" s="43">
        <f>F82*10^6/F54/F8</f>
        <v>3340.1897582451975</v>
      </c>
      <c r="G22" s="43">
        <f>G82*10^6/G54/G8</f>
        <v>2198.2576838185801</v>
      </c>
      <c r="H22" s="43">
        <f>H82*10^6/H54/H8</f>
        <v>2401.8119514360233</v>
      </c>
      <c r="I22" s="43">
        <f t="shared" ref="I22:K22" si="5">I82*10^6/I54/I8</f>
        <v>2677.6098710982933</v>
      </c>
      <c r="J22" s="43">
        <f t="shared" si="5"/>
        <v>2695.6064745604131</v>
      </c>
      <c r="K22" s="43">
        <f t="shared" si="5"/>
        <v>2670.6111919741356</v>
      </c>
    </row>
    <row r="23" spans="2:42" ht="19.5" x14ac:dyDescent="0.5">
      <c r="B23" s="44" t="s">
        <v>94</v>
      </c>
      <c r="C23" s="30"/>
      <c r="D23" s="30">
        <f t="shared" ref="D23:K23" si="6">D108*10^6/D54/D8</f>
        <v>1117.1208468306861</v>
      </c>
      <c r="E23" s="30">
        <f t="shared" si="6"/>
        <v>1419.8662684383078</v>
      </c>
      <c r="F23" s="30">
        <f t="shared" si="6"/>
        <v>2439.4265200549139</v>
      </c>
      <c r="G23" s="30">
        <f t="shared" si="6"/>
        <v>1842.3723366599297</v>
      </c>
      <c r="H23" s="30">
        <f t="shared" si="6"/>
        <v>1371.591398673562</v>
      </c>
      <c r="I23" s="30">
        <f t="shared" si="6"/>
        <v>1659.1937093464162</v>
      </c>
      <c r="J23" s="30">
        <f t="shared" si="6"/>
        <v>1661.1136185158168</v>
      </c>
      <c r="K23" s="30">
        <f t="shared" si="6"/>
        <v>1640.1004213041206</v>
      </c>
    </row>
    <row r="24" spans="2:42" ht="20.25" thickBot="1" x14ac:dyDescent="0.55000000000000004">
      <c r="B24" s="45" t="s">
        <v>95</v>
      </c>
      <c r="C24" s="46"/>
      <c r="D24" s="196">
        <f>D23/D22</f>
        <v>0.49251467960173606</v>
      </c>
      <c r="E24" s="196">
        <f t="shared" ref="E24:K24" si="7">E23/E22</f>
        <v>0.54246841043793215</v>
      </c>
      <c r="F24" s="196">
        <f t="shared" si="7"/>
        <v>0.73032572895992931</v>
      </c>
      <c r="G24" s="196">
        <f t="shared" si="7"/>
        <v>0.83810571900722575</v>
      </c>
      <c r="H24" s="196">
        <f t="shared" si="7"/>
        <v>0.57106527338807644</v>
      </c>
      <c r="I24" s="196">
        <f t="shared" si="7"/>
        <v>0.61965476272533071</v>
      </c>
      <c r="J24" s="196">
        <f t="shared" si="7"/>
        <v>0.61623001509769837</v>
      </c>
      <c r="K24" s="196">
        <f t="shared" si="7"/>
        <v>0.61412923986577994</v>
      </c>
    </row>
    <row r="25" spans="2:42" ht="20.25" thickTop="1" x14ac:dyDescent="0.5">
      <c r="B25" s="16"/>
      <c r="C25" s="33"/>
      <c r="D25" s="33"/>
      <c r="E25" s="33"/>
      <c r="F25" s="33"/>
      <c r="G25" s="33"/>
      <c r="H25" s="33"/>
      <c r="I25" s="33"/>
      <c r="J25" s="33"/>
      <c r="K25" s="34"/>
    </row>
    <row r="27" spans="2:42" ht="19.5" x14ac:dyDescent="0.5">
      <c r="B27" s="8" t="s">
        <v>1</v>
      </c>
      <c r="C27" s="19"/>
      <c r="D27" s="19"/>
      <c r="E27" s="19"/>
      <c r="F27" s="19"/>
      <c r="G27" s="19"/>
      <c r="H27" s="19"/>
      <c r="I27" s="19"/>
      <c r="J27" s="19"/>
      <c r="K27" s="20"/>
    </row>
    <row r="28" spans="2:42" x14ac:dyDescent="0.45">
      <c r="B28" s="6" t="s">
        <v>46</v>
      </c>
      <c r="C28" s="21">
        <v>40000</v>
      </c>
      <c r="D28" s="21">
        <v>40000</v>
      </c>
      <c r="E28" s="21">
        <v>40000</v>
      </c>
      <c r="F28" s="21">
        <v>40000</v>
      </c>
      <c r="G28" s="21">
        <v>40000</v>
      </c>
      <c r="H28" s="21">
        <v>40000</v>
      </c>
      <c r="I28" s="142">
        <f>H28</f>
        <v>40000</v>
      </c>
      <c r="J28" s="142">
        <f t="shared" ref="J28:K28" si="8">I28</f>
        <v>40000</v>
      </c>
      <c r="K28" s="143">
        <f t="shared" si="8"/>
        <v>40000</v>
      </c>
    </row>
    <row r="29" spans="2:42" x14ac:dyDescent="0.45">
      <c r="B29" s="7" t="s">
        <v>47</v>
      </c>
      <c r="C29" s="69">
        <v>15000</v>
      </c>
      <c r="D29" s="69">
        <v>15000</v>
      </c>
      <c r="E29" s="69">
        <v>15000</v>
      </c>
      <c r="F29" s="69">
        <v>15000</v>
      </c>
      <c r="G29" s="69">
        <v>15000</v>
      </c>
      <c r="H29" s="69">
        <v>15000</v>
      </c>
      <c r="I29" s="144">
        <f>H29</f>
        <v>15000</v>
      </c>
      <c r="J29" s="144">
        <f t="shared" ref="J29:K29" si="9">I29</f>
        <v>15000</v>
      </c>
      <c r="K29" s="145">
        <f t="shared" si="9"/>
        <v>15000</v>
      </c>
    </row>
    <row r="32" spans="2:42" ht="19.5" x14ac:dyDescent="0.5">
      <c r="B32" s="8" t="s">
        <v>2</v>
      </c>
      <c r="C32" s="19"/>
      <c r="D32" s="19"/>
      <c r="E32" s="19"/>
      <c r="F32" s="19"/>
      <c r="G32" s="19"/>
      <c r="H32" s="19"/>
      <c r="I32" s="19"/>
      <c r="J32" s="19"/>
      <c r="K32" s="20"/>
    </row>
    <row r="33" spans="2:11" x14ac:dyDescent="0.45">
      <c r="B33" s="6" t="s">
        <v>46</v>
      </c>
      <c r="C33" s="24">
        <v>0</v>
      </c>
      <c r="D33" s="24">
        <v>2055</v>
      </c>
      <c r="E33" s="24">
        <v>4897</v>
      </c>
      <c r="F33" s="24">
        <v>3786</v>
      </c>
      <c r="G33" s="24">
        <v>6173</v>
      </c>
      <c r="H33" s="24">
        <v>5726</v>
      </c>
      <c r="I33" s="142">
        <v>6500</v>
      </c>
      <c r="J33" s="142">
        <v>7000</v>
      </c>
      <c r="K33" s="143">
        <v>8000</v>
      </c>
    </row>
    <row r="34" spans="2:11" x14ac:dyDescent="0.45">
      <c r="B34" s="6" t="s">
        <v>47</v>
      </c>
      <c r="C34" s="24">
        <v>3523</v>
      </c>
      <c r="D34" s="24">
        <v>5497</v>
      </c>
      <c r="E34" s="24">
        <v>6597</v>
      </c>
      <c r="F34" s="24">
        <v>5312</v>
      </c>
      <c r="G34" s="24">
        <v>5950</v>
      </c>
      <c r="H34" s="24">
        <v>5005</v>
      </c>
      <c r="I34" s="142">
        <v>6000</v>
      </c>
      <c r="J34" s="142">
        <v>7000</v>
      </c>
      <c r="K34" s="143">
        <v>8000</v>
      </c>
    </row>
    <row r="35" spans="2:11" x14ac:dyDescent="0.45">
      <c r="B35" s="6" t="s">
        <v>96</v>
      </c>
      <c r="C35" s="47">
        <v>0</v>
      </c>
      <c r="D35" s="47">
        <v>0</v>
      </c>
      <c r="E35" s="47">
        <v>0.27300000000000002</v>
      </c>
      <c r="F35" s="47">
        <v>0.64800000000000002</v>
      </c>
      <c r="G35" s="47">
        <v>2.2879999999999998</v>
      </c>
      <c r="H35" s="47">
        <v>4.2539999999999996</v>
      </c>
      <c r="I35" s="142">
        <f>G35/(G34+G33)*(I34+I33)</f>
        <v>2.359152025076301</v>
      </c>
      <c r="J35" s="142">
        <f>I35/(I34+I33)*(J34+J33)</f>
        <v>2.6422502680854572</v>
      </c>
      <c r="K35" s="143">
        <f t="shared" ref="K35" si="10">J35/(J34+J33)*(K34+K33)</f>
        <v>3.0197145920976651</v>
      </c>
    </row>
    <row r="36" spans="2:11" ht="19.5" x14ac:dyDescent="0.5">
      <c r="B36" s="10" t="s">
        <v>3</v>
      </c>
      <c r="C36" s="25">
        <f>SUM(C33:C35)</f>
        <v>3523</v>
      </c>
      <c r="D36" s="25">
        <f t="shared" ref="D36:G36" si="11">SUM(D33:D35)</f>
        <v>7552</v>
      </c>
      <c r="E36" s="25">
        <f t="shared" si="11"/>
        <v>11494.272999999999</v>
      </c>
      <c r="F36" s="25">
        <f t="shared" si="11"/>
        <v>9098.6479999999992</v>
      </c>
      <c r="G36" s="25">
        <f t="shared" si="11"/>
        <v>12125.288</v>
      </c>
      <c r="H36" s="25">
        <f>SUM(H33:H35)</f>
        <v>10735.254000000001</v>
      </c>
      <c r="I36" s="146">
        <f t="shared" ref="I36:K36" si="12">SUM(I33:I35)</f>
        <v>12502.359152025076</v>
      </c>
      <c r="J36" s="146">
        <f t="shared" si="12"/>
        <v>14002.642250268085</v>
      </c>
      <c r="K36" s="147">
        <f t="shared" si="12"/>
        <v>16003.019714592097</v>
      </c>
    </row>
    <row r="37" spans="2:11" ht="19.5" x14ac:dyDescent="0.5">
      <c r="B37" s="15"/>
      <c r="C37" s="26"/>
      <c r="D37" s="26"/>
      <c r="E37" s="26"/>
      <c r="F37" s="26"/>
      <c r="G37" s="26"/>
      <c r="H37" s="26"/>
      <c r="I37" s="26"/>
      <c r="J37" s="26"/>
      <c r="K37" s="27"/>
    </row>
    <row r="38" spans="2:11" ht="19.5" x14ac:dyDescent="0.5">
      <c r="B38" s="15"/>
      <c r="C38" s="26"/>
      <c r="D38" s="26"/>
      <c r="E38" s="26"/>
      <c r="F38" s="26"/>
      <c r="G38" s="26"/>
      <c r="H38" s="26"/>
      <c r="I38" s="26"/>
      <c r="J38" s="26"/>
      <c r="K38" s="27"/>
    </row>
    <row r="39" spans="2:11" ht="19.5" x14ac:dyDescent="0.5">
      <c r="B39" s="15"/>
      <c r="C39" s="26"/>
      <c r="D39" s="26"/>
      <c r="E39" s="26"/>
      <c r="F39" s="26"/>
      <c r="G39" s="26"/>
      <c r="H39" s="26"/>
      <c r="I39" s="26"/>
      <c r="J39" s="26"/>
      <c r="K39" s="27"/>
    </row>
    <row r="40" spans="2:11" ht="19.5" x14ac:dyDescent="0.5">
      <c r="B40" s="44" t="s">
        <v>98</v>
      </c>
      <c r="C40" s="40"/>
      <c r="D40" s="40">
        <f>D51/(D46+D51)</f>
        <v>0.43275632490013316</v>
      </c>
      <c r="E40" s="40">
        <f t="shared" ref="E40:H40" si="13">E51/(E46+E51)</f>
        <v>0.20726411369917094</v>
      </c>
      <c r="F40" s="40">
        <f t="shared" si="13"/>
        <v>5.5632823365785811E-3</v>
      </c>
      <c r="G40" s="40">
        <f t="shared" si="13"/>
        <v>8.3347224537422909E-2</v>
      </c>
      <c r="H40" s="40">
        <f t="shared" si="13"/>
        <v>0</v>
      </c>
      <c r="I40" s="40">
        <f>G40</f>
        <v>8.3347224537422909E-2</v>
      </c>
      <c r="J40" s="40">
        <f>I40</f>
        <v>8.3347224537422909E-2</v>
      </c>
      <c r="K40" s="40">
        <f>J40</f>
        <v>8.3347224537422909E-2</v>
      </c>
    </row>
    <row r="41" spans="2:11" ht="19.5" x14ac:dyDescent="0.5">
      <c r="B41" s="44" t="s">
        <v>99</v>
      </c>
      <c r="C41" s="40">
        <f>C52/(C47+C52)</f>
        <v>0.80877088305489264</v>
      </c>
      <c r="D41" s="40">
        <f>D52/(D47+D52)</f>
        <v>0.81844072623709507</v>
      </c>
      <c r="E41" s="40">
        <f t="shared" ref="E41:H41" si="14">E52/(E47+E52)</f>
        <v>0.62531517902168432</v>
      </c>
      <c r="F41" s="40">
        <f t="shared" si="14"/>
        <v>0.48426301028357743</v>
      </c>
      <c r="G41" s="40">
        <f t="shared" si="14"/>
        <v>0.11217587373167982</v>
      </c>
      <c r="H41" s="40">
        <f t="shared" si="14"/>
        <v>0.26359143327841844</v>
      </c>
      <c r="I41" s="40">
        <f>H41</f>
        <v>0.26359143327841844</v>
      </c>
      <c r="J41" s="40">
        <f t="shared" ref="J41:K41" si="15">I41</f>
        <v>0.26359143327841844</v>
      </c>
      <c r="K41" s="40">
        <f t="shared" si="15"/>
        <v>0.26359143327841844</v>
      </c>
    </row>
    <row r="42" spans="2:11" ht="19.5" x14ac:dyDescent="0.5">
      <c r="B42" s="15"/>
      <c r="C42" s="26"/>
      <c r="D42" s="26"/>
      <c r="E42" s="26"/>
      <c r="F42" s="26"/>
      <c r="G42" s="26"/>
      <c r="H42" s="26"/>
      <c r="I42" s="26"/>
      <c r="J42" s="26"/>
      <c r="K42" s="27"/>
    </row>
    <row r="43" spans="2:11" ht="19.5" x14ac:dyDescent="0.5">
      <c r="B43" s="15"/>
      <c r="C43" s="26"/>
      <c r="D43" s="26"/>
      <c r="E43" s="26"/>
      <c r="F43" s="26"/>
      <c r="G43" s="26"/>
      <c r="H43" s="26"/>
      <c r="I43" s="26"/>
      <c r="J43" s="26"/>
      <c r="K43" s="27"/>
    </row>
    <row r="45" spans="2:11" ht="19.5" x14ac:dyDescent="0.5">
      <c r="B45" s="8" t="s">
        <v>4</v>
      </c>
      <c r="C45" s="19"/>
      <c r="D45" s="19"/>
      <c r="E45" s="19"/>
      <c r="F45" s="19"/>
      <c r="G45" s="19"/>
      <c r="H45" s="19"/>
      <c r="I45" s="19"/>
      <c r="J45" s="19"/>
      <c r="K45" s="20"/>
    </row>
    <row r="46" spans="2:11" x14ac:dyDescent="0.45">
      <c r="B46" s="6" t="s">
        <v>48</v>
      </c>
      <c r="C46" s="24">
        <v>0</v>
      </c>
      <c r="D46" s="24">
        <f>312+540</f>
        <v>852</v>
      </c>
      <c r="E46" s="24">
        <f>2821+1195</f>
        <v>4016</v>
      </c>
      <c r="F46" s="24">
        <f>3029+546</f>
        <v>3575</v>
      </c>
      <c r="G46" s="24">
        <f>3981+1518</f>
        <v>5499</v>
      </c>
      <c r="H46" s="24">
        <v>3417</v>
      </c>
      <c r="I46" s="142">
        <f>I33*(1-I40)</f>
        <v>5958.2430405067507</v>
      </c>
      <c r="J46" s="142">
        <f t="shared" ref="J46:K46" si="16">J33*(1-J40)</f>
        <v>6416.5694282380391</v>
      </c>
      <c r="K46" s="143">
        <f t="shared" si="16"/>
        <v>7333.2222037006168</v>
      </c>
    </row>
    <row r="47" spans="2:11" x14ac:dyDescent="0.45">
      <c r="B47" s="6" t="s">
        <v>47</v>
      </c>
      <c r="C47" s="24">
        <v>641</v>
      </c>
      <c r="D47" s="24">
        <v>1020</v>
      </c>
      <c r="E47" s="24">
        <v>2229</v>
      </c>
      <c r="F47" s="24">
        <v>1655</v>
      </c>
      <c r="G47" s="24">
        <v>4725</v>
      </c>
      <c r="H47" s="24">
        <v>4470</v>
      </c>
      <c r="I47" s="142">
        <f>I34*(1-I41)</f>
        <v>4418.4514003294898</v>
      </c>
      <c r="J47" s="142">
        <f t="shared" ref="J47:K47" si="17">J34*(1-J41)</f>
        <v>5154.8599670510712</v>
      </c>
      <c r="K47" s="143">
        <f t="shared" si="17"/>
        <v>5891.2685337726525</v>
      </c>
    </row>
    <row r="48" spans="2:11" x14ac:dyDescent="0.45">
      <c r="B48" s="6" t="s">
        <v>50</v>
      </c>
      <c r="C48" s="47">
        <v>0.4</v>
      </c>
      <c r="D48" s="47">
        <v>0.34699999999999998</v>
      </c>
      <c r="E48" s="47">
        <v>0</v>
      </c>
      <c r="F48" s="47">
        <v>0.88800000000000001</v>
      </c>
      <c r="G48" s="47">
        <v>0.51400000000000001</v>
      </c>
      <c r="H48" s="47">
        <v>0</v>
      </c>
      <c r="I48" s="142">
        <f>I35</f>
        <v>2.359152025076301</v>
      </c>
      <c r="J48" s="142">
        <f t="shared" ref="J48:K48" si="18">J35</f>
        <v>2.6422502680854572</v>
      </c>
      <c r="K48" s="143">
        <f t="shared" si="18"/>
        <v>3.0197145920976651</v>
      </c>
    </row>
    <row r="49" spans="2:18" ht="19.5" x14ac:dyDescent="0.5">
      <c r="B49" s="10" t="s">
        <v>3</v>
      </c>
      <c r="C49" s="25">
        <f>SUM(C46:C48)</f>
        <v>641.4</v>
      </c>
      <c r="D49" s="25">
        <f>SUM(D46:D48)</f>
        <v>1872.347</v>
      </c>
      <c r="E49" s="25">
        <f>SUM(E46:E48)</f>
        <v>6245</v>
      </c>
      <c r="F49" s="25">
        <f>SUM(F46:F48)</f>
        <v>5230.8879999999999</v>
      </c>
      <c r="G49" s="25">
        <f>SUM(G46:G48)</f>
        <v>10224.513999999999</v>
      </c>
      <c r="H49" s="25">
        <f t="shared" ref="H49:K49" si="19">SUM(H46:H48)</f>
        <v>7887</v>
      </c>
      <c r="I49" s="146">
        <f t="shared" si="19"/>
        <v>10379.053592861315</v>
      </c>
      <c r="J49" s="146">
        <f t="shared" si="19"/>
        <v>11574.071645557195</v>
      </c>
      <c r="K49" s="147">
        <f t="shared" si="19"/>
        <v>13227.510452065366</v>
      </c>
    </row>
    <row r="50" spans="2:18" ht="19.5" x14ac:dyDescent="0.5">
      <c r="B50" s="8" t="s">
        <v>5</v>
      </c>
      <c r="C50" s="19"/>
      <c r="D50" s="19"/>
      <c r="E50" s="19"/>
      <c r="F50" s="19"/>
      <c r="G50" s="19"/>
      <c r="H50" s="19"/>
      <c r="I50" s="19"/>
      <c r="J50" s="19"/>
      <c r="K50" s="20"/>
    </row>
    <row r="51" spans="2:18" x14ac:dyDescent="0.45">
      <c r="B51" s="6" t="s">
        <v>48</v>
      </c>
      <c r="C51" s="24">
        <v>0</v>
      </c>
      <c r="D51" s="24">
        <v>650</v>
      </c>
      <c r="E51" s="24">
        <v>1050</v>
      </c>
      <c r="F51" s="24">
        <v>20</v>
      </c>
      <c r="G51" s="24">
        <v>500</v>
      </c>
      <c r="H51" s="24">
        <v>0</v>
      </c>
      <c r="I51" s="142">
        <f>I33*I40</f>
        <v>541.75695949324893</v>
      </c>
      <c r="J51" s="142">
        <f t="shared" ref="J51:K51" si="20">J33*J40</f>
        <v>583.43057176196032</v>
      </c>
      <c r="K51" s="143">
        <f t="shared" si="20"/>
        <v>666.77779629938323</v>
      </c>
    </row>
    <row r="52" spans="2:18" x14ac:dyDescent="0.45">
      <c r="B52" s="6" t="s">
        <v>47</v>
      </c>
      <c r="C52" s="24">
        <v>2711</v>
      </c>
      <c r="D52" s="24">
        <v>4598</v>
      </c>
      <c r="E52" s="24">
        <v>3720</v>
      </c>
      <c r="F52" s="24">
        <v>1554</v>
      </c>
      <c r="G52" s="24">
        <v>597</v>
      </c>
      <c r="H52" s="24">
        <v>1600</v>
      </c>
      <c r="I52" s="142">
        <f>I34*I41</f>
        <v>1581.5485996705106</v>
      </c>
      <c r="J52" s="142">
        <f t="shared" ref="J52:K52" si="21">J34*J41</f>
        <v>1845.140032948929</v>
      </c>
      <c r="K52" s="143">
        <f t="shared" si="21"/>
        <v>2108.7314662273475</v>
      </c>
    </row>
    <row r="53" spans="2:18" ht="19.5" x14ac:dyDescent="0.5">
      <c r="B53" s="11" t="s">
        <v>3</v>
      </c>
      <c r="C53" s="26">
        <f t="shared" ref="C53:H53" si="22">SUM(C51:C52)</f>
        <v>2711</v>
      </c>
      <c r="D53" s="26">
        <f t="shared" si="22"/>
        <v>5248</v>
      </c>
      <c r="E53" s="26">
        <f t="shared" si="22"/>
        <v>4770</v>
      </c>
      <c r="F53" s="26">
        <f t="shared" si="22"/>
        <v>1574</v>
      </c>
      <c r="G53" s="26">
        <f t="shared" si="22"/>
        <v>1097</v>
      </c>
      <c r="H53" s="26">
        <f t="shared" si="22"/>
        <v>1600</v>
      </c>
      <c r="I53" s="148">
        <f t="shared" ref="I53:K53" si="23">SUM(I51:I52)</f>
        <v>2123.3055591637594</v>
      </c>
      <c r="J53" s="148">
        <f t="shared" si="23"/>
        <v>2428.5706047108893</v>
      </c>
      <c r="K53" s="149">
        <f t="shared" si="23"/>
        <v>2775.5092625267307</v>
      </c>
    </row>
    <row r="54" spans="2:18" ht="19.5" x14ac:dyDescent="0.5">
      <c r="B54" s="12" t="s">
        <v>68</v>
      </c>
      <c r="C54" s="28">
        <f t="shared" ref="C54:I54" si="24">C53+C49</f>
        <v>3352.4</v>
      </c>
      <c r="D54" s="28">
        <f t="shared" si="24"/>
        <v>7120.3469999999998</v>
      </c>
      <c r="E54" s="28">
        <f t="shared" si="24"/>
        <v>11015</v>
      </c>
      <c r="F54" s="28">
        <f t="shared" si="24"/>
        <v>6804.8879999999999</v>
      </c>
      <c r="G54" s="28">
        <f t="shared" si="24"/>
        <v>11321.513999999999</v>
      </c>
      <c r="H54" s="28">
        <f t="shared" si="24"/>
        <v>9487</v>
      </c>
      <c r="I54" s="150">
        <f t="shared" si="24"/>
        <v>12502.359152025074</v>
      </c>
      <c r="J54" s="150">
        <f t="shared" ref="J54" si="25">J53+J49</f>
        <v>14002.642250268083</v>
      </c>
      <c r="K54" s="151">
        <f t="shared" ref="K54" si="26">K53+K49</f>
        <v>16003.019714592097</v>
      </c>
    </row>
    <row r="55" spans="2:18" ht="19.5" x14ac:dyDescent="0.5">
      <c r="B55" s="15"/>
      <c r="C55" s="26"/>
      <c r="D55" s="26"/>
      <c r="E55" s="26"/>
      <c r="F55" s="26"/>
      <c r="G55" s="26"/>
      <c r="H55" s="26"/>
      <c r="I55" s="26"/>
      <c r="J55" s="26"/>
      <c r="K55" s="26"/>
    </row>
    <row r="56" spans="2:18" ht="19.5" x14ac:dyDescent="0.5">
      <c r="B56" s="15"/>
      <c r="C56" s="26"/>
      <c r="D56" s="26"/>
      <c r="E56" s="26"/>
      <c r="F56" s="26"/>
      <c r="G56" s="26"/>
      <c r="H56" s="26"/>
      <c r="I56" s="26"/>
      <c r="J56" s="26"/>
      <c r="K56" s="26"/>
      <c r="O56" s="73" t="s">
        <v>106</v>
      </c>
      <c r="P56" s="73" t="s">
        <v>107</v>
      </c>
      <c r="Q56" s="73" t="s">
        <v>108</v>
      </c>
      <c r="R56" s="73"/>
    </row>
    <row r="57" spans="2:18" ht="19.5" x14ac:dyDescent="0.5">
      <c r="B57" s="44" t="s">
        <v>100</v>
      </c>
      <c r="C57" s="30"/>
      <c r="D57" s="40">
        <f>D65/(D5*D8)</f>
        <v>1.0508246697378034</v>
      </c>
      <c r="E57" s="40">
        <f t="shared" ref="E57:H57" si="27">E65/(E5*E8)</f>
        <v>1.1237646753071537</v>
      </c>
      <c r="F57" s="40">
        <f t="shared" si="27"/>
        <v>1.2126674713016148</v>
      </c>
      <c r="G57" s="40">
        <f t="shared" si="27"/>
        <v>0.87419496600771629</v>
      </c>
      <c r="H57" s="40">
        <f t="shared" si="27"/>
        <v>1.0428001130956357</v>
      </c>
      <c r="I57" s="40">
        <v>1</v>
      </c>
      <c r="J57" s="40">
        <f t="shared" ref="J57:K61" si="28">I57</f>
        <v>1</v>
      </c>
      <c r="K57" s="40">
        <f t="shared" si="28"/>
        <v>1</v>
      </c>
      <c r="O57" s="72">
        <v>1</v>
      </c>
      <c r="P57" s="72">
        <v>31.010347679999999</v>
      </c>
      <c r="Q57" s="72">
        <v>23.7</v>
      </c>
      <c r="R57" s="72" t="s">
        <v>109</v>
      </c>
    </row>
    <row r="58" spans="2:18" ht="19.5" x14ac:dyDescent="0.5">
      <c r="B58" s="44" t="s">
        <v>101</v>
      </c>
      <c r="C58" s="30"/>
      <c r="D58" s="40">
        <f>D64/(D6*D8)</f>
        <v>0.45060305334110479</v>
      </c>
      <c r="E58" s="40">
        <f t="shared" ref="E58:H58" si="29">E64/(E6*E8)</f>
        <v>0.81060350222687705</v>
      </c>
      <c r="F58" s="40">
        <f t="shared" si="29"/>
        <v>1.1279566334424331</v>
      </c>
      <c r="G58" s="40">
        <f t="shared" si="29"/>
        <v>0.8672198802983534</v>
      </c>
      <c r="H58" s="40">
        <f t="shared" si="29"/>
        <v>1.1066434397512996</v>
      </c>
      <c r="I58" s="40">
        <v>1</v>
      </c>
      <c r="J58" s="40">
        <f t="shared" si="28"/>
        <v>1</v>
      </c>
      <c r="K58" s="40">
        <f t="shared" si="28"/>
        <v>1</v>
      </c>
    </row>
    <row r="59" spans="2:18" ht="19.5" x14ac:dyDescent="0.5">
      <c r="B59" s="44" t="s">
        <v>102</v>
      </c>
      <c r="C59" s="30"/>
      <c r="D59" s="40">
        <f>D69/(D5*D8)</f>
        <v>1.0522220591367606</v>
      </c>
      <c r="E59" s="40">
        <f t="shared" ref="E59:H59" si="30">E69/(E5*E8)</f>
        <v>0.98465058106164338</v>
      </c>
      <c r="F59" s="40">
        <f t="shared" si="30"/>
        <v>1.3293593182269539</v>
      </c>
      <c r="G59" s="40">
        <f t="shared" si="30"/>
        <v>0.90352518326113873</v>
      </c>
      <c r="H59" s="40">
        <f t="shared" si="30"/>
        <v>1.2856076910078349</v>
      </c>
      <c r="I59" s="40">
        <v>1</v>
      </c>
      <c r="J59" s="40">
        <f t="shared" si="28"/>
        <v>1</v>
      </c>
      <c r="K59" s="40">
        <f t="shared" si="28"/>
        <v>1</v>
      </c>
      <c r="P59" s="73" t="s">
        <v>107</v>
      </c>
      <c r="Q59" s="73" t="s">
        <v>109</v>
      </c>
    </row>
    <row r="60" spans="2:18" ht="19.5" x14ac:dyDescent="0.5">
      <c r="B60" s="44" t="s">
        <v>103</v>
      </c>
      <c r="C60" s="30"/>
      <c r="D60" s="40">
        <f>D68/(D6*D8)</f>
        <v>1.0687092012574058</v>
      </c>
      <c r="E60" s="40">
        <f t="shared" ref="E60:G60" si="31">E68/(E6*E8)</f>
        <v>0.93125664003977138</v>
      </c>
      <c r="F60" s="40">
        <f t="shared" si="31"/>
        <v>0.82905444145078611</v>
      </c>
      <c r="G60" s="40">
        <f t="shared" si="31"/>
        <v>0.94274750939175611</v>
      </c>
      <c r="H60" s="40" t="s">
        <v>105</v>
      </c>
      <c r="I60" s="40">
        <v>1</v>
      </c>
      <c r="J60" s="40">
        <f t="shared" si="28"/>
        <v>1</v>
      </c>
      <c r="K60" s="40">
        <f t="shared" si="28"/>
        <v>1</v>
      </c>
      <c r="P60" s="72">
        <v>31</v>
      </c>
      <c r="Q60" s="72">
        <v>24</v>
      </c>
    </row>
    <row r="61" spans="2:18" ht="19.5" x14ac:dyDescent="0.5">
      <c r="B61" s="44" t="s">
        <v>104</v>
      </c>
      <c r="C61" s="30"/>
      <c r="D61" s="30">
        <f>D66/D8</f>
        <v>563852.89443957724</v>
      </c>
      <c r="E61" s="30" t="s">
        <v>105</v>
      </c>
      <c r="F61" s="30">
        <f t="shared" ref="F61" si="32">F66/F8</f>
        <v>792317.66042065574</v>
      </c>
      <c r="G61" s="30">
        <f>G66/G8</f>
        <v>591447.37224824564</v>
      </c>
      <c r="H61" s="30" t="s">
        <v>105</v>
      </c>
      <c r="I61" s="30">
        <f>Q62</f>
        <v>774193.54838709673</v>
      </c>
      <c r="J61" s="30">
        <f t="shared" si="28"/>
        <v>774193.54838709673</v>
      </c>
      <c r="K61" s="30">
        <f t="shared" si="28"/>
        <v>774193.54838709673</v>
      </c>
      <c r="O61" s="70" t="s">
        <v>49</v>
      </c>
      <c r="P61" s="70">
        <v>1</v>
      </c>
      <c r="Q61" s="71">
        <f>Q60/P60</f>
        <v>0.77419354838709675</v>
      </c>
    </row>
    <row r="62" spans="2:18" ht="19.5" x14ac:dyDescent="0.5">
      <c r="B62" s="15"/>
      <c r="C62" s="26"/>
      <c r="D62" s="26"/>
      <c r="E62" s="26"/>
      <c r="F62" s="26"/>
      <c r="G62" s="26"/>
      <c r="H62" s="26"/>
      <c r="I62" s="26"/>
      <c r="J62" s="26"/>
      <c r="K62" s="27"/>
      <c r="P62" s="72">
        <v>1000000</v>
      </c>
      <c r="Q62" s="72">
        <f>Q61*P62</f>
        <v>774193.54838709673</v>
      </c>
    </row>
    <row r="63" spans="2:18" ht="19.5" x14ac:dyDescent="0.5">
      <c r="B63" s="8" t="s">
        <v>6</v>
      </c>
      <c r="C63" s="19"/>
      <c r="D63" s="19"/>
      <c r="E63" s="19"/>
      <c r="F63" s="19"/>
      <c r="G63" s="19"/>
      <c r="H63" s="19"/>
      <c r="I63" s="19"/>
      <c r="J63" s="19"/>
      <c r="K63" s="20"/>
    </row>
    <row r="64" spans="2:18" x14ac:dyDescent="0.45">
      <c r="B64" s="6" t="s">
        <v>48</v>
      </c>
      <c r="C64" s="24" t="str">
        <f t="shared" ref="C64:H66" si="33">IFERROR(C73*10^6/C46,"")</f>
        <v/>
      </c>
      <c r="D64" s="24">
        <f t="shared" si="33"/>
        <v>32572769.953051642</v>
      </c>
      <c r="E64" s="24">
        <f t="shared" si="33"/>
        <v>77939243.027888447</v>
      </c>
      <c r="F64" s="24">
        <f t="shared" si="33"/>
        <v>163604195.80419579</v>
      </c>
      <c r="G64" s="24">
        <f t="shared" si="33"/>
        <v>191464993.6352064</v>
      </c>
      <c r="H64" s="24">
        <f t="shared" si="33"/>
        <v>418070529.70441908</v>
      </c>
      <c r="I64" s="142">
        <f>I6*I8*I58</f>
        <v>525000000</v>
      </c>
      <c r="J64" s="142">
        <f t="shared" ref="J64:K64" si="34">J6*J8*J58</f>
        <v>672000000</v>
      </c>
      <c r="K64" s="143">
        <f t="shared" si="34"/>
        <v>787200000</v>
      </c>
    </row>
    <row r="65" spans="2:12" x14ac:dyDescent="0.45">
      <c r="B65" s="6" t="s">
        <v>47</v>
      </c>
      <c r="C65" s="24">
        <f t="shared" si="33"/>
        <v>68240249.609984398</v>
      </c>
      <c r="D65" s="24">
        <f t="shared" si="33"/>
        <v>89341176.470588237</v>
      </c>
      <c r="E65" s="24">
        <f t="shared" si="33"/>
        <v>138323463.43651861</v>
      </c>
      <c r="F65" s="24">
        <f t="shared" si="33"/>
        <v>227123867.06948641</v>
      </c>
      <c r="G65" s="24">
        <f t="shared" si="33"/>
        <v>239239576.71957672</v>
      </c>
      <c r="H65" s="24">
        <f t="shared" si="33"/>
        <v>517279418.34451902</v>
      </c>
      <c r="I65" s="142">
        <f>I5*I8*I57</f>
        <v>750000000</v>
      </c>
      <c r="J65" s="142">
        <f t="shared" ref="J65:K65" si="35">J5*J8*J57</f>
        <v>960000000</v>
      </c>
      <c r="K65" s="143">
        <f t="shared" si="35"/>
        <v>1152000000</v>
      </c>
      <c r="L65" s="24"/>
    </row>
    <row r="66" spans="2:12" x14ac:dyDescent="0.45">
      <c r="B66" s="7" t="s">
        <v>49</v>
      </c>
      <c r="C66" s="23">
        <f t="shared" si="33"/>
        <v>16675000000</v>
      </c>
      <c r="D66" s="23">
        <f t="shared" si="33"/>
        <v>20512968299.711819</v>
      </c>
      <c r="E66" s="23" t="str">
        <f t="shared" si="33"/>
        <v/>
      </c>
      <c r="F66" s="23">
        <f t="shared" si="33"/>
        <v>53903153153.153152</v>
      </c>
      <c r="G66" s="23">
        <f t="shared" si="33"/>
        <v>66554474708.171204</v>
      </c>
      <c r="H66" s="23" t="str">
        <f t="shared" si="33"/>
        <v/>
      </c>
      <c r="I66" s="144">
        <f>I61*I8</f>
        <v>193548387096.77417</v>
      </c>
      <c r="J66" s="144">
        <f t="shared" ref="J66:K66" si="36">J61*J8</f>
        <v>247741935483.87094</v>
      </c>
      <c r="K66" s="145">
        <f t="shared" si="36"/>
        <v>297290322580.64514</v>
      </c>
    </row>
    <row r="67" spans="2:12" ht="19.5" x14ac:dyDescent="0.5">
      <c r="B67" s="8" t="s">
        <v>7</v>
      </c>
      <c r="C67" s="19"/>
      <c r="D67" s="19"/>
      <c r="E67" s="19"/>
      <c r="F67" s="19"/>
      <c r="G67" s="19"/>
      <c r="H67" s="19"/>
      <c r="I67" s="19"/>
      <c r="J67" s="19"/>
      <c r="K67" s="20"/>
    </row>
    <row r="68" spans="2:12" x14ac:dyDescent="0.45">
      <c r="B68" s="6" t="s">
        <v>48</v>
      </c>
      <c r="C68" s="24" t="str">
        <f t="shared" ref="C68:H69" si="37">IFERROR(C79*10^6/C51,"")</f>
        <v/>
      </c>
      <c r="D68" s="24">
        <f t="shared" si="37"/>
        <v>77253846.15384616</v>
      </c>
      <c r="E68" s="24">
        <f t="shared" si="37"/>
        <v>89540000</v>
      </c>
      <c r="F68" s="24">
        <f t="shared" si="37"/>
        <v>120250000</v>
      </c>
      <c r="G68" s="24">
        <f t="shared" si="37"/>
        <v>208140000</v>
      </c>
      <c r="H68" s="24" t="str">
        <f t="shared" si="37"/>
        <v/>
      </c>
      <c r="I68" s="142">
        <f>I6*I8*I60</f>
        <v>525000000</v>
      </c>
      <c r="J68" s="142">
        <f t="shared" ref="J68:K68" si="38">J6*J8*J60</f>
        <v>672000000</v>
      </c>
      <c r="K68" s="143">
        <f t="shared" si="38"/>
        <v>787200000</v>
      </c>
    </row>
    <row r="69" spans="2:12" x14ac:dyDescent="0.45">
      <c r="B69" s="7" t="s">
        <v>47</v>
      </c>
      <c r="C69" s="23">
        <f t="shared" si="37"/>
        <v>64841755.809664331</v>
      </c>
      <c r="D69" s="23">
        <f t="shared" si="37"/>
        <v>89459982.601130933</v>
      </c>
      <c r="E69" s="23">
        <f t="shared" si="37"/>
        <v>121200000</v>
      </c>
      <c r="F69" s="23">
        <f t="shared" si="37"/>
        <v>248979407.97940797</v>
      </c>
      <c r="G69" s="23">
        <f t="shared" si="37"/>
        <v>247266331.65829146</v>
      </c>
      <c r="H69" s="23">
        <f t="shared" si="37"/>
        <v>637723750</v>
      </c>
      <c r="I69" s="144">
        <f>I5*I8*I59</f>
        <v>750000000</v>
      </c>
      <c r="J69" s="144">
        <f t="shared" ref="J69:K69" si="39">J5*J8*J59</f>
        <v>960000000</v>
      </c>
      <c r="K69" s="145">
        <f t="shared" si="39"/>
        <v>1152000000</v>
      </c>
    </row>
    <row r="70" spans="2:12" x14ac:dyDescent="0.45">
      <c r="B70" s="14"/>
      <c r="C70" s="24"/>
      <c r="D70" s="24"/>
      <c r="E70" s="24"/>
      <c r="F70" s="24"/>
      <c r="G70" s="24"/>
      <c r="H70" s="24"/>
      <c r="I70" s="24"/>
      <c r="J70" s="24"/>
      <c r="K70" s="21"/>
    </row>
    <row r="72" spans="2:12" ht="19.5" x14ac:dyDescent="0.5">
      <c r="B72" s="8" t="s">
        <v>8</v>
      </c>
      <c r="C72" s="19"/>
      <c r="D72" s="19"/>
      <c r="E72" s="19"/>
      <c r="F72" s="19"/>
      <c r="G72" s="19"/>
      <c r="H72" s="19"/>
      <c r="I72" s="19"/>
      <c r="J72" s="19"/>
      <c r="K72" s="20"/>
    </row>
    <row r="73" spans="2:12" x14ac:dyDescent="0.45">
      <c r="B73" s="6" t="s">
        <v>48</v>
      </c>
      <c r="C73" s="24">
        <v>0</v>
      </c>
      <c r="D73" s="24">
        <f>24205+3547</f>
        <v>27752</v>
      </c>
      <c r="E73" s="24">
        <f>308222+4782</f>
        <v>313004</v>
      </c>
      <c r="F73" s="24">
        <f>568782+16103</f>
        <v>584885</v>
      </c>
      <c r="G73" s="24">
        <f>1048519+4347</f>
        <v>1052866</v>
      </c>
      <c r="H73" s="24">
        <v>1428547</v>
      </c>
      <c r="I73" s="142">
        <f>I46*I64/10^6</f>
        <v>3128077.5962660438</v>
      </c>
      <c r="J73" s="142">
        <f t="shared" ref="J73:K73" si="40">J46*J64/10^6</f>
        <v>4311934.6557759624</v>
      </c>
      <c r="K73" s="143">
        <f t="shared" si="40"/>
        <v>5772712.5187531263</v>
      </c>
    </row>
    <row r="74" spans="2:12" x14ac:dyDescent="0.45">
      <c r="B74" s="6" t="s">
        <v>47</v>
      </c>
      <c r="C74" s="24">
        <v>43742</v>
      </c>
      <c r="D74" s="24">
        <v>91128</v>
      </c>
      <c r="E74" s="24">
        <v>308323</v>
      </c>
      <c r="F74" s="24">
        <v>375890</v>
      </c>
      <c r="G74" s="24">
        <v>1130407</v>
      </c>
      <c r="H74" s="24">
        <v>2312239</v>
      </c>
      <c r="I74" s="142">
        <f>I47*I65/10^6</f>
        <v>3313838.5502471174</v>
      </c>
      <c r="J74" s="142">
        <f t="shared" ref="J74:K74" si="41">J47*J65/10^6</f>
        <v>4948665.5683690282</v>
      </c>
      <c r="K74" s="143">
        <f t="shared" si="41"/>
        <v>6786741.3509060955</v>
      </c>
    </row>
    <row r="75" spans="2:12" x14ac:dyDescent="0.45">
      <c r="B75" s="6" t="s">
        <v>50</v>
      </c>
      <c r="C75" s="24">
        <v>6670</v>
      </c>
      <c r="D75" s="24">
        <v>7118</v>
      </c>
      <c r="E75" s="24">
        <v>0</v>
      </c>
      <c r="F75" s="24">
        <v>47866</v>
      </c>
      <c r="G75" s="24">
        <v>34209</v>
      </c>
      <c r="H75" s="24">
        <v>0</v>
      </c>
      <c r="I75" s="142">
        <f>I48*I66/10^6</f>
        <v>456610.06936960656</v>
      </c>
      <c r="J75" s="142">
        <f t="shared" ref="J75:K75" si="42">J48*J66/10^6</f>
        <v>654596.19544826809</v>
      </c>
      <c r="K75" s="143">
        <f t="shared" si="42"/>
        <v>897731.92518619611</v>
      </c>
    </row>
    <row r="76" spans="2:12" x14ac:dyDescent="0.45">
      <c r="B76" s="6" t="s">
        <v>23</v>
      </c>
      <c r="C76" s="24">
        <v>0</v>
      </c>
      <c r="D76" s="24">
        <v>0</v>
      </c>
      <c r="E76" s="24">
        <v>0</v>
      </c>
      <c r="F76" s="24">
        <v>148387</v>
      </c>
      <c r="G76" s="24">
        <v>331386</v>
      </c>
      <c r="H76" s="24">
        <v>0</v>
      </c>
      <c r="I76" s="142">
        <f>H76</f>
        <v>0</v>
      </c>
      <c r="J76" s="142">
        <f t="shared" ref="J76:K76" si="43">I76</f>
        <v>0</v>
      </c>
      <c r="K76" s="143">
        <f t="shared" si="43"/>
        <v>0</v>
      </c>
    </row>
    <row r="77" spans="2:12" ht="19.5" x14ac:dyDescent="0.5">
      <c r="B77" s="10" t="s">
        <v>3</v>
      </c>
      <c r="C77" s="25">
        <f>SUM(C73:C76)</f>
        <v>50412</v>
      </c>
      <c r="D77" s="25">
        <f t="shared" ref="D77:J77" si="44">SUM(D73:D76)</f>
        <v>125998</v>
      </c>
      <c r="E77" s="25">
        <f t="shared" si="44"/>
        <v>621327</v>
      </c>
      <c r="F77" s="25">
        <f t="shared" si="44"/>
        <v>1157028</v>
      </c>
      <c r="G77" s="25">
        <f t="shared" si="44"/>
        <v>2548868</v>
      </c>
      <c r="H77" s="25">
        <f t="shared" si="44"/>
        <v>3740786</v>
      </c>
      <c r="I77" s="146">
        <f t="shared" si="44"/>
        <v>6898526.2158827679</v>
      </c>
      <c r="J77" s="146">
        <f t="shared" si="44"/>
        <v>9915196.4195932597</v>
      </c>
      <c r="K77" s="147">
        <f>SUM(K73:K76)</f>
        <v>13457185.794845419</v>
      </c>
    </row>
    <row r="78" spans="2:12" ht="19.5" x14ac:dyDescent="0.5">
      <c r="B78" s="8" t="s">
        <v>9</v>
      </c>
      <c r="C78" s="19"/>
      <c r="D78" s="19"/>
      <c r="E78" s="19"/>
      <c r="F78" s="19"/>
      <c r="G78" s="19"/>
      <c r="H78" s="19"/>
      <c r="I78" s="19"/>
      <c r="J78" s="19"/>
      <c r="K78" s="20"/>
    </row>
    <row r="79" spans="2:12" x14ac:dyDescent="0.45">
      <c r="B79" s="6" t="s">
        <v>48</v>
      </c>
      <c r="C79" s="24">
        <v>0</v>
      </c>
      <c r="D79" s="24">
        <v>50215</v>
      </c>
      <c r="E79" s="24">
        <v>94017</v>
      </c>
      <c r="F79" s="24">
        <v>2405</v>
      </c>
      <c r="G79" s="24">
        <v>104070</v>
      </c>
      <c r="H79" s="24">
        <v>0</v>
      </c>
      <c r="I79" s="142">
        <f>I68*I51/10^6</f>
        <v>284422.4037339557</v>
      </c>
      <c r="J79" s="142">
        <f t="shared" ref="J79:K79" si="45">J68*J51/10^6</f>
        <v>392065.34422403737</v>
      </c>
      <c r="K79" s="143">
        <f t="shared" si="45"/>
        <v>524887.48124687443</v>
      </c>
    </row>
    <row r="80" spans="2:12" x14ac:dyDescent="0.45">
      <c r="B80" s="6" t="s">
        <v>47</v>
      </c>
      <c r="C80" s="24">
        <v>175786</v>
      </c>
      <c r="D80" s="24">
        <v>411337</v>
      </c>
      <c r="E80" s="24">
        <v>450864</v>
      </c>
      <c r="F80" s="24">
        <v>386914</v>
      </c>
      <c r="G80" s="24">
        <v>147618</v>
      </c>
      <c r="H80" s="24">
        <v>1020358</v>
      </c>
      <c r="I80" s="142">
        <f>I69*I52/10^6</f>
        <v>1186161.4497528831</v>
      </c>
      <c r="J80" s="142">
        <f t="shared" ref="J80:K80" si="46">J69*J52/10^6</f>
        <v>1771334.4316309718</v>
      </c>
      <c r="K80" s="143">
        <f t="shared" si="46"/>
        <v>2429258.6490939041</v>
      </c>
    </row>
    <row r="81" spans="2:11" ht="20.25" thickBot="1" x14ac:dyDescent="0.55000000000000004">
      <c r="B81" s="11" t="s">
        <v>3</v>
      </c>
      <c r="C81" s="26">
        <f t="shared" ref="C81:H81" si="47">SUM(C79:C80)</f>
        <v>175786</v>
      </c>
      <c r="D81" s="26">
        <f t="shared" si="47"/>
        <v>461552</v>
      </c>
      <c r="E81" s="26">
        <f t="shared" si="47"/>
        <v>544881</v>
      </c>
      <c r="F81" s="26">
        <f t="shared" si="47"/>
        <v>389319</v>
      </c>
      <c r="G81" s="26">
        <f t="shared" si="47"/>
        <v>251688</v>
      </c>
      <c r="H81" s="26">
        <f t="shared" si="47"/>
        <v>1020358</v>
      </c>
      <c r="I81" s="148">
        <f t="shared" ref="I81:K81" si="48">SUM(I79:I80)</f>
        <v>1470583.8534868388</v>
      </c>
      <c r="J81" s="148">
        <f t="shared" si="48"/>
        <v>2163399.7758550094</v>
      </c>
      <c r="K81" s="152">
        <f t="shared" si="48"/>
        <v>2954146.1303407783</v>
      </c>
    </row>
    <row r="82" spans="2:11" ht="20.25" thickBot="1" x14ac:dyDescent="0.55000000000000004">
      <c r="B82" s="64" t="s">
        <v>68</v>
      </c>
      <c r="C82" s="65">
        <f>C77+C81</f>
        <v>226198</v>
      </c>
      <c r="D82" s="65">
        <f>D77+D81</f>
        <v>587550</v>
      </c>
      <c r="E82" s="65">
        <f>E77+E81</f>
        <v>1166208</v>
      </c>
      <c r="F82" s="65">
        <f>F77+F81</f>
        <v>1546347</v>
      </c>
      <c r="G82" s="65">
        <f>G77+G81</f>
        <v>2800556</v>
      </c>
      <c r="H82" s="65">
        <f t="shared" ref="H82:K82" si="49">H77+H81</f>
        <v>4761144</v>
      </c>
      <c r="I82" s="153">
        <f t="shared" si="49"/>
        <v>8369110.0693696067</v>
      </c>
      <c r="J82" s="153">
        <f t="shared" si="49"/>
        <v>12078596.195448268</v>
      </c>
      <c r="K82" s="154">
        <f t="shared" si="49"/>
        <v>16411331.925186198</v>
      </c>
    </row>
    <row r="83" spans="2:11" ht="19.5" x14ac:dyDescent="0.5">
      <c r="B83" s="15"/>
      <c r="C83" s="215">
        <f t="shared" ref="C83:J83" si="50">C77/C82</f>
        <v>0.22286669201319198</v>
      </c>
      <c r="D83" s="215">
        <f t="shared" si="50"/>
        <v>0.21444643009105607</v>
      </c>
      <c r="E83" s="215">
        <f t="shared" si="50"/>
        <v>0.53277545686532768</v>
      </c>
      <c r="F83" s="215">
        <f t="shared" si="50"/>
        <v>0.74823309386573644</v>
      </c>
      <c r="G83" s="215">
        <f t="shared" si="50"/>
        <v>0.91012927432981161</v>
      </c>
      <c r="H83" s="215">
        <f t="shared" si="50"/>
        <v>0.78569058192736874</v>
      </c>
      <c r="I83" s="215">
        <f t="shared" si="50"/>
        <v>0.82428432159482778</v>
      </c>
      <c r="J83" s="215">
        <f t="shared" si="50"/>
        <v>0.82088980036684478</v>
      </c>
      <c r="K83" s="215">
        <f>K77/K82</f>
        <v>0.81999351766159212</v>
      </c>
    </row>
    <row r="84" spans="2:11" hidden="1" x14ac:dyDescent="0.45">
      <c r="C84" s="216">
        <f t="shared" ref="C84:J84" si="51">C81/C82</f>
        <v>0.77713330798680802</v>
      </c>
      <c r="D84" s="216">
        <f t="shared" si="51"/>
        <v>0.78555356990894387</v>
      </c>
      <c r="E84" s="216">
        <f t="shared" si="51"/>
        <v>0.46722454313467238</v>
      </c>
      <c r="F84" s="216">
        <f t="shared" si="51"/>
        <v>0.2517669061342635</v>
      </c>
      <c r="G84" s="216">
        <f t="shared" si="51"/>
        <v>8.9870725670188348E-2</v>
      </c>
      <c r="H84" s="216">
        <f t="shared" si="51"/>
        <v>0.21430941807263129</v>
      </c>
      <c r="I84" s="216">
        <f t="shared" si="51"/>
        <v>0.17571567840517227</v>
      </c>
      <c r="J84" s="216">
        <f t="shared" si="51"/>
        <v>0.1791101996331553</v>
      </c>
      <c r="K84" s="216">
        <f>K81/K82</f>
        <v>0.18000648233840785</v>
      </c>
    </row>
    <row r="85" spans="2:11" ht="19.5" hidden="1" x14ac:dyDescent="0.5">
      <c r="B85" s="8" t="s">
        <v>51</v>
      </c>
      <c r="C85" s="19"/>
      <c r="D85" s="19"/>
      <c r="E85" s="19"/>
      <c r="F85" s="19"/>
      <c r="G85" s="19"/>
      <c r="H85" s="19"/>
      <c r="I85" s="19"/>
      <c r="J85" s="19"/>
      <c r="K85" s="20"/>
    </row>
    <row r="86" spans="2:11" hidden="1" x14ac:dyDescent="0.45">
      <c r="B86" s="6" t="s">
        <v>11</v>
      </c>
      <c r="C86" s="24">
        <v>0</v>
      </c>
      <c r="D86" s="24">
        <v>48890</v>
      </c>
      <c r="E86" s="24">
        <v>248517</v>
      </c>
      <c r="F86" s="24">
        <v>469431</v>
      </c>
      <c r="G86" s="24">
        <v>1165166</v>
      </c>
      <c r="H86" s="24">
        <v>1720494</v>
      </c>
      <c r="I86" s="142"/>
      <c r="J86" s="142"/>
      <c r="K86" s="143"/>
    </row>
    <row r="87" spans="2:11" hidden="1" x14ac:dyDescent="0.45">
      <c r="B87" s="6" t="s">
        <v>12</v>
      </c>
      <c r="C87" s="24">
        <v>0</v>
      </c>
      <c r="D87" s="24">
        <v>20575</v>
      </c>
      <c r="E87" s="24">
        <v>29299</v>
      </c>
      <c r="F87" s="24">
        <v>35281</v>
      </c>
      <c r="G87" s="24">
        <v>52359</v>
      </c>
      <c r="H87" s="24">
        <v>67911</v>
      </c>
      <c r="I87" s="142"/>
      <c r="J87" s="142"/>
      <c r="K87" s="143"/>
    </row>
    <row r="88" spans="2:11" hidden="1" x14ac:dyDescent="0.45">
      <c r="B88" s="6" t="s">
        <v>13</v>
      </c>
      <c r="C88" s="21">
        <f>C228</f>
        <v>0</v>
      </c>
      <c r="D88" s="21">
        <f>D228</f>
        <v>88218</v>
      </c>
      <c r="E88" s="21">
        <f>E228</f>
        <v>157718</v>
      </c>
      <c r="F88" s="21">
        <f>F228</f>
        <v>165647</v>
      </c>
      <c r="G88" s="21">
        <f>G228</f>
        <v>246731</v>
      </c>
      <c r="H88" s="21">
        <v>290848</v>
      </c>
      <c r="I88" s="142"/>
      <c r="J88" s="142"/>
      <c r="K88" s="143"/>
    </row>
    <row r="89" spans="2:11" hidden="1" x14ac:dyDescent="0.45">
      <c r="B89" s="6" t="s">
        <v>14</v>
      </c>
      <c r="C89" s="21">
        <f t="shared" ref="C89:F89" si="52">SUM(C86:C88)</f>
        <v>0</v>
      </c>
      <c r="D89" s="21">
        <f t="shared" si="52"/>
        <v>157683</v>
      </c>
      <c r="E89" s="21">
        <f t="shared" si="52"/>
        <v>435534</v>
      </c>
      <c r="F89" s="21">
        <f t="shared" si="52"/>
        <v>670359</v>
      </c>
      <c r="G89" s="21">
        <f>SUM(G86:G88)</f>
        <v>1464256</v>
      </c>
      <c r="H89" s="21">
        <v>2079253</v>
      </c>
      <c r="I89" s="142"/>
      <c r="J89" s="142"/>
      <c r="K89" s="143"/>
    </row>
    <row r="90" spans="2:11" hidden="1" x14ac:dyDescent="0.45">
      <c r="B90" s="6" t="s">
        <v>60</v>
      </c>
      <c r="C90" s="24">
        <v>0</v>
      </c>
      <c r="D90" s="24">
        <v>-19113</v>
      </c>
      <c r="E90" s="24">
        <v>-1769</v>
      </c>
      <c r="F90" s="24">
        <v>-7679</v>
      </c>
      <c r="G90" s="24">
        <v>-2780</v>
      </c>
      <c r="H90" s="24">
        <v>-11407</v>
      </c>
      <c r="I90" s="142"/>
      <c r="J90" s="142"/>
      <c r="K90" s="143"/>
    </row>
    <row r="91" spans="2:11" hidden="1" x14ac:dyDescent="0.45">
      <c r="B91" s="6" t="s">
        <v>15</v>
      </c>
      <c r="C91" s="24">
        <v>0</v>
      </c>
      <c r="D91" s="24">
        <f>-33003+6115-32471</f>
        <v>-59359</v>
      </c>
      <c r="E91" s="24">
        <f>-13145+32471-33522</f>
        <v>-14196</v>
      </c>
      <c r="F91" s="24">
        <f>-156396-34699</f>
        <v>-191095</v>
      </c>
      <c r="G91" s="24">
        <f>-293193-191659</f>
        <v>-484852</v>
      </c>
      <c r="H91" s="24">
        <v>-824047</v>
      </c>
      <c r="I91" s="142"/>
      <c r="J91" s="142"/>
      <c r="K91" s="143"/>
    </row>
    <row r="92" spans="2:11" ht="20.25" hidden="1" thickBot="1" x14ac:dyDescent="0.55000000000000004">
      <c r="B92" s="11" t="s">
        <v>16</v>
      </c>
      <c r="C92" s="27">
        <f t="shared" ref="C92:F92" si="53">SUM(C89:C91)</f>
        <v>0</v>
      </c>
      <c r="D92" s="27">
        <f t="shared" si="53"/>
        <v>79211</v>
      </c>
      <c r="E92" s="27">
        <f t="shared" si="53"/>
        <v>419569</v>
      </c>
      <c r="F92" s="27">
        <f t="shared" si="53"/>
        <v>471585</v>
      </c>
      <c r="G92" s="27">
        <f>SUM(G89:G91)</f>
        <v>976624</v>
      </c>
      <c r="H92" s="27">
        <v>1243799</v>
      </c>
      <c r="I92" s="148"/>
      <c r="J92" s="148"/>
      <c r="K92" s="149"/>
    </row>
    <row r="93" spans="2:11" ht="18.75" hidden="1" thickBot="1" x14ac:dyDescent="0.5">
      <c r="B93" s="61" t="s">
        <v>17</v>
      </c>
      <c r="C93" s="62"/>
      <c r="D93" s="62"/>
      <c r="E93" s="62"/>
      <c r="F93" s="62"/>
      <c r="G93" s="62"/>
      <c r="H93" s="62"/>
      <c r="I93" s="155"/>
      <c r="J93" s="155"/>
      <c r="K93" s="156"/>
    </row>
    <row r="94" spans="2:11" ht="19.5" hidden="1" x14ac:dyDescent="0.5">
      <c r="B94" s="58" t="s">
        <v>52</v>
      </c>
      <c r="C94" s="59"/>
      <c r="D94" s="59"/>
      <c r="E94" s="59"/>
      <c r="F94" s="59"/>
      <c r="G94" s="59"/>
      <c r="H94" s="59"/>
      <c r="I94" s="59"/>
      <c r="J94" s="59"/>
      <c r="K94" s="60"/>
    </row>
    <row r="95" spans="2:11" hidden="1" x14ac:dyDescent="0.45">
      <c r="B95" s="6" t="s">
        <v>11</v>
      </c>
      <c r="C95" s="24">
        <v>103883</v>
      </c>
      <c r="D95" s="24">
        <v>240487</v>
      </c>
      <c r="E95" s="24">
        <v>384114</v>
      </c>
      <c r="F95" s="24">
        <v>659906</v>
      </c>
      <c r="G95" s="24">
        <v>1181996</v>
      </c>
      <c r="H95" s="24">
        <v>998430</v>
      </c>
      <c r="I95" s="142"/>
      <c r="J95" s="142"/>
      <c r="K95" s="143"/>
    </row>
    <row r="96" spans="2:11" hidden="1" x14ac:dyDescent="0.45">
      <c r="B96" s="6" t="s">
        <v>12</v>
      </c>
      <c r="C96" s="24">
        <v>30360</v>
      </c>
      <c r="D96" s="24">
        <v>26446</v>
      </c>
      <c r="E96" s="24">
        <v>43707</v>
      </c>
      <c r="F96" s="24">
        <v>59245</v>
      </c>
      <c r="G96" s="24">
        <v>78180</v>
      </c>
      <c r="H96" s="24">
        <v>116495</v>
      </c>
      <c r="I96" s="142"/>
      <c r="J96" s="142"/>
      <c r="K96" s="143"/>
    </row>
    <row r="97" spans="2:11" hidden="1" x14ac:dyDescent="0.45">
      <c r="B97" s="6" t="s">
        <v>13</v>
      </c>
      <c r="C97" s="21">
        <f>C237</f>
        <v>145129</v>
      </c>
      <c r="D97" s="21">
        <f>D237</f>
        <v>161501</v>
      </c>
      <c r="E97" s="21">
        <f>E237</f>
        <v>247273</v>
      </c>
      <c r="F97" s="21">
        <f>F237</f>
        <v>305278</v>
      </c>
      <c r="G97" s="21">
        <f>G237</f>
        <v>374431</v>
      </c>
      <c r="H97" s="21">
        <v>435277</v>
      </c>
      <c r="I97" s="142"/>
      <c r="J97" s="142"/>
      <c r="K97" s="143"/>
    </row>
    <row r="98" spans="2:11" hidden="1" x14ac:dyDescent="0.45">
      <c r="B98" s="6" t="s">
        <v>14</v>
      </c>
      <c r="C98" s="21">
        <f t="shared" ref="C98:F98" si="54">SUM(C95:C97)</f>
        <v>279372</v>
      </c>
      <c r="D98" s="21">
        <f t="shared" si="54"/>
        <v>428434</v>
      </c>
      <c r="E98" s="21">
        <f t="shared" si="54"/>
        <v>675094</v>
      </c>
      <c r="F98" s="21">
        <f t="shared" si="54"/>
        <v>1024429</v>
      </c>
      <c r="G98" s="21">
        <f>SUM(G95:G97)</f>
        <v>1634607</v>
      </c>
      <c r="H98" s="21">
        <v>1550202</v>
      </c>
      <c r="I98" s="142"/>
      <c r="J98" s="142"/>
      <c r="K98" s="143"/>
    </row>
    <row r="99" spans="2:11" hidden="1" x14ac:dyDescent="0.45">
      <c r="B99" s="6" t="s">
        <v>60</v>
      </c>
      <c r="C99" s="24">
        <v>-27244</v>
      </c>
      <c r="D99" s="24">
        <v>-5593</v>
      </c>
      <c r="E99" s="24">
        <v>-8114</v>
      </c>
      <c r="F99" s="24">
        <v>-8279</v>
      </c>
      <c r="G99" s="24">
        <v>-755</v>
      </c>
      <c r="H99" s="24">
        <v>-2115</v>
      </c>
      <c r="I99" s="142"/>
      <c r="J99" s="142"/>
      <c r="K99" s="143"/>
    </row>
    <row r="100" spans="2:11" hidden="1" x14ac:dyDescent="0.45">
      <c r="B100" s="6" t="s">
        <v>15</v>
      </c>
      <c r="C100" s="24">
        <f>-7494+52470-57260-2121</f>
        <v>-14405</v>
      </c>
      <c r="D100" s="24">
        <f>-14163+44425+6720-10440</f>
        <v>26542</v>
      </c>
      <c r="E100" s="24">
        <f>-3383+10440-30231</f>
        <v>-23174</v>
      </c>
      <c r="F100" s="24">
        <f>-26632-336172</f>
        <v>-362804</v>
      </c>
      <c r="G100" s="24">
        <f>-14796-116227</f>
        <v>-131023</v>
      </c>
      <c r="H100" s="24">
        <v>226933</v>
      </c>
      <c r="I100" s="142"/>
      <c r="J100" s="142"/>
      <c r="K100" s="143"/>
    </row>
    <row r="101" spans="2:11" ht="20.25" hidden="1" thickBot="1" x14ac:dyDescent="0.55000000000000004">
      <c r="B101" s="11" t="s">
        <v>16</v>
      </c>
      <c r="C101" s="27">
        <f t="shared" ref="C101:F101" si="55">SUM(C98:C100)</f>
        <v>237723</v>
      </c>
      <c r="D101" s="27">
        <f t="shared" si="55"/>
        <v>449383</v>
      </c>
      <c r="E101" s="27">
        <f t="shared" si="55"/>
        <v>643806</v>
      </c>
      <c r="F101" s="27">
        <f t="shared" si="55"/>
        <v>653346</v>
      </c>
      <c r="G101" s="27">
        <f>SUM(G98:G100)</f>
        <v>1502829</v>
      </c>
      <c r="H101" s="27">
        <v>1775020</v>
      </c>
      <c r="I101" s="148"/>
      <c r="J101" s="148"/>
      <c r="K101" s="149"/>
    </row>
    <row r="102" spans="2:11" ht="20.25" hidden="1" thickBot="1" x14ac:dyDescent="0.5">
      <c r="B102" s="61" t="s">
        <v>17</v>
      </c>
      <c r="C102" s="63"/>
      <c r="D102" s="63"/>
      <c r="E102" s="63"/>
      <c r="F102" s="63"/>
      <c r="G102" s="63"/>
      <c r="H102" s="63"/>
      <c r="I102" s="153"/>
      <c r="J102" s="153"/>
      <c r="K102" s="154"/>
    </row>
    <row r="103" spans="2:11" ht="19.5" hidden="1" x14ac:dyDescent="0.5">
      <c r="B103" s="10" t="s">
        <v>69</v>
      </c>
      <c r="C103" s="25">
        <f>C101+C92</f>
        <v>237723</v>
      </c>
      <c r="D103" s="25">
        <f>D101+D92</f>
        <v>528594</v>
      </c>
      <c r="E103" s="25">
        <f>E101+E92</f>
        <v>1063375</v>
      </c>
      <c r="F103" s="25">
        <f>F101+F92</f>
        <v>1124931</v>
      </c>
      <c r="G103" s="25">
        <f>G101+G92</f>
        <v>2479453</v>
      </c>
      <c r="H103" s="25">
        <v>3018819</v>
      </c>
      <c r="I103" s="146"/>
      <c r="J103" s="146"/>
      <c r="K103" s="147"/>
    </row>
    <row r="104" spans="2:11" ht="19.5" hidden="1" x14ac:dyDescent="0.5">
      <c r="B104" s="15"/>
      <c r="C104" s="26"/>
      <c r="D104" s="26"/>
      <c r="E104" s="26"/>
      <c r="F104" s="26"/>
      <c r="G104" s="26"/>
      <c r="H104" s="26"/>
      <c r="I104" s="26"/>
      <c r="J104" s="26"/>
      <c r="K104" s="26"/>
    </row>
    <row r="105" spans="2:11" ht="19.5" x14ac:dyDescent="0.5">
      <c r="B105" s="15"/>
      <c r="C105" s="26"/>
      <c r="D105" s="26"/>
      <c r="E105" s="26"/>
      <c r="F105" s="26"/>
      <c r="G105" s="26"/>
      <c r="H105" s="26"/>
      <c r="I105" s="26"/>
      <c r="J105" s="26"/>
      <c r="K105" s="26"/>
    </row>
    <row r="106" spans="2:11" ht="19.5" x14ac:dyDescent="0.5">
      <c r="B106" s="15"/>
      <c r="C106" s="215">
        <f t="shared" ref="C106:G106" si="56">C108/C82</f>
        <v>0.45925693419039954</v>
      </c>
      <c r="D106" s="215">
        <f t="shared" si="56"/>
        <v>0.49251467960173601</v>
      </c>
      <c r="E106" s="215">
        <f t="shared" si="56"/>
        <v>0.54246841043793215</v>
      </c>
      <c r="F106" s="215">
        <f t="shared" si="56"/>
        <v>0.73032572895992942</v>
      </c>
      <c r="G106" s="215">
        <f t="shared" si="56"/>
        <v>0.83810571900722575</v>
      </c>
      <c r="H106" s="215">
        <f>H108/H82</f>
        <v>0.57106527338807644</v>
      </c>
      <c r="I106" s="215">
        <f t="shared" ref="I106:J106" si="57">I108/I82</f>
        <v>0.61965476272533071</v>
      </c>
      <c r="J106" s="215">
        <f t="shared" si="57"/>
        <v>0.61623001509769848</v>
      </c>
      <c r="K106" s="215">
        <f>K108/K82</f>
        <v>0.61412923986578005</v>
      </c>
    </row>
    <row r="107" spans="2:11" ht="19.5" x14ac:dyDescent="0.5">
      <c r="B107" s="8" t="s">
        <v>97</v>
      </c>
      <c r="C107" s="54"/>
      <c r="D107" s="54"/>
      <c r="E107" s="54"/>
      <c r="F107" s="54"/>
      <c r="G107" s="54"/>
      <c r="H107" s="54"/>
      <c r="I107" s="54"/>
      <c r="J107" s="54"/>
      <c r="K107" s="55"/>
    </row>
    <row r="108" spans="2:11" x14ac:dyDescent="0.45">
      <c r="B108" s="6" t="s">
        <v>11</v>
      </c>
      <c r="C108" s="24">
        <f>C86+C95</f>
        <v>103883</v>
      </c>
      <c r="D108" s="24">
        <f>D86+D95</f>
        <v>289377</v>
      </c>
      <c r="E108" s="24">
        <f t="shared" ref="E108:G108" si="58">E86+E95</f>
        <v>632631</v>
      </c>
      <c r="F108" s="24">
        <f t="shared" si="58"/>
        <v>1129337</v>
      </c>
      <c r="G108" s="24">
        <f t="shared" si="58"/>
        <v>2347162</v>
      </c>
      <c r="H108" s="24">
        <f>H86+H95</f>
        <v>2718924</v>
      </c>
      <c r="I108" s="142">
        <f>I215</f>
        <v>5185958.9142573997</v>
      </c>
      <c r="J108" s="142">
        <f>J215</f>
        <v>7443193.5158800893</v>
      </c>
      <c r="K108" s="143">
        <f>K215</f>
        <v>10078678.800399609</v>
      </c>
    </row>
    <row r="109" spans="2:11" x14ac:dyDescent="0.45">
      <c r="B109" s="6" t="s">
        <v>12</v>
      </c>
      <c r="C109" s="24">
        <f t="shared" ref="C109:H113" si="59">C87+C96</f>
        <v>30360</v>
      </c>
      <c r="D109" s="24">
        <f>D87+D96</f>
        <v>47021</v>
      </c>
      <c r="E109" s="24">
        <f t="shared" si="59"/>
        <v>73006</v>
      </c>
      <c r="F109" s="24">
        <f t="shared" si="59"/>
        <v>94526</v>
      </c>
      <c r="G109" s="24">
        <f t="shared" si="59"/>
        <v>130539</v>
      </c>
      <c r="H109" s="24">
        <f t="shared" si="59"/>
        <v>184406</v>
      </c>
      <c r="I109" s="142">
        <f>H109*(1+I7)</f>
        <v>248948.1</v>
      </c>
      <c r="J109" s="142">
        <f t="shared" ref="J109:K109" si="60">I109*(1+J7)</f>
        <v>298737.71999999997</v>
      </c>
      <c r="K109" s="143">
        <f t="shared" si="60"/>
        <v>358485.26399999997</v>
      </c>
    </row>
    <row r="110" spans="2:11" x14ac:dyDescent="0.45">
      <c r="B110" s="6" t="s">
        <v>13</v>
      </c>
      <c r="C110" s="21">
        <f t="shared" si="59"/>
        <v>145129</v>
      </c>
      <c r="D110" s="21">
        <f>D88+D97</f>
        <v>249719</v>
      </c>
      <c r="E110" s="21">
        <f t="shared" si="59"/>
        <v>404991</v>
      </c>
      <c r="F110" s="21">
        <f t="shared" si="59"/>
        <v>470925</v>
      </c>
      <c r="G110" s="21">
        <f t="shared" si="59"/>
        <v>621162</v>
      </c>
      <c r="H110" s="21">
        <f t="shared" si="59"/>
        <v>726125</v>
      </c>
      <c r="I110" s="142">
        <f>I250</f>
        <v>1099773.3941717837</v>
      </c>
      <c r="J110" s="142">
        <f t="shared" ref="J110:K110" si="61">J250</f>
        <v>1592212.7208466181</v>
      </c>
      <c r="K110" s="143">
        <f t="shared" si="61"/>
        <v>2282871.0073412871</v>
      </c>
    </row>
    <row r="111" spans="2:11" x14ac:dyDescent="0.45">
      <c r="B111" s="6" t="s">
        <v>14</v>
      </c>
      <c r="C111" s="21">
        <f>SUM(C108:C110)</f>
        <v>279372</v>
      </c>
      <c r="D111" s="21">
        <f>SUM(D108:D110)</f>
        <v>586117</v>
      </c>
      <c r="E111" s="21">
        <f t="shared" ref="E111:K111" si="62">SUM(E108:E110)</f>
        <v>1110628</v>
      </c>
      <c r="F111" s="21">
        <f t="shared" si="62"/>
        <v>1694788</v>
      </c>
      <c r="G111" s="21">
        <f t="shared" si="62"/>
        <v>3098863</v>
      </c>
      <c r="H111" s="21">
        <f t="shared" si="62"/>
        <v>3629455</v>
      </c>
      <c r="I111" s="142">
        <f t="shared" si="62"/>
        <v>6534680.4084291831</v>
      </c>
      <c r="J111" s="142">
        <f t="shared" si="62"/>
        <v>9334143.9567267075</v>
      </c>
      <c r="K111" s="143">
        <f t="shared" si="62"/>
        <v>12720035.071740896</v>
      </c>
    </row>
    <row r="112" spans="2:11" x14ac:dyDescent="0.45">
      <c r="B112" s="6" t="s">
        <v>60</v>
      </c>
      <c r="C112" s="24">
        <f t="shared" si="59"/>
        <v>-27244</v>
      </c>
      <c r="D112" s="24">
        <f t="shared" si="59"/>
        <v>-24706</v>
      </c>
      <c r="E112" s="24">
        <f t="shared" si="59"/>
        <v>-9883</v>
      </c>
      <c r="F112" s="24">
        <f t="shared" si="59"/>
        <v>-15958</v>
      </c>
      <c r="G112" s="24">
        <f t="shared" si="59"/>
        <v>-3535</v>
      </c>
      <c r="H112" s="24">
        <f t="shared" si="59"/>
        <v>-13522</v>
      </c>
      <c r="I112" s="142">
        <v>0</v>
      </c>
      <c r="J112" s="142">
        <v>0</v>
      </c>
      <c r="K112" s="143">
        <v>0</v>
      </c>
    </row>
    <row r="113" spans="1:11" x14ac:dyDescent="0.45">
      <c r="B113" s="6" t="s">
        <v>15</v>
      </c>
      <c r="C113" s="24">
        <f t="shared" si="59"/>
        <v>-14405</v>
      </c>
      <c r="D113" s="24">
        <f t="shared" si="59"/>
        <v>-32817</v>
      </c>
      <c r="E113" s="24">
        <f t="shared" si="59"/>
        <v>-37370</v>
      </c>
      <c r="F113" s="24">
        <f t="shared" si="59"/>
        <v>-553899</v>
      </c>
      <c r="G113" s="24">
        <f t="shared" si="59"/>
        <v>-615875</v>
      </c>
      <c r="H113" s="24">
        <f>H91+H100</f>
        <v>-597114</v>
      </c>
      <c r="I113" s="142">
        <v>0</v>
      </c>
      <c r="J113" s="142">
        <v>0</v>
      </c>
      <c r="K113" s="143">
        <v>0</v>
      </c>
    </row>
    <row r="114" spans="1:11" ht="19.5" x14ac:dyDescent="0.5">
      <c r="B114" s="10" t="s">
        <v>16</v>
      </c>
      <c r="C114" s="29">
        <f>SUM(C111:C113)</f>
        <v>237723</v>
      </c>
      <c r="D114" s="29">
        <f>SUM(D111:D113)</f>
        <v>528594</v>
      </c>
      <c r="E114" s="29">
        <f t="shared" ref="E114:G114" si="63">SUM(E111:E113)</f>
        <v>1063375</v>
      </c>
      <c r="F114" s="29">
        <f t="shared" si="63"/>
        <v>1124931</v>
      </c>
      <c r="G114" s="29">
        <f t="shared" si="63"/>
        <v>2479453</v>
      </c>
      <c r="H114" s="29">
        <f>SUM(H111:H113)</f>
        <v>3018819</v>
      </c>
      <c r="I114" s="146">
        <f>SUM(I111:I113)</f>
        <v>6534680.4084291831</v>
      </c>
      <c r="J114" s="146">
        <f t="shared" ref="J114:K114" si="64">SUM(J111:J113)</f>
        <v>9334143.9567267075</v>
      </c>
      <c r="K114" s="147">
        <f t="shared" si="64"/>
        <v>12720035.071740896</v>
      </c>
    </row>
    <row r="115" spans="1:11" ht="19.5" x14ac:dyDescent="0.5">
      <c r="B115" s="15"/>
      <c r="C115" s="215">
        <f>C108/C$111</f>
        <v>0.37184470884698539</v>
      </c>
      <c r="D115" s="215">
        <f t="shared" ref="D115:K115" si="65">D108/D$111</f>
        <v>0.49371883088188878</v>
      </c>
      <c r="E115" s="215">
        <f t="shared" si="65"/>
        <v>0.56961556884933573</v>
      </c>
      <c r="F115" s="215">
        <f t="shared" si="65"/>
        <v>0.66635886022322555</v>
      </c>
      <c r="G115" s="215">
        <f t="shared" si="65"/>
        <v>0.75742683687533141</v>
      </c>
      <c r="H115" s="215">
        <f t="shared" si="65"/>
        <v>0.74912734832089112</v>
      </c>
      <c r="I115" s="215">
        <f t="shared" si="65"/>
        <v>0.79360559202986469</v>
      </c>
      <c r="J115" s="215">
        <f t="shared" si="65"/>
        <v>0.79741576200098208</v>
      </c>
      <c r="K115" s="215">
        <f t="shared" si="65"/>
        <v>0.79234677762725825</v>
      </c>
    </row>
    <row r="116" spans="1:11" ht="19.5" x14ac:dyDescent="0.5">
      <c r="B116" s="15"/>
      <c r="C116" s="215">
        <f>C109/C$111</f>
        <v>0.10867230789055453</v>
      </c>
      <c r="D116" s="215">
        <f t="shared" ref="D116:K117" si="66">D109/D$111</f>
        <v>8.0224596795520353E-2</v>
      </c>
      <c r="E116" s="215">
        <f t="shared" si="66"/>
        <v>6.5733981134997496E-2</v>
      </c>
      <c r="F116" s="215">
        <f t="shared" si="66"/>
        <v>5.577452755152857E-2</v>
      </c>
      <c r="G116" s="215">
        <f t="shared" si="66"/>
        <v>4.2124805130139664E-2</v>
      </c>
      <c r="H116" s="215">
        <f t="shared" si="66"/>
        <v>5.080817918943753E-2</v>
      </c>
      <c r="I116" s="215">
        <f t="shared" si="66"/>
        <v>3.8096446106052576E-2</v>
      </c>
      <c r="J116" s="215">
        <f t="shared" si="66"/>
        <v>3.2004833157165187E-2</v>
      </c>
      <c r="K116" s="215">
        <f t="shared" si="66"/>
        <v>2.8182726067824966E-2</v>
      </c>
    </row>
    <row r="117" spans="1:11" ht="19.5" x14ac:dyDescent="0.45">
      <c r="C117" s="215">
        <f>C110/C$111</f>
        <v>0.51948298326246012</v>
      </c>
      <c r="D117" s="215">
        <f t="shared" si="66"/>
        <v>0.42605657232259087</v>
      </c>
      <c r="E117" s="215">
        <f t="shared" si="66"/>
        <v>0.36465045001566682</v>
      </c>
      <c r="F117" s="215">
        <f t="shared" si="66"/>
        <v>0.27786661222524589</v>
      </c>
      <c r="G117" s="215">
        <f t="shared" si="66"/>
        <v>0.20044835799452895</v>
      </c>
      <c r="H117" s="215">
        <f t="shared" si="66"/>
        <v>0.20006447248967132</v>
      </c>
      <c r="I117" s="215">
        <f t="shared" si="66"/>
        <v>0.1682979618640828</v>
      </c>
      <c r="J117" s="215">
        <f t="shared" si="66"/>
        <v>0.17057940484185272</v>
      </c>
      <c r="K117" s="215">
        <f t="shared" si="66"/>
        <v>0.17947049630491685</v>
      </c>
    </row>
    <row r="118" spans="1:11" x14ac:dyDescent="0.45">
      <c r="B118" s="121" t="s">
        <v>18</v>
      </c>
      <c r="C118" s="103"/>
      <c r="D118" s="103"/>
      <c r="E118" s="103"/>
      <c r="F118" s="103"/>
      <c r="G118" s="103"/>
      <c r="H118" s="103"/>
      <c r="I118" s="103"/>
      <c r="J118" s="103"/>
      <c r="K118" s="103"/>
    </row>
    <row r="119" spans="1:11" x14ac:dyDescent="0.45">
      <c r="B119" s="102" t="s">
        <v>71</v>
      </c>
      <c r="C119" s="104" t="str">
        <f t="shared" ref="C119:H119" si="67">IFERROR(C160/C33,"")</f>
        <v/>
      </c>
      <c r="D119" s="214">
        <f t="shared" si="67"/>
        <v>0.7187347931873479</v>
      </c>
      <c r="E119" s="214">
        <f t="shared" si="67"/>
        <v>1.7357565856646926</v>
      </c>
      <c r="F119" s="214">
        <f t="shared" si="67"/>
        <v>1.8423137876386688</v>
      </c>
      <c r="G119" s="214">
        <f t="shared" si="67"/>
        <v>2.4877693179977323</v>
      </c>
      <c r="H119" s="214">
        <f t="shared" si="67"/>
        <v>1.7867621376178833</v>
      </c>
      <c r="I119" s="103">
        <v>2</v>
      </c>
      <c r="J119" s="103">
        <f>I119</f>
        <v>2</v>
      </c>
      <c r="K119" s="103">
        <f>J119</f>
        <v>2</v>
      </c>
    </row>
    <row r="120" spans="1:11" x14ac:dyDescent="0.45">
      <c r="B120" s="102" t="s">
        <v>163</v>
      </c>
      <c r="C120" s="103">
        <f t="shared" ref="C120:H120" si="68">IFERROR(C141/C34,"")</f>
        <v>11.354782855520863</v>
      </c>
      <c r="D120" s="103">
        <f t="shared" si="68"/>
        <v>2.5046934691649994</v>
      </c>
      <c r="E120" s="103">
        <f t="shared" si="68"/>
        <v>7.2468546308928303</v>
      </c>
      <c r="F120" s="103">
        <f t="shared" si="68"/>
        <v>4.7537744728915658</v>
      </c>
      <c r="G120" s="103">
        <f>IFERROR(G141/G34,"")</f>
        <v>6.3076722689075631</v>
      </c>
      <c r="H120" s="103">
        <f t="shared" si="68"/>
        <v>4.5782317682317677</v>
      </c>
      <c r="I120" s="103">
        <v>5</v>
      </c>
      <c r="J120" s="103">
        <f>I120</f>
        <v>5</v>
      </c>
      <c r="K120" s="103">
        <f>J120</f>
        <v>5</v>
      </c>
    </row>
    <row r="121" spans="1:11" x14ac:dyDescent="0.45">
      <c r="B121" s="102" t="s">
        <v>76</v>
      </c>
      <c r="C121" s="104" t="str">
        <f>IFERROR(C167/C33,"")</f>
        <v/>
      </c>
      <c r="D121" s="104">
        <f>IFERROR(D167/D36,"")</f>
        <v>0.96279131355932202</v>
      </c>
      <c r="E121" s="104">
        <f>IFERROR(E167/E36,"")</f>
        <v>0.52199908597960043</v>
      </c>
      <c r="F121" s="104">
        <f>IFERROR(F167/F36,"")</f>
        <v>0.46413489124977692</v>
      </c>
      <c r="G121" s="104">
        <f>IFERROR(G167/G36,"")</f>
        <v>0.10325527937975576</v>
      </c>
      <c r="H121" s="104">
        <f>IFERROR(H167/H36,"")</f>
        <v>6.8652311347267611E-2</v>
      </c>
      <c r="I121" s="104">
        <f>H121</f>
        <v>6.8652311347267611E-2</v>
      </c>
      <c r="J121" s="104">
        <f t="shared" ref="J121:K121" si="69">I121</f>
        <v>6.8652311347267611E-2</v>
      </c>
      <c r="K121" s="104">
        <f t="shared" si="69"/>
        <v>6.8652311347267611E-2</v>
      </c>
    </row>
    <row r="122" spans="1:11" x14ac:dyDescent="0.45">
      <c r="B122" s="102" t="s">
        <v>72</v>
      </c>
      <c r="C122" s="104"/>
      <c r="D122" s="104"/>
      <c r="E122" s="104"/>
      <c r="F122" s="103">
        <f t="shared" ref="F122:G122" si="70">IFERROR(F143/F34,"")</f>
        <v>19.073606927710845</v>
      </c>
      <c r="G122" s="103">
        <f t="shared" si="70"/>
        <v>18.22</v>
      </c>
      <c r="H122" s="103">
        <f>IFERROR(H143/H34,"")</f>
        <v>21.074125874125873</v>
      </c>
      <c r="I122" s="104">
        <v>20</v>
      </c>
      <c r="J122" s="104">
        <f>I122</f>
        <v>20</v>
      </c>
      <c r="K122" s="104">
        <f>J122</f>
        <v>20</v>
      </c>
    </row>
    <row r="123" spans="1:11" x14ac:dyDescent="0.45">
      <c r="B123" s="102" t="s">
        <v>78</v>
      </c>
      <c r="C123" s="104">
        <f t="shared" ref="C123:H123" si="71">IFERROR(C169/C36,"")</f>
        <v>0</v>
      </c>
      <c r="D123" s="104">
        <f t="shared" si="71"/>
        <v>2.9964247881355934</v>
      </c>
      <c r="E123" s="104">
        <f t="shared" si="71"/>
        <v>0</v>
      </c>
      <c r="F123" s="104">
        <f t="shared" si="71"/>
        <v>7.6824600753870251E-2</v>
      </c>
      <c r="G123" s="104">
        <f t="shared" si="71"/>
        <v>1.7566593057418513E-2</v>
      </c>
      <c r="H123" s="104">
        <f t="shared" si="71"/>
        <v>2.0958982433019281E-2</v>
      </c>
      <c r="I123" s="122">
        <f>H123</f>
        <v>2.0958982433019281E-2</v>
      </c>
      <c r="J123" s="122">
        <f t="shared" ref="J123:K123" si="72">I123</f>
        <v>2.0958982433019281E-2</v>
      </c>
      <c r="K123" s="122">
        <f t="shared" si="72"/>
        <v>2.0958982433019281E-2</v>
      </c>
    </row>
    <row r="124" spans="1:11" x14ac:dyDescent="0.45">
      <c r="A124" s="49"/>
      <c r="B124" s="48"/>
      <c r="C124" s="111"/>
      <c r="D124" s="111"/>
      <c r="E124" s="111"/>
      <c r="F124" s="111"/>
      <c r="G124" s="111"/>
      <c r="H124" s="111"/>
      <c r="I124" s="111"/>
      <c r="J124" s="111"/>
      <c r="K124" s="111"/>
    </row>
    <row r="125" spans="1:11" x14ac:dyDescent="0.45">
      <c r="A125" s="49"/>
      <c r="B125" s="48"/>
      <c r="C125" s="111"/>
      <c r="D125" s="111"/>
      <c r="E125" s="111"/>
      <c r="F125" s="111"/>
      <c r="G125" s="111"/>
      <c r="H125" s="111"/>
      <c r="I125" s="18"/>
      <c r="J125" s="18"/>
    </row>
    <row r="126" spans="1:11" x14ac:dyDescent="0.45">
      <c r="A126" s="49"/>
      <c r="D126" s="111"/>
      <c r="E126" s="111"/>
      <c r="F126" s="111"/>
      <c r="G126" s="111"/>
      <c r="H126" s="111"/>
      <c r="I126" s="18"/>
      <c r="J126" s="18"/>
    </row>
    <row r="127" spans="1:11" ht="19.5" x14ac:dyDescent="0.5">
      <c r="A127" s="49">
        <v>27</v>
      </c>
      <c r="B127" s="113" t="s">
        <v>169</v>
      </c>
      <c r="C127" s="114">
        <v>0.27</v>
      </c>
      <c r="D127" s="115">
        <f>1/C127</f>
        <v>3.7037037037037033</v>
      </c>
      <c r="E127" s="111"/>
      <c r="F127" s="111"/>
      <c r="G127" s="111"/>
      <c r="H127" s="111"/>
      <c r="I127" s="18"/>
      <c r="J127" s="18"/>
    </row>
    <row r="128" spans="1:11" ht="19.5" x14ac:dyDescent="0.5">
      <c r="A128" s="49">
        <v>20</v>
      </c>
      <c r="B128" s="113" t="s">
        <v>170</v>
      </c>
      <c r="C128" s="114">
        <v>0.2</v>
      </c>
      <c r="D128" s="115">
        <f t="shared" ref="D128:D131" si="73">1/C128</f>
        <v>5</v>
      </c>
      <c r="E128" s="111"/>
      <c r="F128" s="111"/>
      <c r="G128" s="111"/>
      <c r="H128" s="111"/>
      <c r="I128" s="18"/>
      <c r="J128" s="18"/>
    </row>
    <row r="129" spans="1:11" ht="19.5" x14ac:dyDescent="0.5">
      <c r="A129" s="49">
        <v>0.1</v>
      </c>
      <c r="B129" s="113" t="s">
        <v>171</v>
      </c>
      <c r="C129" s="114">
        <v>0.1</v>
      </c>
      <c r="D129" s="115">
        <f t="shared" si="73"/>
        <v>10</v>
      </c>
      <c r="E129" s="111"/>
      <c r="F129" s="111"/>
      <c r="G129" s="111"/>
      <c r="H129" s="111"/>
      <c r="I129" s="18"/>
      <c r="J129" s="18"/>
    </row>
    <row r="130" spans="1:11" ht="19.5" x14ac:dyDescent="0.5">
      <c r="A130" s="49">
        <v>0.26</v>
      </c>
      <c r="B130" s="113" t="s">
        <v>172</v>
      </c>
      <c r="C130" s="114">
        <v>0.26</v>
      </c>
      <c r="D130" s="114">
        <f t="shared" si="73"/>
        <v>3.8461538461538458</v>
      </c>
      <c r="E130" s="111"/>
      <c r="F130" s="111"/>
      <c r="G130" s="111"/>
      <c r="H130" s="111"/>
      <c r="I130" s="18"/>
      <c r="J130" s="18"/>
    </row>
    <row r="131" spans="1:11" ht="19.5" x14ac:dyDescent="0.5">
      <c r="A131" s="49">
        <v>0.05</v>
      </c>
      <c r="B131" s="113" t="s">
        <v>173</v>
      </c>
      <c r="C131" s="114">
        <v>0.05</v>
      </c>
      <c r="D131" s="114">
        <f t="shared" si="73"/>
        <v>20</v>
      </c>
      <c r="E131" s="209" t="s">
        <v>167</v>
      </c>
      <c r="F131" s="111"/>
      <c r="G131" s="111"/>
      <c r="H131" s="111"/>
      <c r="I131" s="18"/>
      <c r="J131" s="18"/>
    </row>
    <row r="132" spans="1:11" ht="19.5" x14ac:dyDescent="0.45">
      <c r="A132" s="49"/>
      <c r="B132" s="48"/>
      <c r="C132" s="111"/>
      <c r="D132" s="112"/>
      <c r="E132" s="111"/>
      <c r="F132" s="111"/>
      <c r="G132" s="111"/>
      <c r="H132" s="111"/>
      <c r="I132" s="18"/>
      <c r="J132" s="18"/>
    </row>
    <row r="133" spans="1:11" ht="19.5" x14ac:dyDescent="0.5">
      <c r="A133" s="49"/>
      <c r="B133" s="113" t="s">
        <v>119</v>
      </c>
      <c r="C133" s="114">
        <v>0.5</v>
      </c>
      <c r="D133" s="115">
        <f>1/C133</f>
        <v>2</v>
      </c>
      <c r="E133" s="111"/>
      <c r="F133" s="111"/>
      <c r="G133" s="111"/>
      <c r="H133" s="111"/>
      <c r="I133" s="18"/>
      <c r="J133" s="18"/>
    </row>
    <row r="134" spans="1:11" x14ac:dyDescent="0.45">
      <c r="A134" s="49"/>
      <c r="B134" s="48"/>
      <c r="C134" s="111"/>
      <c r="D134" s="111"/>
      <c r="E134" s="111"/>
      <c r="F134" s="111"/>
      <c r="G134" s="111"/>
      <c r="H134" s="111"/>
      <c r="I134" s="18"/>
      <c r="J134" s="18"/>
    </row>
    <row r="135" spans="1:11" x14ac:dyDescent="0.45">
      <c r="A135" s="49"/>
      <c r="B135" s="48"/>
      <c r="C135" s="111"/>
      <c r="D135" s="111"/>
      <c r="E135" s="111"/>
      <c r="F135" s="111"/>
      <c r="G135" s="111"/>
      <c r="H135" s="111"/>
      <c r="I135" s="18"/>
      <c r="J135" s="18"/>
    </row>
    <row r="136" spans="1:11" x14ac:dyDescent="0.45">
      <c r="A136" s="49"/>
      <c r="B136" s="48"/>
      <c r="C136" s="111"/>
      <c r="D136" s="111"/>
      <c r="E136" s="111"/>
      <c r="F136" s="111"/>
      <c r="G136" s="111"/>
      <c r="H136" s="111"/>
      <c r="I136" s="18"/>
      <c r="J136" s="18"/>
    </row>
    <row r="137" spans="1:11" x14ac:dyDescent="0.45">
      <c r="A137" s="49"/>
      <c r="B137" s="48"/>
      <c r="C137" s="111"/>
      <c r="D137" s="111"/>
      <c r="E137" s="111"/>
      <c r="F137" s="111"/>
      <c r="G137" s="111"/>
      <c r="H137" s="111"/>
      <c r="I137" s="18"/>
      <c r="J137" s="18"/>
    </row>
    <row r="138" spans="1:11" ht="19.5" x14ac:dyDescent="0.5">
      <c r="A138" s="49"/>
      <c r="B138" s="8" t="s">
        <v>19</v>
      </c>
      <c r="C138" s="54"/>
      <c r="D138" s="54"/>
      <c r="E138" s="54"/>
      <c r="F138" s="54"/>
      <c r="G138" s="54"/>
      <c r="H138" s="54"/>
      <c r="I138" s="54"/>
      <c r="J138" s="54"/>
      <c r="K138" s="55"/>
    </row>
    <row r="139" spans="1:11" x14ac:dyDescent="0.45">
      <c r="A139" s="49"/>
      <c r="B139" s="56" t="s">
        <v>71</v>
      </c>
      <c r="C139" s="21">
        <v>0</v>
      </c>
      <c r="D139" s="21">
        <v>1477</v>
      </c>
      <c r="E139" s="21">
        <v>8500</v>
      </c>
      <c r="F139" s="21">
        <v>6975</v>
      </c>
      <c r="G139" s="21">
        <v>15357</v>
      </c>
      <c r="H139" s="21">
        <v>10231</v>
      </c>
      <c r="I139" s="142">
        <f>I119*I33</f>
        <v>13000</v>
      </c>
      <c r="J139" s="142">
        <f t="shared" ref="J139:K139" si="74">J119*J33</f>
        <v>14000</v>
      </c>
      <c r="K139" s="143">
        <f t="shared" si="74"/>
        <v>16000</v>
      </c>
    </row>
    <row r="140" spans="1:11" x14ac:dyDescent="0.45">
      <c r="A140" s="49"/>
      <c r="B140" s="109" t="s">
        <v>80</v>
      </c>
      <c r="C140" s="110">
        <v>0</v>
      </c>
      <c r="D140" s="110">
        <v>0</v>
      </c>
      <c r="E140" s="110">
        <v>0</v>
      </c>
      <c r="F140" s="110">
        <v>1044</v>
      </c>
      <c r="G140" s="110">
        <v>0</v>
      </c>
      <c r="H140" s="110">
        <v>0</v>
      </c>
      <c r="I140" s="142"/>
      <c r="J140" s="142"/>
      <c r="K140" s="143"/>
    </row>
    <row r="141" spans="1:11" x14ac:dyDescent="0.45">
      <c r="A141" s="49"/>
      <c r="B141" s="56" t="s">
        <v>163</v>
      </c>
      <c r="C141" s="21">
        <f>C154</f>
        <v>40002.9</v>
      </c>
      <c r="D141" s="21">
        <f t="shared" ref="D141:G141" si="75">D154</f>
        <v>13768.300000000001</v>
      </c>
      <c r="E141" s="21">
        <f t="shared" si="75"/>
        <v>47807.5</v>
      </c>
      <c r="F141" s="21">
        <f t="shared" si="75"/>
        <v>25252.05</v>
      </c>
      <c r="G141" s="21">
        <f t="shared" si="75"/>
        <v>37530.65</v>
      </c>
      <c r="H141" s="21">
        <f>H154</f>
        <v>22914.05</v>
      </c>
      <c r="I141" s="142">
        <f>I120*I34</f>
        <v>30000</v>
      </c>
      <c r="J141" s="142">
        <f t="shared" ref="J141:K141" si="76">J120*J34</f>
        <v>35000</v>
      </c>
      <c r="K141" s="143">
        <f t="shared" si="76"/>
        <v>40000</v>
      </c>
    </row>
    <row r="142" spans="1:11" x14ac:dyDescent="0.45">
      <c r="A142" s="49"/>
      <c r="B142" s="56" t="s">
        <v>76</v>
      </c>
      <c r="C142" s="21">
        <v>0</v>
      </c>
      <c r="D142" s="21">
        <v>7271</v>
      </c>
      <c r="E142" s="21">
        <v>6000</v>
      </c>
      <c r="F142" s="21">
        <v>4223</v>
      </c>
      <c r="G142" s="21">
        <v>1252</v>
      </c>
      <c r="H142" s="21">
        <v>737</v>
      </c>
      <c r="I142" s="142">
        <f>I121*I33</f>
        <v>446.2400237572395</v>
      </c>
      <c r="J142" s="142">
        <f t="shared" ref="J142:K142" si="77">J121*J33</f>
        <v>480.56617943087326</v>
      </c>
      <c r="K142" s="143">
        <f t="shared" si="77"/>
        <v>549.2184907781409</v>
      </c>
    </row>
    <row r="143" spans="1:11" x14ac:dyDescent="0.45">
      <c r="A143" s="49"/>
      <c r="B143" s="56" t="s">
        <v>72</v>
      </c>
      <c r="C143" s="21">
        <f>C161</f>
        <v>0</v>
      </c>
      <c r="D143" s="21">
        <f t="shared" ref="D143:H143" si="78">D161</f>
        <v>0</v>
      </c>
      <c r="E143" s="21">
        <f t="shared" si="78"/>
        <v>0</v>
      </c>
      <c r="F143" s="21">
        <f t="shared" si="78"/>
        <v>101319</v>
      </c>
      <c r="G143" s="21">
        <f t="shared" si="78"/>
        <v>108409</v>
      </c>
      <c r="H143" s="21">
        <f t="shared" si="78"/>
        <v>105476</v>
      </c>
      <c r="I143" s="142">
        <f>I122*I34</f>
        <v>120000</v>
      </c>
      <c r="J143" s="142">
        <f t="shared" ref="J143:K143" si="79">J122*J34</f>
        <v>140000</v>
      </c>
      <c r="K143" s="143">
        <f t="shared" si="79"/>
        <v>160000</v>
      </c>
    </row>
    <row r="144" spans="1:11" x14ac:dyDescent="0.45">
      <c r="A144" s="49"/>
      <c r="B144" s="109" t="s">
        <v>81</v>
      </c>
      <c r="C144" s="110">
        <v>6632</v>
      </c>
      <c r="D144" s="110">
        <v>39147</v>
      </c>
      <c r="E144" s="110">
        <v>20000</v>
      </c>
      <c r="F144" s="110">
        <v>3467</v>
      </c>
      <c r="G144" s="110">
        <v>0</v>
      </c>
      <c r="H144" s="110">
        <v>0</v>
      </c>
      <c r="I144" s="142"/>
      <c r="J144" s="142"/>
      <c r="K144" s="143"/>
    </row>
    <row r="145" spans="1:11" x14ac:dyDescent="0.45">
      <c r="B145" s="56" t="s">
        <v>78</v>
      </c>
      <c r="C145" s="21">
        <v>0</v>
      </c>
      <c r="D145" s="21">
        <v>22629</v>
      </c>
      <c r="E145" s="21">
        <v>0</v>
      </c>
      <c r="F145" s="21">
        <v>699</v>
      </c>
      <c r="G145" s="21">
        <v>213</v>
      </c>
      <c r="H145" s="21">
        <v>225</v>
      </c>
      <c r="I145" s="142">
        <f>I123*I36</f>
        <v>262.03672583859139</v>
      </c>
      <c r="J145" s="142">
        <f t="shared" ref="J145:K145" si="80">J123*J36</f>
        <v>293.48113293922239</v>
      </c>
      <c r="K145" s="143">
        <f t="shared" si="80"/>
        <v>335.40700907339698</v>
      </c>
    </row>
    <row r="146" spans="1:11" ht="19.5" x14ac:dyDescent="0.5">
      <c r="B146" s="97" t="s">
        <v>20</v>
      </c>
      <c r="C146" s="29">
        <f>SUM(C139:C145)</f>
        <v>46634.9</v>
      </c>
      <c r="D146" s="29">
        <f t="shared" ref="D146:H146" si="81">SUM(D139:D145)</f>
        <v>84292.3</v>
      </c>
      <c r="E146" s="29">
        <f t="shared" si="81"/>
        <v>82307.5</v>
      </c>
      <c r="F146" s="29">
        <f t="shared" si="81"/>
        <v>142979.04999999999</v>
      </c>
      <c r="G146" s="29">
        <f>SUM(G139:G145)</f>
        <v>162761.65</v>
      </c>
      <c r="H146" s="29">
        <f t="shared" si="81"/>
        <v>139583.04999999999</v>
      </c>
      <c r="I146" s="146">
        <f>SUM(I139:I145)</f>
        <v>163708.27674959583</v>
      </c>
      <c r="J146" s="146">
        <f t="shared" ref="J146" si="82">SUM(J139:J145)</f>
        <v>189774.04731237009</v>
      </c>
      <c r="K146" s="147">
        <f t="shared" ref="K146" si="83">SUM(K139:K145)</f>
        <v>216884.62549985154</v>
      </c>
    </row>
    <row r="147" spans="1:11" x14ac:dyDescent="0.45">
      <c r="B147" s="48"/>
      <c r="C147" s="18"/>
      <c r="D147" s="92"/>
      <c r="E147" s="92"/>
      <c r="F147" s="92"/>
      <c r="G147" s="92"/>
      <c r="H147" s="92"/>
      <c r="I147" s="92"/>
      <c r="J147" s="92"/>
      <c r="K147" s="92"/>
    </row>
    <row r="148" spans="1:11" x14ac:dyDescent="0.45">
      <c r="B148" s="48"/>
      <c r="C148" s="18"/>
      <c r="D148" s="92"/>
      <c r="E148" s="92"/>
      <c r="F148" s="92"/>
      <c r="G148" s="92"/>
      <c r="H148" s="92"/>
      <c r="I148" s="92"/>
      <c r="J148" s="92"/>
      <c r="K148" s="92"/>
    </row>
    <row r="149" spans="1:11" x14ac:dyDescent="0.45">
      <c r="A149" s="205" t="s">
        <v>165</v>
      </c>
      <c r="B149" s="107"/>
      <c r="C149" s="262" t="s">
        <v>166</v>
      </c>
      <c r="D149" s="262"/>
      <c r="E149" s="262"/>
      <c r="F149" s="262"/>
      <c r="G149" s="262"/>
      <c r="H149" s="262"/>
      <c r="I149" s="92"/>
      <c r="J149" s="92"/>
      <c r="K149" s="92"/>
    </row>
    <row r="150" spans="1:11" x14ac:dyDescent="0.45">
      <c r="A150" s="206">
        <v>0.26</v>
      </c>
      <c r="B150" s="105" t="s">
        <v>77</v>
      </c>
      <c r="C150" s="207">
        <f t="shared" ref="C150:H150" si="84">C163*$A$150/$A$154</f>
        <v>18154.5</v>
      </c>
      <c r="D150" s="207">
        <f t="shared" si="84"/>
        <v>13768.300000000001</v>
      </c>
      <c r="E150" s="207">
        <f t="shared" si="84"/>
        <v>47807.5</v>
      </c>
      <c r="F150" s="207">
        <f t="shared" si="84"/>
        <v>10570.3</v>
      </c>
      <c r="G150" s="207">
        <f t="shared" si="84"/>
        <v>7528.3</v>
      </c>
      <c r="H150" s="207">
        <f t="shared" si="84"/>
        <v>9824.1</v>
      </c>
      <c r="I150" s="92"/>
      <c r="J150" s="92"/>
      <c r="K150" s="92"/>
    </row>
    <row r="151" spans="1:11" x14ac:dyDescent="0.45">
      <c r="A151" s="206">
        <v>0.27</v>
      </c>
      <c r="B151" s="105" t="s">
        <v>73</v>
      </c>
      <c r="C151" s="207">
        <f t="shared" ref="C151:H151" si="85">C164*$A$151/$A$154</f>
        <v>21848.400000000001</v>
      </c>
      <c r="D151" s="207">
        <f t="shared" si="85"/>
        <v>0</v>
      </c>
      <c r="E151" s="207">
        <f t="shared" si="85"/>
        <v>0</v>
      </c>
      <c r="F151" s="207">
        <f t="shared" si="85"/>
        <v>4151.25</v>
      </c>
      <c r="G151" s="207">
        <f t="shared" si="85"/>
        <v>25435.350000000002</v>
      </c>
      <c r="H151" s="207">
        <f t="shared" si="85"/>
        <v>4302.45</v>
      </c>
      <c r="I151" s="92"/>
      <c r="J151" s="92"/>
      <c r="K151" s="92"/>
    </row>
    <row r="152" spans="1:11" x14ac:dyDescent="0.45">
      <c r="A152" s="206">
        <v>0.2</v>
      </c>
      <c r="B152" s="105" t="s">
        <v>74</v>
      </c>
      <c r="C152" s="207">
        <f t="shared" ref="C152:H152" si="86">C165*$A$152/$A$154</f>
        <v>0</v>
      </c>
      <c r="D152" s="207">
        <f t="shared" si="86"/>
        <v>0</v>
      </c>
      <c r="E152" s="207">
        <f t="shared" si="86"/>
        <v>0</v>
      </c>
      <c r="F152" s="207">
        <f t="shared" si="86"/>
        <v>7632</v>
      </c>
      <c r="G152" s="207">
        <f t="shared" si="86"/>
        <v>3582.0000000000005</v>
      </c>
      <c r="H152" s="207">
        <f t="shared" si="86"/>
        <v>6758</v>
      </c>
      <c r="I152" s="92"/>
      <c r="J152" s="92"/>
      <c r="K152" s="92"/>
    </row>
    <row r="153" spans="1:11" x14ac:dyDescent="0.45">
      <c r="A153" s="206">
        <v>0.1</v>
      </c>
      <c r="B153" s="105" t="s">
        <v>75</v>
      </c>
      <c r="C153" s="207">
        <f t="shared" ref="C153:H153" si="87">C166*$A$153/$A$154</f>
        <v>0</v>
      </c>
      <c r="D153" s="207">
        <f t="shared" si="87"/>
        <v>0</v>
      </c>
      <c r="E153" s="207">
        <f t="shared" si="87"/>
        <v>0</v>
      </c>
      <c r="F153" s="207">
        <f t="shared" si="87"/>
        <v>2898.5</v>
      </c>
      <c r="G153" s="207">
        <f t="shared" si="87"/>
        <v>985</v>
      </c>
      <c r="H153" s="207">
        <f t="shared" si="87"/>
        <v>2029.5</v>
      </c>
      <c r="I153" s="92"/>
      <c r="J153" s="92"/>
      <c r="K153" s="92"/>
    </row>
    <row r="154" spans="1:11" ht="18.75" thickBot="1" x14ac:dyDescent="0.5">
      <c r="A154" s="206">
        <v>0.2</v>
      </c>
      <c r="B154" s="108" t="s">
        <v>166</v>
      </c>
      <c r="C154" s="208">
        <f t="shared" ref="C154:H154" si="88">SUM(C150:C153)</f>
        <v>40002.9</v>
      </c>
      <c r="D154" s="208">
        <f t="shared" si="88"/>
        <v>13768.300000000001</v>
      </c>
      <c r="E154" s="208">
        <f t="shared" si="88"/>
        <v>47807.5</v>
      </c>
      <c r="F154" s="208">
        <f t="shared" si="88"/>
        <v>25252.05</v>
      </c>
      <c r="G154" s="208">
        <f t="shared" si="88"/>
        <v>37530.65</v>
      </c>
      <c r="H154" s="208">
        <f t="shared" si="88"/>
        <v>22914.05</v>
      </c>
      <c r="I154" s="92">
        <f>I141</f>
        <v>30000</v>
      </c>
      <c r="J154" s="92">
        <f t="shared" ref="J154:K154" si="89">J141</f>
        <v>35000</v>
      </c>
      <c r="K154" s="92">
        <f t="shared" si="89"/>
        <v>40000</v>
      </c>
    </row>
    <row r="155" spans="1:11" ht="18.75" thickTop="1" x14ac:dyDescent="0.45">
      <c r="B155" s="48"/>
      <c r="C155" s="4">
        <f t="shared" ref="C155:G155" si="90">C215*10^6/C154</f>
        <v>2596886.725712386</v>
      </c>
      <c r="D155" s="4">
        <f t="shared" si="90"/>
        <v>21017700.079167362</v>
      </c>
      <c r="E155" s="4">
        <f t="shared" si="90"/>
        <v>12811420.802175391</v>
      </c>
      <c r="F155" s="4">
        <f t="shared" si="90"/>
        <v>44722586.879085064</v>
      </c>
      <c r="G155" s="4">
        <f t="shared" si="90"/>
        <v>62539870.745643891</v>
      </c>
      <c r="H155" s="4">
        <f>H215*10^6/H154</f>
        <v>118657461.25193931</v>
      </c>
      <c r="I155" s="4">
        <f t="shared" ref="I155:K155" si="91">I215*10^6/I154</f>
        <v>172865297.14191332</v>
      </c>
      <c r="J155" s="4">
        <f t="shared" si="91"/>
        <v>212662671.88228825</v>
      </c>
      <c r="K155" s="4">
        <f t="shared" si="91"/>
        <v>251966970.00999025</v>
      </c>
    </row>
    <row r="156" spans="1:11" x14ac:dyDescent="0.45">
      <c r="B156" s="48"/>
      <c r="C156" s="92">
        <f t="shared" ref="C156:G156" si="92">C155/C65</f>
        <v>3.8055059009227732E-2</v>
      </c>
      <c r="D156" s="92">
        <f t="shared" si="92"/>
        <v>0.23525210781264494</v>
      </c>
      <c r="E156" s="92">
        <f t="shared" si="92"/>
        <v>9.2619288759025267E-2</v>
      </c>
      <c r="F156" s="92">
        <f t="shared" si="92"/>
        <v>0.19690835426557179</v>
      </c>
      <c r="G156" s="92">
        <f t="shared" si="92"/>
        <v>0.26141105749802274</v>
      </c>
      <c r="H156" s="92">
        <f>H155/H65</f>
        <v>0.22938755543703254</v>
      </c>
      <c r="I156" s="92">
        <f t="shared" ref="I156:K156" si="93">I155/I65</f>
        <v>0.23048706285588444</v>
      </c>
      <c r="J156" s="92">
        <f t="shared" si="93"/>
        <v>0.22152361654405026</v>
      </c>
      <c r="K156" s="92">
        <f t="shared" si="93"/>
        <v>0.21872132813367209</v>
      </c>
    </row>
    <row r="159" spans="1:11" ht="19.5" x14ac:dyDescent="0.5">
      <c r="B159" s="210" t="s">
        <v>19</v>
      </c>
      <c r="C159" s="211"/>
      <c r="D159" s="211"/>
      <c r="E159" s="211"/>
      <c r="F159" s="211"/>
      <c r="G159" s="211"/>
      <c r="H159" s="212"/>
      <c r="I159" s="27"/>
      <c r="J159" s="27"/>
      <c r="K159" s="27"/>
    </row>
    <row r="160" spans="1:11" x14ac:dyDescent="0.45">
      <c r="B160" s="56" t="s">
        <v>71</v>
      </c>
      <c r="C160" s="21">
        <v>0</v>
      </c>
      <c r="D160" s="21">
        <v>1477</v>
      </c>
      <c r="E160" s="21">
        <v>8500</v>
      </c>
      <c r="F160" s="21">
        <v>6975</v>
      </c>
      <c r="G160" s="21">
        <v>15357</v>
      </c>
      <c r="H160" s="22">
        <v>10231</v>
      </c>
      <c r="I160" s="21"/>
      <c r="J160" s="21"/>
      <c r="K160" s="21"/>
    </row>
    <row r="161" spans="1:15" x14ac:dyDescent="0.45">
      <c r="B161" s="56" t="s">
        <v>72</v>
      </c>
      <c r="C161" s="21">
        <v>0</v>
      </c>
      <c r="D161" s="21">
        <v>0</v>
      </c>
      <c r="E161" s="21">
        <v>0</v>
      </c>
      <c r="F161" s="21">
        <v>101319</v>
      </c>
      <c r="G161" s="21">
        <v>108409</v>
      </c>
      <c r="H161" s="22">
        <v>105476</v>
      </c>
      <c r="I161" s="21"/>
      <c r="J161" s="21"/>
      <c r="K161" s="21"/>
    </row>
    <row r="162" spans="1:15" x14ac:dyDescent="0.45">
      <c r="B162" s="56" t="s">
        <v>80</v>
      </c>
      <c r="C162" s="21">
        <v>0</v>
      </c>
      <c r="D162" s="21">
        <v>0</v>
      </c>
      <c r="E162" s="21">
        <v>0</v>
      </c>
      <c r="F162" s="21">
        <v>1044</v>
      </c>
      <c r="G162" s="21">
        <v>0</v>
      </c>
      <c r="H162" s="22">
        <v>0</v>
      </c>
      <c r="I162" s="21"/>
      <c r="J162" s="21"/>
      <c r="K162" s="21"/>
    </row>
    <row r="163" spans="1:15" x14ac:dyDescent="0.45">
      <c r="B163" s="259" t="s">
        <v>77</v>
      </c>
      <c r="C163" s="260">
        <f t="shared" ref="C163:H163" si="94">C175</f>
        <v>13965</v>
      </c>
      <c r="D163" s="260">
        <f t="shared" si="94"/>
        <v>10591</v>
      </c>
      <c r="E163" s="260">
        <f t="shared" si="94"/>
        <v>36775</v>
      </c>
      <c r="F163" s="260">
        <f t="shared" si="94"/>
        <v>8131</v>
      </c>
      <c r="G163" s="260">
        <f t="shared" si="94"/>
        <v>5791</v>
      </c>
      <c r="H163" s="261">
        <f t="shared" si="94"/>
        <v>7557</v>
      </c>
      <c r="I163" s="21"/>
      <c r="J163" s="21"/>
      <c r="K163" s="21"/>
    </row>
    <row r="164" spans="1:15" x14ac:dyDescent="0.45">
      <c r="B164" s="259" t="s">
        <v>73</v>
      </c>
      <c r="C164" s="260">
        <v>16184</v>
      </c>
      <c r="D164" s="260">
        <v>0</v>
      </c>
      <c r="E164" s="260">
        <v>0</v>
      </c>
      <c r="F164" s="260">
        <v>3075</v>
      </c>
      <c r="G164" s="260">
        <v>18841</v>
      </c>
      <c r="H164" s="261">
        <v>3187</v>
      </c>
      <c r="I164" s="21"/>
      <c r="J164" s="21"/>
      <c r="K164" s="21"/>
    </row>
    <row r="165" spans="1:15" x14ac:dyDescent="0.45">
      <c r="B165" s="259" t="s">
        <v>74</v>
      </c>
      <c r="C165" s="260">
        <v>0</v>
      </c>
      <c r="D165" s="260">
        <v>0</v>
      </c>
      <c r="E165" s="260">
        <v>0</v>
      </c>
      <c r="F165" s="260">
        <v>7632</v>
      </c>
      <c r="G165" s="260">
        <v>3582</v>
      </c>
      <c r="H165" s="261">
        <v>6758</v>
      </c>
      <c r="I165" s="21"/>
      <c r="J165" s="21"/>
      <c r="K165" s="21"/>
      <c r="N165" s="93"/>
      <c r="O165" s="92"/>
    </row>
    <row r="166" spans="1:15" x14ac:dyDescent="0.45">
      <c r="B166" s="259" t="s">
        <v>75</v>
      </c>
      <c r="C166" s="260">
        <v>0</v>
      </c>
      <c r="D166" s="260">
        <v>0</v>
      </c>
      <c r="E166" s="260">
        <v>0</v>
      </c>
      <c r="F166" s="260">
        <f>5202+595</f>
        <v>5797</v>
      </c>
      <c r="G166" s="260">
        <f>1707+263</f>
        <v>1970</v>
      </c>
      <c r="H166" s="261">
        <v>4059</v>
      </c>
      <c r="I166" s="21"/>
      <c r="J166" s="21"/>
      <c r="K166" s="21"/>
    </row>
    <row r="167" spans="1:15" x14ac:dyDescent="0.45">
      <c r="B167" s="56" t="s">
        <v>76</v>
      </c>
      <c r="C167" s="21">
        <v>0</v>
      </c>
      <c r="D167" s="21">
        <v>7271</v>
      </c>
      <c r="E167" s="21">
        <v>6000</v>
      </c>
      <c r="F167" s="21">
        <v>4223</v>
      </c>
      <c r="G167" s="21">
        <v>1252</v>
      </c>
      <c r="H167" s="22">
        <v>737</v>
      </c>
      <c r="I167" s="21"/>
      <c r="J167" s="21"/>
      <c r="K167" s="21"/>
    </row>
    <row r="168" spans="1:15" x14ac:dyDescent="0.45">
      <c r="A168" s="6"/>
      <c r="B168" s="56" t="s">
        <v>81</v>
      </c>
      <c r="C168" s="21">
        <v>6632</v>
      </c>
      <c r="D168" s="21">
        <v>39147</v>
      </c>
      <c r="E168" s="21">
        <v>20000</v>
      </c>
      <c r="F168" s="21">
        <v>3467</v>
      </c>
      <c r="G168" s="21">
        <v>0</v>
      </c>
      <c r="H168" s="22">
        <v>0</v>
      </c>
      <c r="I168" s="21"/>
      <c r="J168" s="21"/>
      <c r="K168" s="21"/>
    </row>
    <row r="169" spans="1:15" x14ac:dyDescent="0.45">
      <c r="B169" s="56" t="s">
        <v>78</v>
      </c>
      <c r="C169" s="21">
        <v>0</v>
      </c>
      <c r="D169" s="21">
        <v>22629</v>
      </c>
      <c r="E169" s="21">
        <v>0</v>
      </c>
      <c r="F169" s="21">
        <v>699</v>
      </c>
      <c r="G169" s="21">
        <v>213</v>
      </c>
      <c r="H169" s="22">
        <v>225</v>
      </c>
      <c r="I169" s="21"/>
      <c r="J169" s="21"/>
      <c r="K169" s="21"/>
    </row>
    <row r="170" spans="1:15" ht="19.5" x14ac:dyDescent="0.5">
      <c r="B170" s="97" t="s">
        <v>20</v>
      </c>
      <c r="C170" s="29">
        <f t="shared" ref="C170:G170" si="95">SUM(C160:C169)</f>
        <v>36781</v>
      </c>
      <c r="D170" s="29">
        <f t="shared" si="95"/>
        <v>81115</v>
      </c>
      <c r="E170" s="29">
        <f t="shared" si="95"/>
        <v>71275</v>
      </c>
      <c r="F170" s="29">
        <f t="shared" si="95"/>
        <v>142362</v>
      </c>
      <c r="G170" s="29">
        <f t="shared" si="95"/>
        <v>155415</v>
      </c>
      <c r="H170" s="213">
        <f>SUM(H160:H169)</f>
        <v>138230</v>
      </c>
      <c r="I170" s="27"/>
      <c r="J170" s="27"/>
      <c r="K170" s="27"/>
    </row>
    <row r="171" spans="1:15" ht="19.5" x14ac:dyDescent="0.5">
      <c r="B171" s="96"/>
      <c r="C171" s="27"/>
      <c r="D171" s="27"/>
      <c r="E171" s="27"/>
      <c r="F171" s="27"/>
      <c r="G171" s="27"/>
      <c r="H171" s="27"/>
      <c r="I171" s="27"/>
      <c r="J171" s="27"/>
      <c r="K171" s="27"/>
    </row>
    <row r="172" spans="1:15" ht="19.5" x14ac:dyDescent="0.5">
      <c r="B172" s="15"/>
      <c r="C172" s="26"/>
      <c r="D172" s="26"/>
      <c r="E172" s="26"/>
      <c r="F172" s="26"/>
      <c r="G172" s="26"/>
      <c r="H172" s="26"/>
      <c r="I172" s="26"/>
      <c r="J172" s="26"/>
      <c r="K172" s="27"/>
    </row>
    <row r="173" spans="1:15" x14ac:dyDescent="0.45">
      <c r="B173" s="116" t="s">
        <v>79</v>
      </c>
      <c r="C173" s="95">
        <v>13965</v>
      </c>
      <c r="D173" s="95">
        <v>10591</v>
      </c>
      <c r="E173" s="95">
        <v>36775</v>
      </c>
      <c r="F173" s="95">
        <v>8131</v>
      </c>
      <c r="G173" s="95">
        <v>1736</v>
      </c>
      <c r="H173" s="117">
        <v>0</v>
      </c>
      <c r="I173" s="24"/>
      <c r="J173" s="24"/>
      <c r="K173" s="21"/>
    </row>
    <row r="174" spans="1:15" x14ac:dyDescent="0.45">
      <c r="A174" s="49"/>
      <c r="B174" s="56" t="s">
        <v>77</v>
      </c>
      <c r="C174" s="21">
        <v>0</v>
      </c>
      <c r="D174" s="21">
        <v>0</v>
      </c>
      <c r="E174" s="21">
        <v>0</v>
      </c>
      <c r="F174" s="21">
        <v>0</v>
      </c>
      <c r="G174" s="21">
        <v>4055</v>
      </c>
      <c r="H174" s="22">
        <v>7557</v>
      </c>
      <c r="I174" s="21"/>
      <c r="J174" s="21"/>
      <c r="K174" s="21"/>
    </row>
    <row r="175" spans="1:15" ht="19.5" x14ac:dyDescent="0.45">
      <c r="A175" s="49"/>
      <c r="B175" s="118" t="s">
        <v>20</v>
      </c>
      <c r="C175" s="119">
        <f>C173+C174</f>
        <v>13965</v>
      </c>
      <c r="D175" s="119">
        <f t="shared" ref="D175:H175" si="96">D173+D174</f>
        <v>10591</v>
      </c>
      <c r="E175" s="119">
        <f t="shared" si="96"/>
        <v>36775</v>
      </c>
      <c r="F175" s="119">
        <f t="shared" si="96"/>
        <v>8131</v>
      </c>
      <c r="G175" s="119">
        <f t="shared" si="96"/>
        <v>5791</v>
      </c>
      <c r="H175" s="120">
        <f t="shared" si="96"/>
        <v>7557</v>
      </c>
      <c r="I175" s="27"/>
      <c r="J175" s="27"/>
      <c r="K175" s="27"/>
    </row>
    <row r="176" spans="1:15" ht="19.5" x14ac:dyDescent="0.45">
      <c r="A176" s="49"/>
      <c r="B176" s="53"/>
      <c r="C176" s="24"/>
      <c r="D176" s="24"/>
      <c r="E176" s="24"/>
      <c r="F176" s="24"/>
      <c r="G176" s="24"/>
      <c r="H176" s="24"/>
      <c r="I176" s="27"/>
      <c r="J176" s="27"/>
      <c r="K176" s="27"/>
    </row>
    <row r="178" spans="1:31" x14ac:dyDescent="0.45">
      <c r="A178" s="99" t="s">
        <v>118</v>
      </c>
      <c r="B178" s="195" t="s">
        <v>110</v>
      </c>
      <c r="C178" s="95"/>
      <c r="D178" s="95"/>
      <c r="E178" s="95"/>
      <c r="F178" s="95"/>
      <c r="G178" s="95"/>
      <c r="H178" s="95"/>
    </row>
    <row r="179" spans="1:31" x14ac:dyDescent="0.45">
      <c r="A179" s="99">
        <v>50</v>
      </c>
      <c r="B179" s="14" t="s">
        <v>71</v>
      </c>
      <c r="C179" s="100"/>
      <c r="D179" s="100">
        <f>D190/(D6*D8)</f>
        <v>0.4368818879120876</v>
      </c>
      <c r="E179" s="100">
        <f>E190/(E6*E8)</f>
        <v>0.26552358744935628</v>
      </c>
      <c r="F179" s="100">
        <f>F190/(F6*F8)</f>
        <v>0.45922495525302409</v>
      </c>
      <c r="G179" s="100">
        <f>G190/(G6*G8)</f>
        <v>0.34042252755861097</v>
      </c>
      <c r="H179" s="100">
        <f>H190/(H6*H8)</f>
        <v>0.41120668581309661</v>
      </c>
    </row>
    <row r="180" spans="1:31" x14ac:dyDescent="0.45">
      <c r="A180" s="99"/>
      <c r="B180" s="14" t="s">
        <v>164</v>
      </c>
      <c r="C180" s="24"/>
      <c r="D180" s="100">
        <f>D192/D5/D8</f>
        <v>4.725770134065E-2</v>
      </c>
      <c r="E180" s="100">
        <f>E192/E5/E8</f>
        <v>4.1025259498335132E-2</v>
      </c>
      <c r="F180" s="100">
        <f>F192/F5/F8</f>
        <v>9.2110484366720632E-2</v>
      </c>
      <c r="G180" s="100">
        <f>G192/G5/G8</f>
        <v>8.3883926309173601E-2</v>
      </c>
      <c r="H180" s="100">
        <f>H192/H5/H8</f>
        <v>6.4266862801651087E-2</v>
      </c>
      <c r="I180" s="216">
        <v>7.0000000000000007E-2</v>
      </c>
      <c r="J180" s="216">
        <f>I180</f>
        <v>7.0000000000000007E-2</v>
      </c>
      <c r="K180" s="216">
        <f>J180</f>
        <v>7.0000000000000007E-2</v>
      </c>
    </row>
    <row r="181" spans="1:31" x14ac:dyDescent="0.45">
      <c r="A181" s="99"/>
      <c r="B181" s="14" t="s">
        <v>72</v>
      </c>
      <c r="C181" s="24"/>
      <c r="D181" s="100"/>
      <c r="E181" s="100"/>
      <c r="F181" s="100">
        <f>F194/F5/F8</f>
        <v>6.1974089195250184E-3</v>
      </c>
      <c r="G181" s="100">
        <f>G194/G5/G8</f>
        <v>9.9472759279448462E-3</v>
      </c>
      <c r="H181" s="100">
        <f>H194/H5/H8</f>
        <v>5.0261260953316598E-3</v>
      </c>
      <c r="I181" s="216">
        <v>0.01</v>
      </c>
      <c r="J181" s="216">
        <f>I181</f>
        <v>0.01</v>
      </c>
      <c r="K181" s="216">
        <f>J181</f>
        <v>0.01</v>
      </c>
    </row>
    <row r="182" spans="1:31" ht="18.75" thickBot="1" x14ac:dyDescent="0.5">
      <c r="A182" s="99"/>
      <c r="B182" s="128" t="s">
        <v>76</v>
      </c>
      <c r="C182" s="129"/>
      <c r="D182" s="130">
        <f>D193/D6/D8</f>
        <v>4.2713153736960753E-3</v>
      </c>
      <c r="E182" s="130">
        <f>E193/E6/E8</f>
        <v>3.2241407015002137E-3</v>
      </c>
      <c r="F182" s="130">
        <f>F193/F6/F8</f>
        <v>2.1288961432405847E-3</v>
      </c>
      <c r="G182" s="130">
        <f>G193/G6/G8</f>
        <v>1.3964417329130039E-3</v>
      </c>
      <c r="H182" s="129">
        <f>H193/H6/H8</f>
        <v>6.629775785356673E-2</v>
      </c>
      <c r="I182" s="127">
        <v>0.01</v>
      </c>
      <c r="J182" s="127">
        <f t="shared" ref="J182:K182" si="97">I182</f>
        <v>0.01</v>
      </c>
      <c r="K182" s="127">
        <f t="shared" si="97"/>
        <v>0.01</v>
      </c>
      <c r="L182" s="51"/>
    </row>
    <row r="183" spans="1:31" ht="18.75" thickTop="1" x14ac:dyDescent="0.45">
      <c r="A183" s="101"/>
      <c r="B183" s="48"/>
      <c r="C183" s="18"/>
      <c r="D183" s="18"/>
      <c r="E183" s="18"/>
      <c r="F183" s="18"/>
      <c r="G183" s="18"/>
      <c r="H183" s="18"/>
      <c r="L183" s="51"/>
    </row>
    <row r="184" spans="1:31" x14ac:dyDescent="0.45">
      <c r="A184" s="101"/>
      <c r="B184" s="48"/>
      <c r="C184" s="18"/>
      <c r="D184" s="94"/>
      <c r="E184" s="94"/>
      <c r="F184" s="94"/>
      <c r="G184" s="94"/>
      <c r="H184" s="94"/>
      <c r="I184" s="94"/>
      <c r="J184" s="94"/>
      <c r="K184" s="94"/>
      <c r="L184" s="51"/>
    </row>
    <row r="186" spans="1:31" x14ac:dyDescent="0.45">
      <c r="K186" s="17"/>
    </row>
    <row r="189" spans="1:31" s="49" customFormat="1" ht="19.5" x14ac:dyDescent="0.5">
      <c r="A189"/>
      <c r="B189" s="8" t="s">
        <v>21</v>
      </c>
      <c r="C189" s="54"/>
      <c r="D189" s="54"/>
      <c r="E189" s="54"/>
      <c r="F189" s="54"/>
      <c r="G189" s="54"/>
      <c r="H189" s="54"/>
      <c r="I189" s="54"/>
      <c r="J189" s="54"/>
      <c r="K189" s="55"/>
      <c r="L189" s="4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2"/>
      <c r="Z189" s="52"/>
      <c r="AA189" s="52"/>
      <c r="AB189" s="48"/>
      <c r="AC189" s="48"/>
      <c r="AD189" s="48"/>
      <c r="AE189" s="48"/>
    </row>
    <row r="190" spans="1:31" s="49" customFormat="1" x14ac:dyDescent="0.45">
      <c r="A190"/>
      <c r="B190" s="56" t="s">
        <v>71</v>
      </c>
      <c r="C190" s="21" t="str">
        <f t="shared" ref="C190:H190" si="98">IFERROR(C208*10^6/C160,"")</f>
        <v/>
      </c>
      <c r="D190" s="21">
        <f t="shared" si="98"/>
        <v>31580907.244414352</v>
      </c>
      <c r="E190" s="21">
        <f t="shared" si="98"/>
        <v>25530000</v>
      </c>
      <c r="F190" s="21">
        <f t="shared" si="98"/>
        <v>66608172.043010756</v>
      </c>
      <c r="G190" s="21">
        <f t="shared" si="98"/>
        <v>75158559.614508048</v>
      </c>
      <c r="H190" s="21">
        <f t="shared" si="98"/>
        <v>155346691.42801291</v>
      </c>
      <c r="I190" s="142">
        <f>(I6*(0.45-I9)-I11)*I8</f>
        <v>183000000.00000003</v>
      </c>
      <c r="J190" s="142">
        <f>(J6*(0.45-J9)-J11)*J8</f>
        <v>234240000.00000003</v>
      </c>
      <c r="K190" s="143">
        <f>(K6*(0.45-K9)-K11)*K8</f>
        <v>273024000.00000006</v>
      </c>
      <c r="L190" s="4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2"/>
      <c r="Z190" s="52"/>
      <c r="AA190" s="52"/>
      <c r="AB190" s="48"/>
      <c r="AC190" s="48"/>
      <c r="AD190" s="48"/>
      <c r="AE190" s="48"/>
    </row>
    <row r="191" spans="1:31" s="49" customFormat="1" x14ac:dyDescent="0.45">
      <c r="A191"/>
      <c r="B191" s="217" t="s">
        <v>80</v>
      </c>
      <c r="C191" s="106" t="str">
        <f t="shared" ref="C191:H191" si="99">IFERROR(C209*10^6/C162,"")</f>
        <v/>
      </c>
      <c r="D191" s="106" t="str">
        <f t="shared" si="99"/>
        <v/>
      </c>
      <c r="E191" s="106" t="str">
        <f t="shared" si="99"/>
        <v/>
      </c>
      <c r="F191" s="106">
        <f t="shared" si="99"/>
        <v>730842.91187739465</v>
      </c>
      <c r="G191" s="106" t="str">
        <f t="shared" si="99"/>
        <v/>
      </c>
      <c r="H191" s="106" t="str">
        <f t="shared" si="99"/>
        <v/>
      </c>
      <c r="I191" s="106"/>
      <c r="J191" s="106"/>
      <c r="K191" s="218"/>
      <c r="L191" s="4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2"/>
      <c r="Z191" s="52"/>
      <c r="AA191" s="52"/>
      <c r="AB191" s="48"/>
      <c r="AC191" s="48"/>
      <c r="AD191" s="48"/>
      <c r="AE191" s="48"/>
    </row>
    <row r="192" spans="1:31" x14ac:dyDescent="0.45">
      <c r="B192" s="56" t="s">
        <v>164</v>
      </c>
      <c r="C192" s="21">
        <f t="shared" ref="C192:H192" si="100">IFERROR(C210*10^6/C141,"")</f>
        <v>2195215.846851103</v>
      </c>
      <c r="D192" s="21">
        <f t="shared" si="100"/>
        <v>4017852.6034441432</v>
      </c>
      <c r="E192" s="21">
        <f t="shared" si="100"/>
        <v>5049772.5252313968</v>
      </c>
      <c r="F192" s="21">
        <f t="shared" si="100"/>
        <v>17251629.075659204</v>
      </c>
      <c r="G192" s="21">
        <f t="shared" si="100"/>
        <v>22956383.649097469</v>
      </c>
      <c r="H192" s="21">
        <f t="shared" si="100"/>
        <v>31879480.0569956</v>
      </c>
      <c r="I192" s="142">
        <f>I180*I5*I8</f>
        <v>52500000.000000007</v>
      </c>
      <c r="J192" s="142">
        <f>J180*J5*J8</f>
        <v>67200000.000000015</v>
      </c>
      <c r="K192" s="143">
        <f>K180*K5*K8</f>
        <v>80640000.000000015</v>
      </c>
    </row>
    <row r="193" spans="2:11" x14ac:dyDescent="0.45">
      <c r="B193" s="56" t="s">
        <v>76</v>
      </c>
      <c r="C193" s="21" t="str">
        <f t="shared" ref="C193:H193" si="101">IFERROR(C211*10^6/C167,"")</f>
        <v/>
      </c>
      <c r="D193" s="21">
        <f t="shared" si="101"/>
        <v>308760.8306972906</v>
      </c>
      <c r="E193" s="21">
        <f t="shared" si="101"/>
        <v>310000</v>
      </c>
      <c r="F193" s="21">
        <f t="shared" si="101"/>
        <v>308785.22377456783</v>
      </c>
      <c r="G193" s="21">
        <f t="shared" si="101"/>
        <v>308306.70926517574</v>
      </c>
      <c r="H193" s="21">
        <f t="shared" si="101"/>
        <v>25046132.971506108</v>
      </c>
      <c r="I193" s="142">
        <f>I182*I6*I8</f>
        <v>5250000</v>
      </c>
      <c r="J193" s="142">
        <f>J182*J6*J8</f>
        <v>6720000</v>
      </c>
      <c r="K193" s="143">
        <f>K182*K6*K8</f>
        <v>7872000</v>
      </c>
    </row>
    <row r="194" spans="2:11" x14ac:dyDescent="0.45">
      <c r="B194" s="56" t="s">
        <v>72</v>
      </c>
      <c r="C194" s="21" t="str">
        <f t="shared" ref="C194:G194" si="102">IFERROR(C212*10^6/C161,"")</f>
        <v/>
      </c>
      <c r="D194" s="21" t="str">
        <f t="shared" si="102"/>
        <v/>
      </c>
      <c r="E194" s="21" t="str">
        <f t="shared" si="102"/>
        <v/>
      </c>
      <c r="F194" s="21">
        <f t="shared" si="102"/>
        <v>1160729.9716736248</v>
      </c>
      <c r="G194" s="21">
        <f t="shared" si="102"/>
        <v>2722255.5322897546</v>
      </c>
      <c r="H194" s="21">
        <f>IFERROR(H212*10^6/H161,"")</f>
        <v>2493202.2450604877</v>
      </c>
      <c r="I194" s="142">
        <f>I182*I5*I8</f>
        <v>7500000</v>
      </c>
      <c r="J194" s="142">
        <f t="shared" ref="J194:K194" si="103">J182*J5*J8</f>
        <v>9600000</v>
      </c>
      <c r="K194" s="143">
        <f t="shared" si="103"/>
        <v>11520000</v>
      </c>
    </row>
    <row r="195" spans="2:11" x14ac:dyDescent="0.45">
      <c r="B195" s="217" t="s">
        <v>81</v>
      </c>
      <c r="C195" s="106">
        <f t="shared" ref="C195:H196" si="104">IFERROR(C213*10^6/C168,"")</f>
        <v>2422798.5524728587</v>
      </c>
      <c r="D195" s="106">
        <f t="shared" si="104"/>
        <v>2944644.5449204282</v>
      </c>
      <c r="E195" s="106">
        <f t="shared" si="104"/>
        <v>7610000</v>
      </c>
      <c r="F195" s="106">
        <f t="shared" si="104"/>
        <v>12555523.507355062</v>
      </c>
      <c r="G195" s="106" t="str">
        <f t="shared" si="104"/>
        <v/>
      </c>
      <c r="H195" s="106" t="str">
        <f t="shared" si="104"/>
        <v/>
      </c>
      <c r="I195" s="106"/>
      <c r="J195" s="106"/>
      <c r="K195" s="218"/>
    </row>
    <row r="196" spans="2:11" x14ac:dyDescent="0.45">
      <c r="B196" s="66" t="s">
        <v>78</v>
      </c>
      <c r="C196" s="69" t="str">
        <f t="shared" si="104"/>
        <v/>
      </c>
      <c r="D196" s="69">
        <f t="shared" si="104"/>
        <v>3088735.6931371251</v>
      </c>
      <c r="E196" s="69" t="str">
        <f t="shared" si="104"/>
        <v/>
      </c>
      <c r="F196" s="69">
        <f t="shared" si="104"/>
        <v>94284692.41773963</v>
      </c>
      <c r="G196" s="69">
        <f t="shared" si="104"/>
        <v>168455399.06103286</v>
      </c>
      <c r="H196" s="69">
        <f t="shared" si="104"/>
        <v>522893333.33333331</v>
      </c>
      <c r="I196" s="144">
        <f>H196*(1+I7)</f>
        <v>705906000</v>
      </c>
      <c r="J196" s="144">
        <f>I196*(1+J7)</f>
        <v>847087200</v>
      </c>
      <c r="K196" s="145">
        <f>J196*(1+K7)</f>
        <v>1016504640</v>
      </c>
    </row>
    <row r="197" spans="2:11" x14ac:dyDescent="0.45">
      <c r="B197" s="53"/>
      <c r="C197" s="21"/>
      <c r="D197" s="21"/>
      <c r="E197" s="21"/>
      <c r="F197" s="21"/>
      <c r="G197" s="131"/>
      <c r="H197" s="131"/>
      <c r="I197" s="21"/>
      <c r="J197" s="21"/>
      <c r="K197" s="21"/>
    </row>
    <row r="198" spans="2:11" x14ac:dyDescent="0.45">
      <c r="B198" s="53"/>
      <c r="C198" s="21"/>
      <c r="D198" s="21"/>
      <c r="E198" s="21"/>
      <c r="F198" s="21"/>
      <c r="G198" s="21"/>
      <c r="H198" s="21"/>
      <c r="I198" s="21"/>
      <c r="J198" s="21"/>
      <c r="K198" s="21"/>
    </row>
    <row r="201" spans="2:11" x14ac:dyDescent="0.45">
      <c r="B201" s="198" t="s">
        <v>160</v>
      </c>
      <c r="C201" s="127">
        <f>AE211</f>
        <v>0.6428571428571429</v>
      </c>
    </row>
    <row r="202" spans="2:11" ht="18.75" thickBot="1" x14ac:dyDescent="0.5">
      <c r="B202" s="198" t="s">
        <v>161</v>
      </c>
      <c r="C202" s="126">
        <v>30</v>
      </c>
    </row>
    <row r="203" spans="2:11" ht="20.25" thickBot="1" x14ac:dyDescent="0.55000000000000004">
      <c r="B203" s="199" t="s">
        <v>162</v>
      </c>
      <c r="C203" s="200"/>
      <c r="D203" s="200"/>
      <c r="E203" s="200"/>
      <c r="F203" s="200"/>
      <c r="G203" s="200"/>
      <c r="H203" s="200"/>
      <c r="I203" s="200">
        <f>$C$201*I141*$C$202*I8/10^6</f>
        <v>144642.85714285716</v>
      </c>
      <c r="J203" s="200">
        <f>$C$201*J141*$C$202*J8/10^6</f>
        <v>216000</v>
      </c>
      <c r="K203" s="201">
        <f>$C$201*K141*$C$202*K8/10^6</f>
        <v>296228.57142857148</v>
      </c>
    </row>
    <row r="207" spans="2:11" ht="19.5" x14ac:dyDescent="0.5">
      <c r="B207" s="8" t="s">
        <v>22</v>
      </c>
      <c r="C207" s="54"/>
      <c r="D207" s="54"/>
      <c r="E207" s="54"/>
      <c r="F207" s="54"/>
      <c r="G207" s="54"/>
      <c r="H207" s="54"/>
      <c r="I207" s="54"/>
      <c r="J207" s="54"/>
      <c r="K207" s="55"/>
    </row>
    <row r="208" spans="2:11" x14ac:dyDescent="0.45">
      <c r="B208" s="56" t="s">
        <v>71</v>
      </c>
      <c r="C208" s="21">
        <v>0</v>
      </c>
      <c r="D208" s="21">
        <v>46645</v>
      </c>
      <c r="E208" s="21">
        <v>217005</v>
      </c>
      <c r="F208" s="21">
        <v>464592</v>
      </c>
      <c r="G208" s="21">
        <v>1154210</v>
      </c>
      <c r="H208" s="21">
        <v>1589352</v>
      </c>
      <c r="I208" s="142">
        <f>I190*I139/10^6</f>
        <v>2379000.0000000005</v>
      </c>
      <c r="J208" s="142">
        <f>J190*J139/10^6</f>
        <v>3279360.0000000005</v>
      </c>
      <c r="K208" s="143">
        <f>K190*K139/10^6</f>
        <v>4368384.0000000009</v>
      </c>
    </row>
    <row r="209" spans="2:31" x14ac:dyDescent="0.45">
      <c r="B209" s="217" t="s">
        <v>80</v>
      </c>
      <c r="C209" s="106">
        <v>0</v>
      </c>
      <c r="D209" s="106">
        <v>0</v>
      </c>
      <c r="E209" s="106">
        <v>0</v>
      </c>
      <c r="F209" s="106">
        <v>763</v>
      </c>
      <c r="G209" s="106">
        <v>0</v>
      </c>
      <c r="H209" s="106">
        <v>0</v>
      </c>
      <c r="I209" s="106"/>
      <c r="J209" s="106"/>
      <c r="K209" s="218"/>
      <c r="AD209" s="1" t="s">
        <v>158</v>
      </c>
      <c r="AE209" s="1">
        <v>18000</v>
      </c>
    </row>
    <row r="210" spans="2:31" x14ac:dyDescent="0.45">
      <c r="B210" s="56" t="s">
        <v>164</v>
      </c>
      <c r="C210" s="21">
        <f>40827+46988</f>
        <v>87815</v>
      </c>
      <c r="D210" s="21">
        <f>55319</f>
        <v>55319</v>
      </c>
      <c r="E210" s="21">
        <f>241417</f>
        <v>241417</v>
      </c>
      <c r="F210" s="21">
        <f>203835+84877+112116+34811</f>
        <v>435639</v>
      </c>
      <c r="G210" s="21">
        <f>44275+61640+657743+72951+24959</f>
        <v>861568</v>
      </c>
      <c r="H210" s="21">
        <f>275864+145250+201208+108166</f>
        <v>730488</v>
      </c>
      <c r="I210" s="142">
        <f>(I192*I141)/10^6+I203</f>
        <v>1719642.8571428573</v>
      </c>
      <c r="J210" s="142">
        <f>(J192*J141)/10^6+J203</f>
        <v>2568000.0000000005</v>
      </c>
      <c r="K210" s="143">
        <f>(K192*K141)/10^6+K203</f>
        <v>3521828.5714285718</v>
      </c>
      <c r="AD210" s="1" t="s">
        <v>159</v>
      </c>
      <c r="AE210" s="1">
        <v>10000</v>
      </c>
    </row>
    <row r="211" spans="2:31" x14ac:dyDescent="0.45">
      <c r="B211" s="56" t="s">
        <v>76</v>
      </c>
      <c r="C211" s="21">
        <v>0</v>
      </c>
      <c r="D211" s="21">
        <v>2245</v>
      </c>
      <c r="E211" s="21">
        <v>1860</v>
      </c>
      <c r="F211" s="21">
        <v>1304</v>
      </c>
      <c r="G211" s="21">
        <v>386</v>
      </c>
      <c r="H211" s="21">
        <v>18459</v>
      </c>
      <c r="I211" s="142">
        <f>I193*I142/10^6</f>
        <v>2342.7601247255075</v>
      </c>
      <c r="J211" s="142">
        <f>J193*J142/10^6</f>
        <v>3229.4047257754683</v>
      </c>
      <c r="K211" s="143">
        <f>K193*K142/10^6</f>
        <v>4323.4479594055256</v>
      </c>
      <c r="AE211" s="197">
        <f>AE209/(AE209+AE210)</f>
        <v>0.6428571428571429</v>
      </c>
    </row>
    <row r="212" spans="2:31" x14ac:dyDescent="0.45">
      <c r="B212" s="56" t="s">
        <v>72</v>
      </c>
      <c r="C212" s="21">
        <v>0</v>
      </c>
      <c r="D212" s="21">
        <v>0</v>
      </c>
      <c r="E212" s="21">
        <v>0</v>
      </c>
      <c r="F212" s="21">
        <v>117604</v>
      </c>
      <c r="G212" s="21">
        <v>295117</v>
      </c>
      <c r="H212" s="21">
        <v>262973</v>
      </c>
      <c r="I212" s="142">
        <f>I194*I143/10^6</f>
        <v>900000</v>
      </c>
      <c r="J212" s="142">
        <f t="shared" ref="J212:K212" si="105">J194*J143/10^6</f>
        <v>1344000</v>
      </c>
      <c r="K212" s="143">
        <f t="shared" si="105"/>
        <v>1843200</v>
      </c>
      <c r="AE212" s="197">
        <f>7000/30000</f>
        <v>0.23333333333333334</v>
      </c>
    </row>
    <row r="213" spans="2:31" x14ac:dyDescent="0.45">
      <c r="B213" s="217" t="s">
        <v>81</v>
      </c>
      <c r="C213" s="106">
        <v>16068</v>
      </c>
      <c r="D213" s="106">
        <v>115274</v>
      </c>
      <c r="E213" s="106">
        <v>152200</v>
      </c>
      <c r="F213" s="106">
        <v>43530</v>
      </c>
      <c r="G213" s="106">
        <v>0</v>
      </c>
      <c r="H213" s="106">
        <v>0</v>
      </c>
      <c r="I213" s="106"/>
      <c r="J213" s="106"/>
      <c r="K213" s="218"/>
    </row>
    <row r="214" spans="2:31" ht="18.75" thickBot="1" x14ac:dyDescent="0.5">
      <c r="B214" s="56" t="s">
        <v>78</v>
      </c>
      <c r="C214" s="21">
        <v>0</v>
      </c>
      <c r="D214" s="21">
        <v>69895</v>
      </c>
      <c r="E214" s="21">
        <v>0</v>
      </c>
      <c r="F214" s="21">
        <v>65905</v>
      </c>
      <c r="G214" s="21">
        <v>35881</v>
      </c>
      <c r="H214" s="21">
        <v>117651</v>
      </c>
      <c r="I214" s="219">
        <f>I196*I145/10^6</f>
        <v>184973.29698981671</v>
      </c>
      <c r="J214" s="219">
        <f>J196*J145/10^6</f>
        <v>248604.11115431366</v>
      </c>
      <c r="K214" s="158">
        <f>K196*K145/10^6</f>
        <v>340942.78101163014</v>
      </c>
    </row>
    <row r="215" spans="2:31" ht="20.25" thickBot="1" x14ac:dyDescent="0.55000000000000004">
      <c r="B215" s="98" t="s">
        <v>20</v>
      </c>
      <c r="C215" s="63">
        <f t="shared" ref="C215:K215" si="106">SUM(C208:C214)</f>
        <v>103883</v>
      </c>
      <c r="D215" s="63">
        <f t="shared" si="106"/>
        <v>289378</v>
      </c>
      <c r="E215" s="63">
        <f t="shared" si="106"/>
        <v>612482</v>
      </c>
      <c r="F215" s="63">
        <f t="shared" si="106"/>
        <v>1129337</v>
      </c>
      <c r="G215" s="63">
        <f t="shared" si="106"/>
        <v>2347162</v>
      </c>
      <c r="H215" s="63">
        <f t="shared" si="106"/>
        <v>2718923</v>
      </c>
      <c r="I215" s="153">
        <f t="shared" si="106"/>
        <v>5185958.9142573997</v>
      </c>
      <c r="J215" s="153">
        <f t="shared" si="106"/>
        <v>7443193.5158800893</v>
      </c>
      <c r="K215" s="154">
        <f t="shared" si="106"/>
        <v>10078678.800399609</v>
      </c>
    </row>
    <row r="216" spans="2:31" ht="19.5" x14ac:dyDescent="0.5">
      <c r="B216" s="50"/>
      <c r="C216" s="27"/>
      <c r="D216" s="27"/>
      <c r="E216" s="27"/>
      <c r="F216" s="27"/>
      <c r="G216" s="27"/>
      <c r="H216" s="27"/>
      <c r="I216" s="27"/>
      <c r="J216" s="27"/>
      <c r="K216" s="27"/>
    </row>
    <row r="217" spans="2:31" ht="19.5" x14ac:dyDescent="0.5">
      <c r="B217" s="96"/>
      <c r="C217" s="27"/>
      <c r="D217" s="27"/>
      <c r="E217" s="27"/>
      <c r="F217" s="27"/>
      <c r="G217" s="27"/>
      <c r="H217" s="27"/>
      <c r="I217" s="27"/>
      <c r="J217" s="27"/>
      <c r="K217" s="27"/>
    </row>
    <row r="220" spans="2:31" ht="19.5" hidden="1" x14ac:dyDescent="0.5">
      <c r="B220" s="8" t="s">
        <v>53</v>
      </c>
      <c r="C220" s="19"/>
      <c r="D220" s="19"/>
      <c r="E220" s="19"/>
      <c r="F220" s="19"/>
      <c r="G220" s="19"/>
      <c r="H220" s="19"/>
      <c r="I220" s="19"/>
      <c r="J220" s="19"/>
      <c r="K220" s="20"/>
    </row>
    <row r="221" spans="2:31" hidden="1" x14ac:dyDescent="0.45">
      <c r="B221" s="6" t="s">
        <v>56</v>
      </c>
      <c r="C221" s="24">
        <v>0</v>
      </c>
      <c r="D221" s="24">
        <v>10303</v>
      </c>
      <c r="E221" s="24">
        <v>19837</v>
      </c>
      <c r="F221" s="24">
        <v>24107</v>
      </c>
      <c r="G221" s="24">
        <v>31868</v>
      </c>
      <c r="H221" s="24">
        <v>39405</v>
      </c>
      <c r="I221" s="142"/>
      <c r="J221" s="142"/>
      <c r="K221" s="143"/>
    </row>
    <row r="222" spans="2:31" hidden="1" x14ac:dyDescent="0.45">
      <c r="B222" s="6" t="s">
        <v>55</v>
      </c>
      <c r="C222" s="24">
        <v>0</v>
      </c>
      <c r="D222" s="24">
        <v>6394</v>
      </c>
      <c r="E222" s="24">
        <v>27329</v>
      </c>
      <c r="F222" s="24">
        <v>16163</v>
      </c>
      <c r="G222" s="24">
        <v>49939</v>
      </c>
      <c r="H222" s="24">
        <v>63614</v>
      </c>
      <c r="I222" s="142"/>
      <c r="J222" s="142"/>
      <c r="K222" s="143"/>
    </row>
    <row r="223" spans="2:31" hidden="1" x14ac:dyDescent="0.45">
      <c r="B223" s="6" t="s">
        <v>66</v>
      </c>
      <c r="C223" s="24">
        <v>0</v>
      </c>
      <c r="D223" s="24">
        <v>23547</v>
      </c>
      <c r="E223" s="24">
        <v>33725</v>
      </c>
      <c r="F223" s="24">
        <v>35623</v>
      </c>
      <c r="G223" s="24">
        <v>42448</v>
      </c>
      <c r="H223" s="24">
        <v>22235</v>
      </c>
      <c r="I223" s="142"/>
      <c r="J223" s="142"/>
      <c r="K223" s="143"/>
    </row>
    <row r="224" spans="2:31" hidden="1" x14ac:dyDescent="0.45">
      <c r="B224" s="6" t="s">
        <v>57</v>
      </c>
      <c r="C224" s="24">
        <v>0</v>
      </c>
      <c r="D224" s="24">
        <v>18135</v>
      </c>
      <c r="E224" s="24">
        <v>24733</v>
      </c>
      <c r="F224" s="24">
        <v>37169</v>
      </c>
      <c r="G224" s="24">
        <v>45268</v>
      </c>
      <c r="H224" s="24">
        <v>68684</v>
      </c>
      <c r="I224" s="142"/>
      <c r="J224" s="142"/>
      <c r="K224" s="143"/>
    </row>
    <row r="225" spans="2:11" ht="18.75" hidden="1" customHeight="1" x14ac:dyDescent="0.45">
      <c r="B225" s="6" t="s">
        <v>25</v>
      </c>
      <c r="C225" s="24">
        <v>0</v>
      </c>
      <c r="D225" s="24">
        <v>4284</v>
      </c>
      <c r="E225" s="24">
        <v>7180</v>
      </c>
      <c r="F225" s="24">
        <v>4520</v>
      </c>
      <c r="G225" s="24">
        <v>9385</v>
      </c>
      <c r="H225" s="24">
        <v>10840</v>
      </c>
      <c r="I225" s="142"/>
      <c r="J225" s="142"/>
      <c r="K225" s="143"/>
    </row>
    <row r="226" spans="2:11" ht="18.75" hidden="1" customHeight="1" x14ac:dyDescent="0.45">
      <c r="B226" s="6" t="s">
        <v>58</v>
      </c>
      <c r="C226" s="24">
        <v>0</v>
      </c>
      <c r="D226" s="24">
        <v>0</v>
      </c>
      <c r="E226" s="24">
        <v>5109</v>
      </c>
      <c r="F226" s="24">
        <v>6149</v>
      </c>
      <c r="G226" s="24">
        <v>7836</v>
      </c>
      <c r="H226" s="24">
        <v>14482</v>
      </c>
      <c r="I226" s="142"/>
      <c r="J226" s="142"/>
      <c r="K226" s="143"/>
    </row>
    <row r="227" spans="2:11" ht="18.75" hidden="1" customHeight="1" x14ac:dyDescent="0.45">
      <c r="B227" s="6" t="s">
        <v>59</v>
      </c>
      <c r="C227" s="24">
        <v>0</v>
      </c>
      <c r="D227" s="24">
        <v>25555</v>
      </c>
      <c r="E227" s="24">
        <v>39805</v>
      </c>
      <c r="F227" s="24">
        <v>41916</v>
      </c>
      <c r="G227" s="24">
        <v>59987</v>
      </c>
      <c r="H227" s="24">
        <v>71588</v>
      </c>
      <c r="I227" s="142"/>
      <c r="J227" s="142"/>
      <c r="K227" s="143"/>
    </row>
    <row r="228" spans="2:11" ht="18.75" hidden="1" customHeight="1" x14ac:dyDescent="0.5">
      <c r="B228" s="10" t="s">
        <v>20</v>
      </c>
      <c r="C228" s="25">
        <v>0</v>
      </c>
      <c r="D228" s="29">
        <f t="shared" ref="D228" si="107">SUM(D221:D227)</f>
        <v>88218</v>
      </c>
      <c r="E228" s="29">
        <f>SUM(E221:E227)</f>
        <v>157718</v>
      </c>
      <c r="F228" s="29">
        <f>SUM(F221:F227)</f>
        <v>165647</v>
      </c>
      <c r="G228" s="29">
        <f>SUM(G221:G227)</f>
        <v>246731</v>
      </c>
      <c r="H228" s="29">
        <v>290848</v>
      </c>
      <c r="I228" s="146"/>
      <c r="J228" s="146"/>
      <c r="K228" s="147"/>
    </row>
    <row r="229" spans="2:11" ht="18.75" hidden="1" customHeight="1" x14ac:dyDescent="0.5">
      <c r="B229" s="8" t="s">
        <v>54</v>
      </c>
      <c r="C229" s="19"/>
      <c r="D229" s="19"/>
      <c r="E229" s="19"/>
      <c r="F229" s="19"/>
      <c r="G229" s="19"/>
      <c r="H229" s="19"/>
      <c r="I229" s="19"/>
      <c r="J229" s="19"/>
      <c r="K229" s="20"/>
    </row>
    <row r="230" spans="2:11" ht="18.75" hidden="1" customHeight="1" x14ac:dyDescent="0.45">
      <c r="B230" s="6" t="s">
        <v>56</v>
      </c>
      <c r="C230" s="24">
        <v>24845</v>
      </c>
      <c r="D230" s="24">
        <v>11109</v>
      </c>
      <c r="E230" s="24">
        <v>15697</v>
      </c>
      <c r="F230" s="24">
        <v>20224</v>
      </c>
      <c r="G230" s="24">
        <v>26359</v>
      </c>
      <c r="H230" s="24">
        <v>36558</v>
      </c>
      <c r="I230" s="142"/>
      <c r="J230" s="142"/>
      <c r="K230" s="143"/>
    </row>
    <row r="231" spans="2:11" ht="18.75" hidden="1" customHeight="1" x14ac:dyDescent="0.45">
      <c r="B231" s="6" t="s">
        <v>55</v>
      </c>
      <c r="C231" s="24">
        <v>66368</v>
      </c>
      <c r="D231" s="24">
        <v>56098</v>
      </c>
      <c r="E231" s="24">
        <v>97949</v>
      </c>
      <c r="F231" s="24">
        <v>152727</v>
      </c>
      <c r="G231" s="24">
        <v>142726</v>
      </c>
      <c r="H231" s="24">
        <v>155258</v>
      </c>
      <c r="I231" s="142"/>
      <c r="J231" s="142"/>
      <c r="K231" s="143"/>
    </row>
    <row r="232" spans="2:11" hidden="1" x14ac:dyDescent="0.45">
      <c r="B232" s="6" t="s">
        <v>66</v>
      </c>
      <c r="C232" s="24">
        <v>20828</v>
      </c>
      <c r="D232" s="24">
        <v>22133</v>
      </c>
      <c r="E232" s="24">
        <v>28963</v>
      </c>
      <c r="F232" s="24">
        <v>30840</v>
      </c>
      <c r="G232" s="24">
        <v>32243</v>
      </c>
      <c r="H232" s="24">
        <v>30817</v>
      </c>
      <c r="I232" s="142"/>
      <c r="J232" s="142"/>
      <c r="K232" s="143"/>
    </row>
    <row r="233" spans="2:11" hidden="1" x14ac:dyDescent="0.45">
      <c r="B233" s="6" t="s">
        <v>57</v>
      </c>
      <c r="C233" s="24">
        <v>8153</v>
      </c>
      <c r="D233" s="24">
        <v>12473</v>
      </c>
      <c r="E233" s="24">
        <v>10441</v>
      </c>
      <c r="F233" s="24">
        <v>8620</v>
      </c>
      <c r="G233" s="24">
        <v>17151</v>
      </c>
      <c r="H233" s="24">
        <v>20239</v>
      </c>
      <c r="I233" s="142"/>
      <c r="J233" s="142"/>
      <c r="K233" s="143"/>
    </row>
    <row r="234" spans="2:11" hidden="1" x14ac:dyDescent="0.45">
      <c r="B234" s="6" t="s">
        <v>25</v>
      </c>
      <c r="C234" s="24">
        <v>7522</v>
      </c>
      <c r="D234" s="24">
        <v>6475</v>
      </c>
      <c r="E234" s="24">
        <v>6276</v>
      </c>
      <c r="F234" s="24">
        <v>5801</v>
      </c>
      <c r="G234" s="24">
        <v>5944</v>
      </c>
      <c r="H234" s="24">
        <v>20578</v>
      </c>
      <c r="I234" s="142"/>
      <c r="J234" s="142"/>
      <c r="K234" s="143"/>
    </row>
    <row r="235" spans="2:11" hidden="1" x14ac:dyDescent="0.45">
      <c r="B235" s="6" t="s">
        <v>58</v>
      </c>
      <c r="C235" s="24">
        <v>7605</v>
      </c>
      <c r="D235" s="24">
        <v>12044</v>
      </c>
      <c r="E235" s="24">
        <v>22638</v>
      </c>
      <c r="F235" s="24">
        <v>22273</v>
      </c>
      <c r="G235" s="24">
        <v>54321</v>
      </c>
      <c r="H235" s="24">
        <v>44350</v>
      </c>
      <c r="I235" s="142"/>
      <c r="J235" s="142"/>
      <c r="K235" s="143"/>
    </row>
    <row r="236" spans="2:11" hidden="1" x14ac:dyDescent="0.45">
      <c r="B236" s="6" t="s">
        <v>59</v>
      </c>
      <c r="C236" s="24">
        <v>9808</v>
      </c>
      <c r="D236" s="24">
        <v>41169</v>
      </c>
      <c r="E236" s="24">
        <v>65309</v>
      </c>
      <c r="F236" s="24">
        <v>64793</v>
      </c>
      <c r="G236" s="24">
        <v>95687</v>
      </c>
      <c r="H236" s="24">
        <v>127477</v>
      </c>
      <c r="I236" s="142"/>
      <c r="J236" s="142"/>
      <c r="K236" s="143"/>
    </row>
    <row r="237" spans="2:11" ht="20.25" hidden="1" thickBot="1" x14ac:dyDescent="0.55000000000000004">
      <c r="B237" s="11" t="s">
        <v>20</v>
      </c>
      <c r="C237" s="27">
        <f>SUM(C230:C236)</f>
        <v>145129</v>
      </c>
      <c r="D237" s="27">
        <f t="shared" ref="D237:F237" si="108">SUM(D230:D236)</f>
        <v>161501</v>
      </c>
      <c r="E237" s="27">
        <f t="shared" si="108"/>
        <v>247273</v>
      </c>
      <c r="F237" s="27">
        <f t="shared" si="108"/>
        <v>305278</v>
      </c>
      <c r="G237" s="27">
        <f>SUM(G230:G236)</f>
        <v>374431</v>
      </c>
      <c r="H237" s="27">
        <v>435277</v>
      </c>
      <c r="I237" s="148"/>
      <c r="J237" s="148"/>
      <c r="K237" s="149"/>
    </row>
    <row r="238" spans="2:11" ht="20.25" hidden="1" thickBot="1" x14ac:dyDescent="0.55000000000000004">
      <c r="B238" s="64" t="s">
        <v>70</v>
      </c>
      <c r="C238" s="63">
        <f>C237+C228</f>
        <v>145129</v>
      </c>
      <c r="D238" s="63">
        <f>D237+D228</f>
        <v>249719</v>
      </c>
      <c r="E238" s="63">
        <f>E237+E228</f>
        <v>404991</v>
      </c>
      <c r="F238" s="63">
        <f>F237+F228</f>
        <v>470925</v>
      </c>
      <c r="G238" s="63">
        <f>G237+G228</f>
        <v>621162</v>
      </c>
      <c r="H238" s="63">
        <v>726125</v>
      </c>
      <c r="I238" s="153"/>
      <c r="J238" s="153"/>
      <c r="K238" s="154"/>
    </row>
    <row r="239" spans="2:11" ht="20.25" thickBot="1" x14ac:dyDescent="0.55000000000000004">
      <c r="B239" s="15"/>
      <c r="C239" s="27"/>
      <c r="D239" s="27"/>
      <c r="E239" s="27"/>
      <c r="F239" s="27"/>
      <c r="G239" s="27"/>
      <c r="H239" s="27"/>
      <c r="I239" s="27"/>
      <c r="J239" s="27"/>
      <c r="K239" s="27"/>
    </row>
    <row r="240" spans="2:11" ht="20.25" thickBot="1" x14ac:dyDescent="0.55000000000000004">
      <c r="B240" s="173" t="s">
        <v>117</v>
      </c>
      <c r="C240" s="174"/>
      <c r="D240" s="203">
        <f>(D246)/D8</f>
        <v>0.84134139637163274</v>
      </c>
      <c r="E240" s="203">
        <f>(E246)/E8</f>
        <v>0.86956736711990112</v>
      </c>
      <c r="F240" s="203">
        <f>(F246)/F8</f>
        <v>0.67304844393651542</v>
      </c>
      <c r="G240" s="203">
        <f>(G246)/G8</f>
        <v>0.55469679071527112</v>
      </c>
      <c r="H240" s="203">
        <f>(H246)/H8</f>
        <v>0.42556969234340192</v>
      </c>
      <c r="I240" s="203">
        <v>0.5</v>
      </c>
      <c r="J240" s="203">
        <f>I240</f>
        <v>0.5</v>
      </c>
      <c r="K240" s="204">
        <f>J240</f>
        <v>0.5</v>
      </c>
    </row>
    <row r="241" spans="2:11" ht="19.5" x14ac:dyDescent="0.5">
      <c r="B241" s="15"/>
      <c r="C241" s="223">
        <f>C244/C250</f>
        <v>0.45730350240131196</v>
      </c>
      <c r="D241" s="223">
        <f t="shared" ref="D241:K241" si="109">D244/D250</f>
        <v>0.25024928019093462</v>
      </c>
      <c r="E241" s="223">
        <f t="shared" si="109"/>
        <v>0.30933526917882126</v>
      </c>
      <c r="F241" s="223">
        <f t="shared" si="109"/>
        <v>0.35863460211286297</v>
      </c>
      <c r="G241" s="223">
        <f t="shared" si="109"/>
        <v>0.31016868385380947</v>
      </c>
      <c r="H241" s="223">
        <f t="shared" si="109"/>
        <v>0.30142468583232912</v>
      </c>
      <c r="I241" s="223">
        <f t="shared" si="109"/>
        <v>0.31379546398531993</v>
      </c>
      <c r="J241" s="223">
        <f t="shared" si="109"/>
        <v>0.31072541259751585</v>
      </c>
      <c r="K241" s="223">
        <f t="shared" si="109"/>
        <v>0.2972142878204061</v>
      </c>
    </row>
    <row r="242" spans="2:11" ht="19.5" x14ac:dyDescent="0.5">
      <c r="B242" s="8" t="s">
        <v>116</v>
      </c>
      <c r="C242" s="19"/>
      <c r="D242" s="19"/>
      <c r="E242" s="19"/>
      <c r="F242" s="19"/>
      <c r="G242" s="19"/>
      <c r="H242" s="19"/>
      <c r="I242" s="19"/>
      <c r="J242" s="19"/>
      <c r="K242" s="20"/>
    </row>
    <row r="243" spans="2:11" x14ac:dyDescent="0.45">
      <c r="B243" s="6" t="s">
        <v>56</v>
      </c>
      <c r="C243" s="21">
        <f t="shared" ref="C243:H249" si="110">C221+C230</f>
        <v>24845</v>
      </c>
      <c r="D243" s="21">
        <f t="shared" si="110"/>
        <v>21412</v>
      </c>
      <c r="E243" s="21">
        <f t="shared" si="110"/>
        <v>35534</v>
      </c>
      <c r="F243" s="21">
        <f t="shared" si="110"/>
        <v>44331</v>
      </c>
      <c r="G243" s="21">
        <f t="shared" si="110"/>
        <v>58227</v>
      </c>
      <c r="H243" s="21">
        <f t="shared" si="110"/>
        <v>75963</v>
      </c>
      <c r="I243" s="142">
        <f>H243*(1+I7)</f>
        <v>102550.05</v>
      </c>
      <c r="J243" s="142">
        <f>I243*(1+J7)</f>
        <v>123060.06</v>
      </c>
      <c r="K243" s="143">
        <f>J243*(1+K7)</f>
        <v>147672.07199999999</v>
      </c>
    </row>
    <row r="244" spans="2:11" x14ac:dyDescent="0.45">
      <c r="B244" s="56" t="s">
        <v>55</v>
      </c>
      <c r="C244" s="21">
        <f t="shared" si="110"/>
        <v>66368</v>
      </c>
      <c r="D244" s="21">
        <f t="shared" si="110"/>
        <v>62492</v>
      </c>
      <c r="E244" s="21">
        <f t="shared" si="110"/>
        <v>125278</v>
      </c>
      <c r="F244" s="21">
        <f t="shared" si="110"/>
        <v>168890</v>
      </c>
      <c r="G244" s="21">
        <f t="shared" si="110"/>
        <v>192665</v>
      </c>
      <c r="H244" s="21">
        <f t="shared" si="110"/>
        <v>218872</v>
      </c>
      <c r="I244" s="142">
        <f>H244/H54*I54/H8*I8</f>
        <v>345103.90250284504</v>
      </c>
      <c r="J244" s="142">
        <f>I244/I54*J54/I8*J8</f>
        <v>494740.95462807873</v>
      </c>
      <c r="K244" s="143">
        <f>J244/J54*K54/J8*K8</f>
        <v>678501.88063279376</v>
      </c>
    </row>
    <row r="245" spans="2:11" x14ac:dyDescent="0.45">
      <c r="B245" s="56" t="s">
        <v>66</v>
      </c>
      <c r="C245" s="21">
        <f t="shared" si="110"/>
        <v>20828</v>
      </c>
      <c r="D245" s="21">
        <f t="shared" si="110"/>
        <v>45680</v>
      </c>
      <c r="E245" s="21">
        <f t="shared" si="110"/>
        <v>62688</v>
      </c>
      <c r="F245" s="21">
        <f t="shared" si="110"/>
        <v>66463</v>
      </c>
      <c r="G245" s="21">
        <f t="shared" si="110"/>
        <v>74691</v>
      </c>
      <c r="H245" s="21">
        <f t="shared" si="110"/>
        <v>53052</v>
      </c>
      <c r="I245" s="142">
        <f>I255</f>
        <v>151068.6582042175</v>
      </c>
      <c r="J245" s="142">
        <f t="shared" ref="J245:K245" si="111">J255</f>
        <v>397576.84873805143</v>
      </c>
      <c r="K245" s="143">
        <f t="shared" si="111"/>
        <v>793483.43187365029</v>
      </c>
    </row>
    <row r="246" spans="2:11" x14ac:dyDescent="0.45">
      <c r="B246" s="6" t="s">
        <v>57</v>
      </c>
      <c r="C246" s="21">
        <f t="shared" si="110"/>
        <v>8153</v>
      </c>
      <c r="D246" s="21">
        <f t="shared" si="110"/>
        <v>30608</v>
      </c>
      <c r="E246" s="21">
        <f t="shared" si="110"/>
        <v>35174</v>
      </c>
      <c r="F246" s="21">
        <f t="shared" si="110"/>
        <v>45789</v>
      </c>
      <c r="G246" s="21">
        <f t="shared" si="110"/>
        <v>62419</v>
      </c>
      <c r="H246" s="21">
        <f t="shared" si="110"/>
        <v>88923</v>
      </c>
      <c r="I246" s="142">
        <f>I240*I8</f>
        <v>125000</v>
      </c>
      <c r="J246" s="142">
        <f>J240*J8</f>
        <v>160000</v>
      </c>
      <c r="K246" s="143">
        <f>K240*K8</f>
        <v>192000</v>
      </c>
    </row>
    <row r="247" spans="2:11" x14ac:dyDescent="0.45">
      <c r="B247" s="6" t="s">
        <v>25</v>
      </c>
      <c r="C247" s="21">
        <f t="shared" si="110"/>
        <v>7522</v>
      </c>
      <c r="D247" s="21">
        <f t="shared" si="110"/>
        <v>10759</v>
      </c>
      <c r="E247" s="21">
        <f t="shared" si="110"/>
        <v>13456</v>
      </c>
      <c r="F247" s="21">
        <f t="shared" si="110"/>
        <v>10321</v>
      </c>
      <c r="G247" s="21">
        <f t="shared" si="110"/>
        <v>15329</v>
      </c>
      <c r="H247" s="21">
        <f t="shared" si="110"/>
        <v>31418</v>
      </c>
      <c r="I247" s="142">
        <f>H247+T260</f>
        <v>36183.5</v>
      </c>
      <c r="J247" s="142">
        <f>I247</f>
        <v>36183.5</v>
      </c>
      <c r="K247" s="143">
        <f>J247</f>
        <v>36183.5</v>
      </c>
    </row>
    <row r="248" spans="2:11" x14ac:dyDescent="0.45">
      <c r="B248" s="6" t="s">
        <v>58</v>
      </c>
      <c r="C248" s="21">
        <f t="shared" si="110"/>
        <v>7605</v>
      </c>
      <c r="D248" s="21">
        <f t="shared" si="110"/>
        <v>12044</v>
      </c>
      <c r="E248" s="21">
        <f t="shared" si="110"/>
        <v>27747</v>
      </c>
      <c r="F248" s="21">
        <f t="shared" si="110"/>
        <v>28422</v>
      </c>
      <c r="G248" s="21">
        <f t="shared" si="110"/>
        <v>62157</v>
      </c>
      <c r="H248" s="21">
        <f t="shared" si="110"/>
        <v>58832</v>
      </c>
      <c r="I248" s="142">
        <f>H248/H54*I54</f>
        <v>77531.231541260582</v>
      </c>
      <c r="J248" s="142">
        <f>I248/I54*J54</f>
        <v>86834.979326211862</v>
      </c>
      <c r="K248" s="143">
        <f>J248/J54*K54</f>
        <v>99239.976372813559</v>
      </c>
    </row>
    <row r="249" spans="2:11" x14ac:dyDescent="0.45">
      <c r="B249" s="6" t="s">
        <v>59</v>
      </c>
      <c r="C249" s="21">
        <f t="shared" si="110"/>
        <v>9808</v>
      </c>
      <c r="D249" s="21">
        <f t="shared" si="110"/>
        <v>66724</v>
      </c>
      <c r="E249" s="21">
        <f t="shared" si="110"/>
        <v>105114</v>
      </c>
      <c r="F249" s="21">
        <f t="shared" si="110"/>
        <v>106709</v>
      </c>
      <c r="G249" s="21">
        <f t="shared" si="110"/>
        <v>155674</v>
      </c>
      <c r="H249" s="21">
        <f t="shared" si="110"/>
        <v>199065</v>
      </c>
      <c r="I249" s="142">
        <f>H249/H54*I54</f>
        <v>262336.05192346068</v>
      </c>
      <c r="J249" s="142">
        <f>I249/I54*J54</f>
        <v>293816.378154276</v>
      </c>
      <c r="K249" s="143">
        <f>J249/J54*K54</f>
        <v>335790.14646202972</v>
      </c>
    </row>
    <row r="250" spans="2:11" ht="19.5" x14ac:dyDescent="0.5">
      <c r="B250" s="85" t="s">
        <v>20</v>
      </c>
      <c r="C250" s="57">
        <f>SUM(C243:C249)</f>
        <v>145129</v>
      </c>
      <c r="D250" s="57">
        <f t="shared" ref="D250:H250" si="112">SUM(D243:D249)</f>
        <v>249719</v>
      </c>
      <c r="E250" s="57">
        <f t="shared" si="112"/>
        <v>404991</v>
      </c>
      <c r="F250" s="57">
        <f t="shared" si="112"/>
        <v>470925</v>
      </c>
      <c r="G250" s="57">
        <f t="shared" si="112"/>
        <v>621162</v>
      </c>
      <c r="H250" s="57">
        <f t="shared" si="112"/>
        <v>726125</v>
      </c>
      <c r="I250" s="159">
        <f t="shared" ref="I250" si="113">SUM(I243:I249)</f>
        <v>1099773.3941717837</v>
      </c>
      <c r="J250" s="159">
        <f t="shared" ref="J250" si="114">SUM(J243:J249)</f>
        <v>1592212.7208466181</v>
      </c>
      <c r="K250" s="160">
        <f t="shared" ref="K250" si="115">SUM(K243:K249)</f>
        <v>2282871.0073412871</v>
      </c>
    </row>
    <row r="251" spans="2:11" ht="20.25" thickBot="1" x14ac:dyDescent="0.55000000000000004">
      <c r="B251" s="163"/>
      <c r="C251" s="164"/>
      <c r="D251" s="164"/>
      <c r="E251" s="164"/>
      <c r="F251" s="164"/>
      <c r="G251" s="164"/>
      <c r="H251" s="164"/>
      <c r="I251" s="164"/>
      <c r="J251" s="164"/>
      <c r="K251" s="164"/>
    </row>
    <row r="252" spans="2:11" ht="19.5" x14ac:dyDescent="0.5">
      <c r="B252" s="193" t="s">
        <v>154</v>
      </c>
      <c r="C252" s="178"/>
      <c r="D252" s="178"/>
      <c r="E252" s="178"/>
      <c r="F252" s="178"/>
      <c r="G252" s="178"/>
      <c r="H252" s="178"/>
      <c r="I252" s="178"/>
      <c r="J252" s="179"/>
      <c r="K252" s="180"/>
    </row>
    <row r="253" spans="2:11" ht="19.5" x14ac:dyDescent="0.5">
      <c r="B253" s="181" t="s">
        <v>155</v>
      </c>
      <c r="C253" s="175">
        <f>K346</f>
        <v>610.58545081842726</v>
      </c>
      <c r="D253" s="175"/>
      <c r="E253" s="175"/>
      <c r="F253" s="175"/>
      <c r="G253" s="175"/>
      <c r="H253" s="175"/>
      <c r="I253" s="175">
        <f>$C$253*I54*I3*I8/10^6</f>
        <v>24809.715447182643</v>
      </c>
      <c r="J253" s="175">
        <f>$C$253*J54*J3*J8/10^6</f>
        <v>35567.208065081031</v>
      </c>
      <c r="K253" s="182">
        <f>$C$253*K54*K3*K8/10^6</f>
        <v>48777.885346396855</v>
      </c>
    </row>
    <row r="254" spans="2:11" ht="20.25" thickBot="1" x14ac:dyDescent="0.55000000000000004">
      <c r="B254" s="220" t="s">
        <v>156</v>
      </c>
      <c r="C254" s="221">
        <f>K347</f>
        <v>4039.5237801686103</v>
      </c>
      <c r="D254" s="221"/>
      <c r="E254" s="221"/>
      <c r="F254" s="221"/>
      <c r="G254" s="221"/>
      <c r="H254" s="221"/>
      <c r="I254" s="221">
        <f>$C$254*I54*I4*I8/10^6</f>
        <v>126258.94275703486</v>
      </c>
      <c r="J254" s="221">
        <f>$C$254*J54*J4*J8/10^6</f>
        <v>362009.64067297039</v>
      </c>
      <c r="K254" s="222">
        <f>$C$254*K54*K4*K8/10^6</f>
        <v>744705.54652725346</v>
      </c>
    </row>
    <row r="255" spans="2:11" ht="20.25" thickBot="1" x14ac:dyDescent="0.55000000000000004">
      <c r="B255" s="183" t="s">
        <v>157</v>
      </c>
      <c r="C255" s="184"/>
      <c r="D255" s="184"/>
      <c r="E255" s="184"/>
      <c r="F255" s="184"/>
      <c r="G255" s="184"/>
      <c r="H255" s="184"/>
      <c r="I255" s="184">
        <f>I253+I254</f>
        <v>151068.6582042175</v>
      </c>
      <c r="J255" s="184">
        <f t="shared" ref="J255:K255" si="116">J253+J254</f>
        <v>397576.84873805143</v>
      </c>
      <c r="K255" s="185">
        <f t="shared" si="116"/>
        <v>793483.43187365029</v>
      </c>
    </row>
    <row r="256" spans="2:11" ht="19.5" x14ac:dyDescent="0.5">
      <c r="B256" s="202"/>
      <c r="C256" s="175"/>
      <c r="D256" s="175"/>
      <c r="E256" s="175"/>
      <c r="F256" s="175"/>
      <c r="G256" s="175"/>
      <c r="H256" s="175"/>
      <c r="I256" s="175"/>
      <c r="J256" s="175"/>
      <c r="K256" s="175"/>
    </row>
    <row r="257" spans="2:20" ht="19.5" x14ac:dyDescent="0.5">
      <c r="B257" s="202"/>
      <c r="C257" s="175"/>
      <c r="D257" s="175"/>
      <c r="E257" s="175"/>
      <c r="F257" s="175"/>
      <c r="H257" s="175"/>
      <c r="I257" s="175"/>
      <c r="J257" s="175"/>
      <c r="K257" s="175"/>
    </row>
    <row r="258" spans="2:20" ht="20.25" thickBot="1" x14ac:dyDescent="0.55000000000000004">
      <c r="B258" s="163"/>
      <c r="C258" s="21"/>
      <c r="D258" s="21"/>
      <c r="E258" s="21"/>
      <c r="F258" s="21"/>
      <c r="G258" s="21"/>
      <c r="H258" s="21"/>
      <c r="I258" s="21"/>
      <c r="J258" s="21"/>
      <c r="K258" s="21"/>
    </row>
    <row r="259" spans="2:20" ht="20.25" thickBot="1" x14ac:dyDescent="0.55000000000000004">
      <c r="B259" s="163"/>
      <c r="C259" s="164"/>
      <c r="D259" s="164"/>
      <c r="E259" s="164"/>
      <c r="F259" s="164"/>
      <c r="G259" s="164"/>
      <c r="H259" s="164"/>
      <c r="I259" s="164"/>
      <c r="J259" s="164"/>
      <c r="K259" s="164"/>
      <c r="T259" s="248">
        <f>3000+54186</f>
        <v>57186</v>
      </c>
    </row>
    <row r="260" spans="2:20" ht="20.25" thickBot="1" x14ac:dyDescent="0.55000000000000004">
      <c r="B260" s="194" t="s">
        <v>124</v>
      </c>
      <c r="C260" s="186">
        <f t="shared" ref="C260:H260" si="117">C264/C82</f>
        <v>8.9523337960547844E-3</v>
      </c>
      <c r="D260" s="186">
        <f t="shared" si="117"/>
        <v>1.037358522678921E-2</v>
      </c>
      <c r="E260" s="186">
        <f t="shared" si="117"/>
        <v>7.4695080122928331E-3</v>
      </c>
      <c r="F260" s="186">
        <f t="shared" si="117"/>
        <v>8.5291334997901497E-3</v>
      </c>
      <c r="G260" s="186">
        <f t="shared" si="117"/>
        <v>5.0772060976463241E-3</v>
      </c>
      <c r="H260" s="186">
        <f t="shared" si="117"/>
        <v>1.082050868446743E-2</v>
      </c>
      <c r="I260" s="186">
        <v>0.01</v>
      </c>
      <c r="J260" s="186">
        <f>I260</f>
        <v>0.01</v>
      </c>
      <c r="K260" s="187">
        <f>J260</f>
        <v>0.01</v>
      </c>
      <c r="T260" s="249">
        <f>T259/12</f>
        <v>4765.5</v>
      </c>
    </row>
    <row r="262" spans="2:20" ht="19.5" x14ac:dyDescent="0.5">
      <c r="B262" s="8" t="s">
        <v>26</v>
      </c>
      <c r="C262" s="19"/>
      <c r="D262" s="19"/>
      <c r="E262" s="19"/>
      <c r="F262" s="19"/>
      <c r="G262" s="19"/>
      <c r="H262" s="19"/>
      <c r="I262" s="19"/>
      <c r="J262" s="19"/>
      <c r="K262" s="20"/>
    </row>
    <row r="263" spans="2:20" x14ac:dyDescent="0.45">
      <c r="B263" s="6" t="s">
        <v>24</v>
      </c>
      <c r="C263" s="24">
        <v>5367</v>
      </c>
      <c r="D263" s="24">
        <v>10948</v>
      </c>
      <c r="E263" s="24">
        <v>9769</v>
      </c>
      <c r="F263" s="24">
        <v>11958</v>
      </c>
      <c r="G263" s="24">
        <f>5275+21196</f>
        <v>26471</v>
      </c>
      <c r="H263" s="24">
        <v>38715</v>
      </c>
      <c r="I263" s="142">
        <f>H263*(1+I7)</f>
        <v>52265.25</v>
      </c>
      <c r="J263" s="142">
        <f>I263*(1+J7)</f>
        <v>62718.299999999996</v>
      </c>
      <c r="K263" s="143">
        <f>J263*(1+K7)</f>
        <v>75261.959999999992</v>
      </c>
    </row>
    <row r="264" spans="2:20" x14ac:dyDescent="0.45">
      <c r="B264" s="6" t="s">
        <v>123</v>
      </c>
      <c r="C264" s="24">
        <v>2025</v>
      </c>
      <c r="D264" s="24">
        <v>6095</v>
      </c>
      <c r="E264" s="24">
        <v>8711</v>
      </c>
      <c r="F264" s="24">
        <v>13189</v>
      </c>
      <c r="G264" s="24">
        <f>11400+2819</f>
        <v>14219</v>
      </c>
      <c r="H264" s="24">
        <f>51409+109</f>
        <v>51518</v>
      </c>
      <c r="I264" s="142">
        <f>I260*I82</f>
        <v>83691.100693696062</v>
      </c>
      <c r="J264" s="142">
        <f>J260*J82</f>
        <v>120785.96195448269</v>
      </c>
      <c r="K264" s="143">
        <f>K260*K82</f>
        <v>164113.31925186198</v>
      </c>
    </row>
    <row r="265" spans="2:20" x14ac:dyDescent="0.45">
      <c r="B265" s="6" t="s">
        <v>27</v>
      </c>
      <c r="C265" s="24">
        <v>824</v>
      </c>
      <c r="D265" s="24">
        <v>2401</v>
      </c>
      <c r="E265" s="24">
        <v>1802</v>
      </c>
      <c r="F265" s="24">
        <v>2731</v>
      </c>
      <c r="G265" s="24">
        <f>50+1531</f>
        <v>1581</v>
      </c>
      <c r="H265" s="24">
        <v>2919</v>
      </c>
      <c r="I265" s="142">
        <f>H265</f>
        <v>2919</v>
      </c>
      <c r="J265" s="142">
        <f t="shared" ref="J265:K265" si="118">I265</f>
        <v>2919</v>
      </c>
      <c r="K265" s="143">
        <f t="shared" si="118"/>
        <v>2919</v>
      </c>
    </row>
    <row r="266" spans="2:20" x14ac:dyDescent="0.45">
      <c r="B266" s="6" t="s">
        <v>23</v>
      </c>
      <c r="C266" s="24">
        <f>1372+1196+1309+1184+1037+921+582+591+504+372+12182+372+1895</f>
        <v>23517</v>
      </c>
      <c r="D266" s="24">
        <f>319+2093+1567+246+1534+808+3148+455+8750+261+2571</f>
        <v>21752</v>
      </c>
      <c r="E266" s="24">
        <f>2954+2308+1096+831+838+413+240+11781+1116+405</f>
        <v>21982</v>
      </c>
      <c r="F266" s="24">
        <f>11964+196+448+1696+1500+3762+2840+319+2255</f>
        <v>24980</v>
      </c>
      <c r="G266" s="24">
        <f>1900+286+2014+13253+3406+1652+3743</f>
        <v>26254</v>
      </c>
      <c r="H266" s="24">
        <f>10881+11869+10582+373+10809+3133</f>
        <v>47647</v>
      </c>
      <c r="I266" s="142">
        <f>H266*(1+I7)</f>
        <v>64323.450000000004</v>
      </c>
      <c r="J266" s="142">
        <f>I266*(1+J7)</f>
        <v>77188.14</v>
      </c>
      <c r="K266" s="143">
        <f>J266*(1+K7)</f>
        <v>92625.767999999996</v>
      </c>
    </row>
    <row r="267" spans="2:20" ht="19.5" x14ac:dyDescent="0.5">
      <c r="B267" s="10" t="s">
        <v>20</v>
      </c>
      <c r="C267" s="29">
        <f t="shared" ref="C267:I267" si="119">SUM(C263:C266)</f>
        <v>31733</v>
      </c>
      <c r="D267" s="29">
        <f t="shared" si="119"/>
        <v>41196</v>
      </c>
      <c r="E267" s="29">
        <f t="shared" si="119"/>
        <v>42264</v>
      </c>
      <c r="F267" s="29">
        <f t="shared" si="119"/>
        <v>52858</v>
      </c>
      <c r="G267" s="29">
        <f t="shared" si="119"/>
        <v>68525</v>
      </c>
      <c r="H267" s="29">
        <f t="shared" si="119"/>
        <v>140799</v>
      </c>
      <c r="I267" s="146">
        <f t="shared" si="119"/>
        <v>203198.80069369607</v>
      </c>
      <c r="J267" s="146">
        <f t="shared" ref="J267:K267" si="120">SUM(J263:J266)</f>
        <v>263611.40195448266</v>
      </c>
      <c r="K267" s="147">
        <f t="shared" si="120"/>
        <v>334920.04725186195</v>
      </c>
    </row>
    <row r="271" spans="2:20" ht="19.5" x14ac:dyDescent="0.5">
      <c r="B271" s="8" t="s">
        <v>28</v>
      </c>
      <c r="C271" s="19"/>
      <c r="D271" s="19"/>
      <c r="E271" s="19"/>
      <c r="F271" s="19"/>
      <c r="G271" s="19"/>
      <c r="H271" s="19"/>
      <c r="I271" s="19"/>
      <c r="J271" s="19"/>
      <c r="K271" s="20"/>
    </row>
    <row r="272" spans="2:20" ht="19.5" x14ac:dyDescent="0.5">
      <c r="B272" s="13" t="s">
        <v>29</v>
      </c>
      <c r="C272" s="30">
        <v>226198</v>
      </c>
      <c r="D272" s="30">
        <v>587619</v>
      </c>
      <c r="E272" s="30">
        <v>1166208</v>
      </c>
      <c r="F272" s="30">
        <v>1546347</v>
      </c>
      <c r="G272" s="30">
        <v>2800556</v>
      </c>
      <c r="H272" s="30">
        <v>4904482</v>
      </c>
      <c r="I272" s="136">
        <f>I82</f>
        <v>8369110.0693696067</v>
      </c>
      <c r="J272" s="136">
        <f>J82</f>
        <v>12078596.195448268</v>
      </c>
      <c r="K272" s="157">
        <f>K82</f>
        <v>16411331.925186198</v>
      </c>
      <c r="P272" s="4" t="s">
        <v>223</v>
      </c>
      <c r="Q272" s="4">
        <f>((I284/1.35)+(J284/(1.35^2))+(K284/(1.35)^3)+(K284*(1.2)/0.15)/1.35^3)/1000</f>
        <v>13455.12869092935</v>
      </c>
    </row>
    <row r="273" spans="2:17" ht="19.5" x14ac:dyDescent="0.5">
      <c r="B273" s="13" t="s">
        <v>10</v>
      </c>
      <c r="C273" s="31">
        <f>-C101-C92</f>
        <v>-237723</v>
      </c>
      <c r="D273" s="31">
        <f>-D101-D92</f>
        <v>-528594</v>
      </c>
      <c r="E273" s="31">
        <f>-E101-E92</f>
        <v>-1063375</v>
      </c>
      <c r="F273" s="31">
        <f>-F101-F92</f>
        <v>-1124931</v>
      </c>
      <c r="G273" s="31">
        <f>-G101-G92</f>
        <v>-2479453</v>
      </c>
      <c r="H273" s="31">
        <v>-3018819</v>
      </c>
      <c r="I273" s="136">
        <f>-I114</f>
        <v>-6534680.4084291831</v>
      </c>
      <c r="J273" s="136">
        <f>-J114</f>
        <v>-9334143.9567267075</v>
      </c>
      <c r="K273" s="157">
        <f>-K114</f>
        <v>-12720035.071740896</v>
      </c>
      <c r="P273" s="4" t="s">
        <v>224</v>
      </c>
      <c r="Q273" s="4">
        <v>21947</v>
      </c>
    </row>
    <row r="274" spans="2:17" ht="19.5" x14ac:dyDescent="0.5">
      <c r="B274" s="13" t="s">
        <v>30</v>
      </c>
      <c r="C274" s="31">
        <f t="shared" ref="C274:F274" si="121">SUM(C272:C273)</f>
        <v>-11525</v>
      </c>
      <c r="D274" s="31">
        <f t="shared" si="121"/>
        <v>59025</v>
      </c>
      <c r="E274" s="31">
        <f t="shared" si="121"/>
        <v>102833</v>
      </c>
      <c r="F274" s="31">
        <f t="shared" si="121"/>
        <v>421416</v>
      </c>
      <c r="G274" s="31">
        <f>SUM(G272:G273)</f>
        <v>321103</v>
      </c>
      <c r="H274" s="31">
        <f>SUM(H272:H273)</f>
        <v>1885663</v>
      </c>
      <c r="I274" s="136">
        <f t="shared" ref="I274" si="122">SUM(I272:I273)</f>
        <v>1834429.6609404236</v>
      </c>
      <c r="J274" s="136">
        <f>SUM(J272:J273)</f>
        <v>2744452.2387215607</v>
      </c>
      <c r="K274" s="157">
        <f t="shared" ref="K274" si="123">SUM(K272:K273)</f>
        <v>3691296.8534453027</v>
      </c>
    </row>
    <row r="275" spans="2:17" ht="19.5" x14ac:dyDescent="0.5">
      <c r="B275" s="13" t="s">
        <v>31</v>
      </c>
      <c r="C275" s="40">
        <f>C274/C272</f>
        <v>-5.0950936789892043E-2</v>
      </c>
      <c r="D275" s="40">
        <f t="shared" ref="D275:K275" si="124">D274/D272</f>
        <v>0.10044773909625114</v>
      </c>
      <c r="E275" s="40">
        <f t="shared" si="124"/>
        <v>8.8177237679727807E-2</v>
      </c>
      <c r="F275" s="40">
        <f t="shared" si="124"/>
        <v>0.27252356683202411</v>
      </c>
      <c r="G275" s="40">
        <f t="shared" si="124"/>
        <v>0.11465687527762344</v>
      </c>
      <c r="H275" s="40">
        <f>H274/H272</f>
        <v>0.38447750445408913</v>
      </c>
      <c r="I275" s="138">
        <f>I274/I272</f>
        <v>0.21919052871037217</v>
      </c>
      <c r="J275" s="138">
        <f>J274/J272</f>
        <v>0.22721615942056145</v>
      </c>
      <c r="K275" s="167">
        <f t="shared" si="124"/>
        <v>0.22492366069205699</v>
      </c>
      <c r="Q275" s="4">
        <f>Q272/0.322</f>
        <v>41786.113946985563</v>
      </c>
    </row>
    <row r="276" spans="2:17" ht="19.5" x14ac:dyDescent="0.5">
      <c r="B276" s="13" t="s">
        <v>32</v>
      </c>
      <c r="C276" s="31">
        <f t="shared" ref="C276:E276" si="125">-C267</f>
        <v>-31733</v>
      </c>
      <c r="D276" s="31">
        <f t="shared" si="125"/>
        <v>-41196</v>
      </c>
      <c r="E276" s="31">
        <f t="shared" si="125"/>
        <v>-42264</v>
      </c>
      <c r="F276" s="31">
        <f>-F267</f>
        <v>-52858</v>
      </c>
      <c r="G276" s="31">
        <f>-G267</f>
        <v>-68525</v>
      </c>
      <c r="H276" s="31">
        <v>-140799</v>
      </c>
      <c r="I276" s="136">
        <f>-I267</f>
        <v>-203198.80069369607</v>
      </c>
      <c r="J276" s="136">
        <f t="shared" ref="J276" si="126">-J267</f>
        <v>-263611.40195448266</v>
      </c>
      <c r="K276" s="157">
        <f>-K267</f>
        <v>-334920.04725186195</v>
      </c>
    </row>
    <row r="277" spans="2:17" ht="19.5" x14ac:dyDescent="0.5">
      <c r="B277" s="13" t="s">
        <v>64</v>
      </c>
      <c r="C277" s="31">
        <f t="shared" ref="C277:E277" si="127">C299</f>
        <v>-10569</v>
      </c>
      <c r="D277" s="31">
        <f t="shared" si="127"/>
        <v>4429</v>
      </c>
      <c r="E277" s="31">
        <f t="shared" si="127"/>
        <v>40620</v>
      </c>
      <c r="F277" s="31">
        <f>F299</f>
        <v>-11210</v>
      </c>
      <c r="G277" s="31">
        <f>G299</f>
        <v>84293</v>
      </c>
      <c r="H277" s="31">
        <v>-129372</v>
      </c>
      <c r="I277" s="136">
        <f>I299</f>
        <v>0</v>
      </c>
      <c r="J277" s="136">
        <f t="shared" ref="J277:K277" si="128">J299</f>
        <v>0</v>
      </c>
      <c r="K277" s="157">
        <f t="shared" si="128"/>
        <v>0</v>
      </c>
    </row>
    <row r="278" spans="2:17" ht="19.5" x14ac:dyDescent="0.5">
      <c r="B278" s="13" t="s">
        <v>33</v>
      </c>
      <c r="C278" s="31">
        <f t="shared" ref="C278:F278" si="129">SUM(C274:C277)</f>
        <v>-53827.050950936791</v>
      </c>
      <c r="D278" s="31">
        <f t="shared" si="129"/>
        <v>22258.100447739096</v>
      </c>
      <c r="E278" s="31">
        <f t="shared" si="129"/>
        <v>101189.08817723767</v>
      </c>
      <c r="F278" s="31">
        <f t="shared" si="129"/>
        <v>357348.27252356685</v>
      </c>
      <c r="G278" s="31">
        <f>SUM(G274:G277)</f>
        <v>336871.11465687526</v>
      </c>
      <c r="H278" s="31">
        <f t="shared" ref="H278:I278" si="130">SUM(H274:H277)</f>
        <v>1615492.3844775045</v>
      </c>
      <c r="I278" s="136">
        <f t="shared" si="130"/>
        <v>1631231.0794372561</v>
      </c>
      <c r="J278" s="136">
        <f t="shared" ref="J278" si="131">SUM(J274:J277)</f>
        <v>2480841.0639832374</v>
      </c>
      <c r="K278" s="157">
        <f t="shared" ref="K278" si="132">SUM(K274:K277)</f>
        <v>3356377.0311171012</v>
      </c>
    </row>
    <row r="279" spans="2:17" ht="19.5" x14ac:dyDescent="0.5">
      <c r="B279" s="13" t="s">
        <v>34</v>
      </c>
      <c r="C279" s="40">
        <f>C278/C272</f>
        <v>-0.23796430981236258</v>
      </c>
      <c r="D279" s="40">
        <f t="shared" ref="D279:K279" si="133">D278/D272</f>
        <v>3.787845601952812E-2</v>
      </c>
      <c r="E279" s="40">
        <f t="shared" si="133"/>
        <v>8.6767616220466401E-2</v>
      </c>
      <c r="F279" s="40">
        <f t="shared" si="133"/>
        <v>0.23109190403160923</v>
      </c>
      <c r="G279" s="40">
        <f t="shared" si="133"/>
        <v>0.12028722677099664</v>
      </c>
      <c r="H279" s="40">
        <f t="shared" si="133"/>
        <v>0.32939103140301146</v>
      </c>
      <c r="I279" s="138">
        <f>I278/I272</f>
        <v>0.1949109362783332</v>
      </c>
      <c r="J279" s="138">
        <f t="shared" si="133"/>
        <v>0.20539150608562645</v>
      </c>
      <c r="K279" s="167">
        <f t="shared" si="133"/>
        <v>0.20451582153220149</v>
      </c>
    </row>
    <row r="280" spans="2:17" ht="19.5" x14ac:dyDescent="0.5">
      <c r="B280" s="165" t="s">
        <v>35</v>
      </c>
      <c r="C280" s="30">
        <v>0</v>
      </c>
      <c r="D280" s="30">
        <v>-2872</v>
      </c>
      <c r="E280" s="30">
        <v>-3576</v>
      </c>
      <c r="F280" s="30">
        <v>-4669</v>
      </c>
      <c r="G280" s="30">
        <v>-7377</v>
      </c>
      <c r="H280" s="30">
        <v>-18200</v>
      </c>
      <c r="I280" s="136">
        <f>-0.18*I321</f>
        <v>-75276</v>
      </c>
      <c r="J280" s="136">
        <v>0</v>
      </c>
      <c r="K280" s="157">
        <v>0</v>
      </c>
    </row>
    <row r="281" spans="2:17" ht="19.5" x14ac:dyDescent="0.5">
      <c r="B281" s="13" t="s">
        <v>36</v>
      </c>
      <c r="C281" s="31">
        <f t="shared" ref="C281:E281" si="134">C308</f>
        <v>9125</v>
      </c>
      <c r="D281" s="31">
        <f t="shared" si="134"/>
        <v>1896</v>
      </c>
      <c r="E281" s="31">
        <f t="shared" si="134"/>
        <v>145</v>
      </c>
      <c r="F281" s="31">
        <f t="shared" ref="F281:K281" si="135">F308</f>
        <v>5367</v>
      </c>
      <c r="G281" s="31">
        <f t="shared" si="135"/>
        <v>15512</v>
      </c>
      <c r="H281" s="31">
        <f t="shared" si="135"/>
        <v>8828</v>
      </c>
      <c r="I281" s="136">
        <f t="shared" si="135"/>
        <v>181754.79732000001</v>
      </c>
      <c r="J281" s="136">
        <f t="shared" si="135"/>
        <v>302340.79999999993</v>
      </c>
      <c r="K281" s="157">
        <f t="shared" si="135"/>
        <v>281581.76</v>
      </c>
    </row>
    <row r="282" spans="2:17" ht="19.5" x14ac:dyDescent="0.5">
      <c r="B282" s="13" t="s">
        <v>37</v>
      </c>
      <c r="C282" s="31">
        <f t="shared" ref="C282:F282" si="136">SUM(C278:C281)</f>
        <v>-44702.288915246601</v>
      </c>
      <c r="D282" s="31">
        <f t="shared" si="136"/>
        <v>21282.138326195116</v>
      </c>
      <c r="E282" s="31">
        <f t="shared" si="136"/>
        <v>97758.17494485389</v>
      </c>
      <c r="F282" s="31">
        <f t="shared" si="136"/>
        <v>358046.50361547089</v>
      </c>
      <c r="G282" s="31">
        <f>SUM(G278:G281)</f>
        <v>345006.23494410201</v>
      </c>
      <c r="H282" s="31">
        <f t="shared" ref="H282:I282" si="137">SUM(H278:H281)</f>
        <v>1606120.7138685358</v>
      </c>
      <c r="I282" s="136">
        <f t="shared" si="137"/>
        <v>1737710.0716681923</v>
      </c>
      <c r="J282" s="136">
        <f t="shared" ref="J282" si="138">SUM(J278:J281)</f>
        <v>2783182.0693747434</v>
      </c>
      <c r="K282" s="157">
        <f t="shared" ref="K282" si="139">SUM(K278:K281)</f>
        <v>3637958.9956329223</v>
      </c>
    </row>
    <row r="283" spans="2:17" ht="19.5" x14ac:dyDescent="0.5">
      <c r="B283" s="165" t="s">
        <v>65</v>
      </c>
      <c r="C283" s="30">
        <v>0</v>
      </c>
      <c r="D283" s="30">
        <v>0</v>
      </c>
      <c r="E283" s="30">
        <v>0</v>
      </c>
      <c r="F283" s="30">
        <f>-56079-8993</f>
        <v>-65072</v>
      </c>
      <c r="G283" s="30">
        <v>-60463</v>
      </c>
      <c r="H283" s="30">
        <f>-176672-2975</f>
        <v>-179647</v>
      </c>
      <c r="I283" s="136">
        <f>I290*I291</f>
        <v>-277563.78177480242</v>
      </c>
      <c r="J283" s="136">
        <f t="shared" ref="J283:K283" si="140">J290*J291</f>
        <v>-447588.32589134981</v>
      </c>
      <c r="K283" s="157">
        <f t="shared" si="140"/>
        <v>-605681.8749760316</v>
      </c>
    </row>
    <row r="284" spans="2:17" ht="19.5" x14ac:dyDescent="0.5">
      <c r="B284" s="13" t="s">
        <v>38</v>
      </c>
      <c r="C284" s="31">
        <f t="shared" ref="C284:K284" si="141">SUM(C282:C283)</f>
        <v>-44702.288915246601</v>
      </c>
      <c r="D284" s="31">
        <f t="shared" si="141"/>
        <v>21282.138326195116</v>
      </c>
      <c r="E284" s="31">
        <f t="shared" si="141"/>
        <v>97758.17494485389</v>
      </c>
      <c r="F284" s="31">
        <f t="shared" si="141"/>
        <v>292974.50361547089</v>
      </c>
      <c r="G284" s="31">
        <f t="shared" si="141"/>
        <v>284543.23494410201</v>
      </c>
      <c r="H284" s="31">
        <f t="shared" si="141"/>
        <v>1426473.7138685358</v>
      </c>
      <c r="I284" s="136">
        <f t="shared" si="141"/>
        <v>1460146.2898933899</v>
      </c>
      <c r="J284" s="136">
        <f t="shared" si="141"/>
        <v>2335593.7434833935</v>
      </c>
      <c r="K284" s="157">
        <f t="shared" si="141"/>
        <v>3032277.1206568908</v>
      </c>
    </row>
    <row r="285" spans="2:17" ht="19.5" x14ac:dyDescent="0.5">
      <c r="B285" s="13" t="s">
        <v>39</v>
      </c>
      <c r="C285" s="40">
        <f t="shared" ref="C285:K285" si="142">C284/C272</f>
        <v>-0.19762459842813199</v>
      </c>
      <c r="D285" s="40">
        <f t="shared" si="142"/>
        <v>3.6217580313426076E-2</v>
      </c>
      <c r="E285" s="40">
        <f t="shared" si="142"/>
        <v>8.3825676847401054E-2</v>
      </c>
      <c r="F285" s="40">
        <f t="shared" si="142"/>
        <v>0.18946232871113075</v>
      </c>
      <c r="G285" s="40">
        <f t="shared" si="142"/>
        <v>0.10160240857319118</v>
      </c>
      <c r="H285" s="40">
        <f t="shared" si="142"/>
        <v>0.29085104479301499</v>
      </c>
      <c r="I285" s="138">
        <f t="shared" si="142"/>
        <v>0.17446852506306848</v>
      </c>
      <c r="J285" s="138">
        <f t="shared" si="142"/>
        <v>0.19336632384180086</v>
      </c>
      <c r="K285" s="167">
        <f t="shared" si="142"/>
        <v>0.18476727754212963</v>
      </c>
    </row>
    <row r="286" spans="2:17" ht="19.5" x14ac:dyDescent="0.5">
      <c r="B286" s="13" t="s">
        <v>40</v>
      </c>
      <c r="C286" s="30">
        <v>322000</v>
      </c>
      <c r="D286" s="30">
        <v>322000</v>
      </c>
      <c r="E286" s="30">
        <v>322000</v>
      </c>
      <c r="F286" s="30">
        <v>322000</v>
      </c>
      <c r="G286" s="30">
        <v>322000</v>
      </c>
      <c r="H286" s="30">
        <v>322000</v>
      </c>
      <c r="I286" s="136">
        <v>322000</v>
      </c>
      <c r="J286" s="136">
        <v>322000</v>
      </c>
      <c r="K286" s="157">
        <v>322000</v>
      </c>
    </row>
    <row r="287" spans="2:17" ht="19.5" x14ac:dyDescent="0.5">
      <c r="B287" s="9" t="s">
        <v>41</v>
      </c>
      <c r="C287" s="32">
        <f>C284/C286*1000</f>
        <v>-138.82698420884037</v>
      </c>
      <c r="D287" s="32">
        <f t="shared" ref="D287:I287" si="143">D284/D286*1000</f>
        <v>66.093597286320232</v>
      </c>
      <c r="E287" s="32">
        <f t="shared" si="143"/>
        <v>303.5968165989251</v>
      </c>
      <c r="F287" s="32">
        <f t="shared" si="143"/>
        <v>909.85870688034447</v>
      </c>
      <c r="G287" s="32">
        <f t="shared" si="143"/>
        <v>883.67464268354661</v>
      </c>
      <c r="H287" s="32">
        <f t="shared" si="143"/>
        <v>4430.0425896538381</v>
      </c>
      <c r="I287" s="161">
        <f t="shared" si="143"/>
        <v>4534.615807122329</v>
      </c>
      <c r="J287" s="161">
        <f t="shared" ref="J287" si="144">J284/J286*1000</f>
        <v>7253.3967188925262</v>
      </c>
      <c r="K287" s="162">
        <f t="shared" ref="K287" si="145">K284/K286*1000</f>
        <v>9417.0096914810274</v>
      </c>
    </row>
    <row r="289" spans="2:11" ht="18.75" thickBot="1" x14ac:dyDescent="0.5"/>
    <row r="290" spans="2:11" ht="19.5" x14ac:dyDescent="0.5">
      <c r="B290" s="193" t="s">
        <v>126</v>
      </c>
      <c r="C290" s="188">
        <f t="shared" ref="C290:K290" si="146">((C272+C273)*C77/C82)+C276+C277+C280</f>
        <v>-44870.538625452034</v>
      </c>
      <c r="D290" s="188">
        <f t="shared" si="146"/>
        <v>-26981.299463875417</v>
      </c>
      <c r="E290" s="188">
        <f t="shared" si="146"/>
        <v>49566.898555832238</v>
      </c>
      <c r="F290" s="188">
        <f t="shared" si="146"/>
        <v>246580.39748452319</v>
      </c>
      <c r="G290" s="188">
        <f t="shared" si="146"/>
        <v>300636.24037512549</v>
      </c>
      <c r="H290" s="188">
        <f t="shared" si="146"/>
        <v>1193176.659788908</v>
      </c>
      <c r="I290" s="188">
        <f t="shared" si="146"/>
        <v>1233616.8078880107</v>
      </c>
      <c r="J290" s="188">
        <f t="shared" si="146"/>
        <v>1989281.4484059992</v>
      </c>
      <c r="K290" s="189">
        <f t="shared" si="146"/>
        <v>2691919.444337918</v>
      </c>
    </row>
    <row r="291" spans="2:11" ht="20.25" thickBot="1" x14ac:dyDescent="0.55000000000000004">
      <c r="B291" s="190"/>
      <c r="C291" s="191">
        <f t="shared" ref="C291:H291" si="147">C283/C290</f>
        <v>0</v>
      </c>
      <c r="D291" s="191">
        <f t="shared" si="147"/>
        <v>0</v>
      </c>
      <c r="E291" s="191">
        <f t="shared" si="147"/>
        <v>0</v>
      </c>
      <c r="F291" s="191">
        <f>F283/F290</f>
        <v>-0.26389770096823811</v>
      </c>
      <c r="G291" s="191">
        <f t="shared" si="147"/>
        <v>-0.20111680456273656</v>
      </c>
      <c r="H291" s="191">
        <f t="shared" si="147"/>
        <v>-0.15056194615119475</v>
      </c>
      <c r="I291" s="191">
        <v>-0.22500000000000001</v>
      </c>
      <c r="J291" s="191">
        <v>-0.22500000000000001</v>
      </c>
      <c r="K291" s="192">
        <v>-0.22500000000000001</v>
      </c>
    </row>
    <row r="295" spans="2:11" ht="19.5" x14ac:dyDescent="0.5">
      <c r="B295" s="8" t="s">
        <v>42</v>
      </c>
      <c r="C295" s="19"/>
      <c r="D295" s="19"/>
      <c r="E295" s="19"/>
      <c r="F295" s="19"/>
      <c r="G295" s="19"/>
      <c r="H295" s="19"/>
      <c r="I295" s="19"/>
      <c r="J295" s="19"/>
      <c r="K295" s="20"/>
    </row>
    <row r="296" spans="2:11" x14ac:dyDescent="0.45">
      <c r="B296" s="6" t="s">
        <v>125</v>
      </c>
      <c r="C296" s="24">
        <v>0</v>
      </c>
      <c r="D296" s="24">
        <v>0</v>
      </c>
      <c r="E296" s="24">
        <v>0</v>
      </c>
      <c r="F296" s="24">
        <v>0</v>
      </c>
      <c r="G296" s="24">
        <v>63153</v>
      </c>
      <c r="H296" s="24">
        <v>-119415</v>
      </c>
      <c r="I296" s="142">
        <v>0</v>
      </c>
      <c r="J296" s="142">
        <f>I296</f>
        <v>0</v>
      </c>
      <c r="K296" s="143">
        <f>J296</f>
        <v>0</v>
      </c>
    </row>
    <row r="297" spans="2:11" x14ac:dyDescent="0.45">
      <c r="B297" s="6" t="s">
        <v>45</v>
      </c>
      <c r="C297" s="24">
        <v>16675</v>
      </c>
      <c r="D297" s="24">
        <f>24619+4516</f>
        <v>29135</v>
      </c>
      <c r="E297" s="24">
        <f>45177+5326</f>
        <v>50503</v>
      </c>
      <c r="F297" s="24">
        <f>3239+1509</f>
        <v>4748</v>
      </c>
      <c r="G297" s="24">
        <f>22990+1685</f>
        <v>24675</v>
      </c>
      <c r="H297" s="24">
        <f>3565-13522</f>
        <v>-9957</v>
      </c>
      <c r="I297" s="142">
        <v>0</v>
      </c>
      <c r="J297" s="142">
        <v>0</v>
      </c>
      <c r="K297" s="143">
        <v>0</v>
      </c>
    </row>
    <row r="298" spans="2:11" x14ac:dyDescent="0.45">
      <c r="B298" s="6" t="s">
        <v>67</v>
      </c>
      <c r="C298" s="24">
        <v>27244</v>
      </c>
      <c r="D298" s="24">
        <v>24706</v>
      </c>
      <c r="E298" s="24">
        <v>9883</v>
      </c>
      <c r="F298" s="24">
        <v>15958</v>
      </c>
      <c r="G298" s="24">
        <v>3535</v>
      </c>
      <c r="H298" s="24">
        <v>0</v>
      </c>
      <c r="I298" s="142">
        <v>0</v>
      </c>
      <c r="J298" s="142">
        <v>0</v>
      </c>
      <c r="K298" s="143">
        <v>0</v>
      </c>
    </row>
    <row r="299" spans="2:11" ht="19.5" x14ac:dyDescent="0.5">
      <c r="B299" s="10" t="s">
        <v>3</v>
      </c>
      <c r="C299" s="29">
        <f>C296+C297-C298</f>
        <v>-10569</v>
      </c>
      <c r="D299" s="29">
        <f t="shared" ref="D299:I299" si="148">D296+D297-D298</f>
        <v>4429</v>
      </c>
      <c r="E299" s="29">
        <f t="shared" si="148"/>
        <v>40620</v>
      </c>
      <c r="F299" s="29">
        <f t="shared" si="148"/>
        <v>-11210</v>
      </c>
      <c r="G299" s="29">
        <f t="shared" si="148"/>
        <v>84293</v>
      </c>
      <c r="H299" s="29">
        <f t="shared" si="148"/>
        <v>-129372</v>
      </c>
      <c r="I299" s="146">
        <f t="shared" si="148"/>
        <v>0</v>
      </c>
      <c r="J299" s="146">
        <f t="shared" ref="J299" si="149">J296+J297-J298</f>
        <v>0</v>
      </c>
      <c r="K299" s="147">
        <f t="shared" ref="K299" si="150">K296+K297-K298</f>
        <v>0</v>
      </c>
    </row>
    <row r="300" spans="2:11" x14ac:dyDescent="0.45">
      <c r="B300" s="14"/>
      <c r="C300" s="21"/>
      <c r="D300" s="21"/>
      <c r="E300" s="21"/>
      <c r="F300" s="21"/>
      <c r="G300" s="21"/>
      <c r="H300" s="21"/>
      <c r="I300" s="21"/>
      <c r="J300" s="21"/>
      <c r="K300" s="21"/>
    </row>
    <row r="301" spans="2:11" x14ac:dyDescent="0.45">
      <c r="B301" s="14"/>
      <c r="C301" s="24"/>
      <c r="D301" s="24"/>
      <c r="E301" s="24"/>
      <c r="F301" s="24"/>
      <c r="G301" s="24"/>
      <c r="H301" s="24"/>
      <c r="I301" s="24"/>
      <c r="J301" s="24"/>
      <c r="K301" s="21"/>
    </row>
    <row r="302" spans="2:11" ht="19.5" x14ac:dyDescent="0.5">
      <c r="B302" s="8" t="s">
        <v>43</v>
      </c>
      <c r="C302" s="19"/>
      <c r="D302" s="19"/>
      <c r="E302" s="19"/>
      <c r="F302" s="19"/>
      <c r="G302" s="19"/>
      <c r="H302" s="19"/>
      <c r="I302" s="19"/>
      <c r="J302" s="19"/>
      <c r="K302" s="20"/>
    </row>
    <row r="303" spans="2:11" x14ac:dyDescent="0.45">
      <c r="B303" s="6" t="s">
        <v>44</v>
      </c>
      <c r="C303" s="24">
        <v>-7</v>
      </c>
      <c r="D303" s="24">
        <v>16</v>
      </c>
      <c r="E303" s="24">
        <v>23</v>
      </c>
      <c r="F303" s="24">
        <v>187</v>
      </c>
      <c r="G303" s="24">
        <v>49</v>
      </c>
      <c r="H303" s="24">
        <v>169</v>
      </c>
      <c r="I303" s="142">
        <f>R333</f>
        <v>166716.79732000001</v>
      </c>
      <c r="J303" s="142">
        <f>R334</f>
        <v>284295.19999999995</v>
      </c>
      <c r="K303" s="143">
        <f>R335</f>
        <v>259927.04000000004</v>
      </c>
    </row>
    <row r="304" spans="2:11" x14ac:dyDescent="0.45">
      <c r="B304" s="6" t="s">
        <v>61</v>
      </c>
      <c r="C304" s="24">
        <v>2612</v>
      </c>
      <c r="D304" s="24">
        <v>575</v>
      </c>
      <c r="E304" s="24">
        <v>1833</v>
      </c>
      <c r="F304" s="24">
        <v>4108</v>
      </c>
      <c r="G304" s="24">
        <v>15021</v>
      </c>
      <c r="H304" s="24">
        <v>15038</v>
      </c>
      <c r="I304" s="142">
        <f>H304</f>
        <v>15038</v>
      </c>
      <c r="J304" s="142">
        <f>I304*(1+J7)</f>
        <v>18045.599999999999</v>
      </c>
      <c r="K304" s="143">
        <f>J304*(1+K7)</f>
        <v>21654.719999999998</v>
      </c>
    </row>
    <row r="305" spans="2:11" x14ac:dyDescent="0.45">
      <c r="B305" s="6" t="s">
        <v>62</v>
      </c>
      <c r="C305" s="24">
        <v>845</v>
      </c>
      <c r="D305" s="24">
        <v>146</v>
      </c>
      <c r="E305" s="24">
        <v>81</v>
      </c>
      <c r="F305" s="24">
        <v>46</v>
      </c>
      <c r="G305" s="24">
        <v>8</v>
      </c>
      <c r="H305" s="24">
        <v>43</v>
      </c>
      <c r="I305" s="142">
        <v>0</v>
      </c>
      <c r="J305" s="142">
        <v>0</v>
      </c>
      <c r="K305" s="143">
        <v>0</v>
      </c>
    </row>
    <row r="306" spans="2:11" x14ac:dyDescent="0.45">
      <c r="B306" s="6" t="s">
        <v>63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-6571</v>
      </c>
      <c r="I306" s="142">
        <v>0</v>
      </c>
      <c r="J306" s="142">
        <f>I306</f>
        <v>0</v>
      </c>
      <c r="K306" s="143">
        <f>J306</f>
        <v>0</v>
      </c>
    </row>
    <row r="307" spans="2:11" x14ac:dyDescent="0.45">
      <c r="B307" s="6" t="s">
        <v>45</v>
      </c>
      <c r="C307" s="24">
        <f>-14387+2390+17672</f>
        <v>5675</v>
      </c>
      <c r="D307" s="24">
        <v>1159</v>
      </c>
      <c r="E307" s="24">
        <v>-1792</v>
      </c>
      <c r="F307" s="24">
        <v>1026</v>
      </c>
      <c r="G307" s="24">
        <v>434</v>
      </c>
      <c r="H307" s="24">
        <v>149</v>
      </c>
      <c r="I307" s="142">
        <v>0</v>
      </c>
      <c r="J307" s="142">
        <f>I307</f>
        <v>0</v>
      </c>
      <c r="K307" s="143">
        <f>J307</f>
        <v>0</v>
      </c>
    </row>
    <row r="308" spans="2:11" ht="19.5" x14ac:dyDescent="0.5">
      <c r="B308" s="10" t="s">
        <v>3</v>
      </c>
      <c r="C308" s="29">
        <f t="shared" ref="C308:D308" si="151">SUM(C303:C307)</f>
        <v>9125</v>
      </c>
      <c r="D308" s="29">
        <f t="shared" si="151"/>
        <v>1896</v>
      </c>
      <c r="E308" s="29">
        <f>SUM(E303:E307)</f>
        <v>145</v>
      </c>
      <c r="F308" s="29">
        <f>SUM(F303:F307)</f>
        <v>5367</v>
      </c>
      <c r="G308" s="29">
        <f>SUM(G303:G307)</f>
        <v>15512</v>
      </c>
      <c r="H308" s="29">
        <f t="shared" ref="H308:I308" si="152">SUM(H303:H307)</f>
        <v>8828</v>
      </c>
      <c r="I308" s="146">
        <f t="shared" si="152"/>
        <v>181754.79732000001</v>
      </c>
      <c r="J308" s="146">
        <f t="shared" ref="J308" si="153">SUM(J303:J307)</f>
        <v>302340.79999999993</v>
      </c>
      <c r="K308" s="147">
        <f t="shared" ref="K308" si="154">SUM(K303:K307)</f>
        <v>281581.76</v>
      </c>
    </row>
    <row r="313" spans="2:11" ht="19.5" x14ac:dyDescent="0.45">
      <c r="B313" s="4" t="s">
        <v>29</v>
      </c>
      <c r="C313" s="166"/>
      <c r="D313" s="166"/>
      <c r="E313" s="166"/>
      <c r="F313" s="166"/>
      <c r="H313" s="17">
        <f t="shared" ref="H313:K314" si="155">H272</f>
        <v>4904482</v>
      </c>
      <c r="I313" s="17">
        <f t="shared" si="155"/>
        <v>8369110.0693696067</v>
      </c>
      <c r="J313" s="17">
        <f t="shared" si="155"/>
        <v>12078596.195448268</v>
      </c>
      <c r="K313" s="17">
        <f t="shared" si="155"/>
        <v>16411331.925186198</v>
      </c>
    </row>
    <row r="314" spans="2:11" ht="19.5" x14ac:dyDescent="0.45">
      <c r="B314" s="4" t="s">
        <v>127</v>
      </c>
      <c r="C314" s="166"/>
      <c r="D314" s="166"/>
      <c r="E314" s="166"/>
      <c r="F314" s="166"/>
      <c r="H314" s="17">
        <f t="shared" si="155"/>
        <v>-3018819</v>
      </c>
      <c r="I314" s="17">
        <f t="shared" si="155"/>
        <v>-6534680.4084291831</v>
      </c>
      <c r="J314" s="17">
        <f t="shared" si="155"/>
        <v>-9334143.9567267075</v>
      </c>
      <c r="K314" s="17">
        <f t="shared" si="155"/>
        <v>-12720035.071740896</v>
      </c>
    </row>
    <row r="315" spans="2:11" ht="19.5" x14ac:dyDescent="0.45">
      <c r="B315" s="4" t="s">
        <v>25</v>
      </c>
      <c r="C315" s="166"/>
      <c r="D315" s="166"/>
      <c r="E315" s="166"/>
      <c r="F315" s="166"/>
      <c r="H315" s="17">
        <f>H247+H265</f>
        <v>34337</v>
      </c>
      <c r="I315" s="17">
        <f>I247+I265</f>
        <v>39102.5</v>
      </c>
      <c r="J315" s="17">
        <f>J247+J265</f>
        <v>39102.5</v>
      </c>
      <c r="K315" s="17">
        <f>K247+K265</f>
        <v>39102.5</v>
      </c>
    </row>
    <row r="316" spans="2:11" ht="19.5" x14ac:dyDescent="0.45">
      <c r="B316" s="4" t="s">
        <v>128</v>
      </c>
      <c r="C316" s="166"/>
      <c r="D316" s="166"/>
      <c r="E316" s="166"/>
      <c r="F316" s="166"/>
      <c r="H316" s="17">
        <f>SUM(H313:H315)</f>
        <v>1920000</v>
      </c>
      <c r="I316" s="17">
        <f>SUM(I313:I315)</f>
        <v>1873532.1609404236</v>
      </c>
      <c r="J316" s="17">
        <f t="shared" ref="J316:K316" si="156">SUM(J313:J315)</f>
        <v>2783554.7387215607</v>
      </c>
      <c r="K316" s="17">
        <f t="shared" si="156"/>
        <v>3730399.3534453027</v>
      </c>
    </row>
    <row r="317" spans="2:11" ht="19.5" x14ac:dyDescent="0.45">
      <c r="B317" s="4" t="s">
        <v>129</v>
      </c>
      <c r="C317" s="166"/>
      <c r="D317" s="166"/>
      <c r="E317" s="166"/>
      <c r="F317" s="166"/>
      <c r="H317" s="17">
        <f>H276</f>
        <v>-140799</v>
      </c>
      <c r="I317" s="17">
        <f>I276</f>
        <v>-203198.80069369607</v>
      </c>
      <c r="J317" s="17">
        <f>J276</f>
        <v>-263611.40195448266</v>
      </c>
      <c r="K317" s="17">
        <f>K276</f>
        <v>-334920.04725186195</v>
      </c>
    </row>
    <row r="318" spans="2:11" x14ac:dyDescent="0.45">
      <c r="B318" s="4" t="s">
        <v>130</v>
      </c>
      <c r="H318" s="17">
        <f>-0.6*H284</f>
        <v>-855884.22832112142</v>
      </c>
      <c r="I318" s="17">
        <f>-0.5*I284</f>
        <v>-730073.14494669496</v>
      </c>
      <c r="J318" s="17">
        <f>-0.5*J284</f>
        <v>-1167796.8717416967</v>
      </c>
      <c r="K318" s="17">
        <f>-0.5*K284</f>
        <v>-1516138.5603284454</v>
      </c>
    </row>
    <row r="319" spans="2:11" x14ac:dyDescent="0.45">
      <c r="B319" s="4" t="s">
        <v>131</v>
      </c>
      <c r="H319" s="17">
        <f>H318+H317+H316</f>
        <v>923316.77167887858</v>
      </c>
      <c r="I319" s="17">
        <f>I318+I317+I316</f>
        <v>940260.21530003264</v>
      </c>
      <c r="J319" s="17">
        <f t="shared" ref="J319:K319" si="157">J318+J317+J316</f>
        <v>1352146.4650253812</v>
      </c>
      <c r="K319" s="17">
        <f t="shared" si="157"/>
        <v>1879340.7458649953</v>
      </c>
    </row>
    <row r="321" spans="2:18" x14ac:dyDescent="0.45">
      <c r="B321" s="1" t="s">
        <v>132</v>
      </c>
      <c r="I321" s="17">
        <v>418200</v>
      </c>
    </row>
    <row r="327" spans="2:18" ht="40.5" x14ac:dyDescent="0.45">
      <c r="D327" s="265" t="s">
        <v>133</v>
      </c>
      <c r="E327" s="265"/>
      <c r="F327" s="265"/>
      <c r="G327" s="265"/>
      <c r="H327" s="265"/>
      <c r="I327" s="265"/>
      <c r="J327" s="265"/>
      <c r="K327" s="265"/>
    </row>
    <row r="328" spans="2:18" ht="18.75" thickBot="1" x14ac:dyDescent="0.5"/>
    <row r="329" spans="2:18" ht="33" thickBot="1" x14ac:dyDescent="0.5">
      <c r="D329" s="266" t="s">
        <v>134</v>
      </c>
      <c r="E329" s="266"/>
      <c r="F329" s="266"/>
      <c r="G329" s="266"/>
      <c r="H329" s="266"/>
      <c r="I329" s="266"/>
      <c r="J329" s="266"/>
      <c r="K329" s="266"/>
      <c r="Q329" s="75" t="s">
        <v>109</v>
      </c>
    </row>
    <row r="330" spans="2:18" ht="18.75" thickBot="1" x14ac:dyDescent="0.5">
      <c r="O330" s="263" t="s">
        <v>111</v>
      </c>
      <c r="P330" s="264"/>
      <c r="Q330" s="74">
        <v>4061360</v>
      </c>
    </row>
    <row r="331" spans="2:18" ht="18.75" thickBot="1" x14ac:dyDescent="0.5"/>
    <row r="332" spans="2:18" ht="18.75" thickBot="1" x14ac:dyDescent="0.5">
      <c r="P332" s="76" t="s">
        <v>112</v>
      </c>
      <c r="Q332" s="77">
        <f>Q330*H8/10^6</f>
        <v>848623.20267999999</v>
      </c>
      <c r="R332" s="79"/>
    </row>
    <row r="333" spans="2:18" ht="19.5" thickBot="1" x14ac:dyDescent="0.5">
      <c r="D333" s="267" t="s">
        <v>135</v>
      </c>
      <c r="E333" s="267" t="s">
        <v>136</v>
      </c>
      <c r="F333" s="267" t="s">
        <v>137</v>
      </c>
      <c r="G333" s="267"/>
      <c r="H333" s="268" t="s">
        <v>138</v>
      </c>
      <c r="I333" s="269"/>
      <c r="J333" s="267" t="s">
        <v>139</v>
      </c>
      <c r="K333" s="267"/>
      <c r="P333" s="78" t="s">
        <v>113</v>
      </c>
      <c r="Q333" s="80">
        <f>Q330*I8/10^6</f>
        <v>1015340</v>
      </c>
      <c r="R333" s="84">
        <f>Q333-Q332</f>
        <v>166716.79732000001</v>
      </c>
    </row>
    <row r="334" spans="2:18" ht="19.5" thickBot="1" x14ac:dyDescent="0.5">
      <c r="D334" s="267"/>
      <c r="E334" s="267"/>
      <c r="F334" s="168" t="s">
        <v>140</v>
      </c>
      <c r="G334" s="168" t="s">
        <v>141</v>
      </c>
      <c r="H334" s="168" t="s">
        <v>140</v>
      </c>
      <c r="I334" s="168" t="s">
        <v>141</v>
      </c>
      <c r="J334" s="168" t="s">
        <v>140</v>
      </c>
      <c r="K334" s="168" t="s">
        <v>141</v>
      </c>
      <c r="P334" s="78" t="s">
        <v>114</v>
      </c>
      <c r="Q334" s="80">
        <f>Q330*J8/10^6</f>
        <v>1299635.2</v>
      </c>
      <c r="R334" s="83">
        <f t="shared" ref="R334:R335" si="158">Q334-Q333</f>
        <v>284295.19999999995</v>
      </c>
    </row>
    <row r="335" spans="2:18" ht="19.5" thickBot="1" x14ac:dyDescent="0.5">
      <c r="D335" s="169" t="s">
        <v>89</v>
      </c>
      <c r="E335" s="169" t="s">
        <v>142</v>
      </c>
      <c r="F335" s="170">
        <v>7876552</v>
      </c>
      <c r="G335" s="170">
        <v>926</v>
      </c>
      <c r="H335" s="170">
        <v>5640534</v>
      </c>
      <c r="I335" s="170">
        <v>891</v>
      </c>
      <c r="J335" s="170">
        <v>8460801</v>
      </c>
      <c r="K335" s="170">
        <v>1336</v>
      </c>
      <c r="P335" s="81" t="s">
        <v>115</v>
      </c>
      <c r="Q335" s="82">
        <f>Q330*K8/10^6</f>
        <v>1559562.24</v>
      </c>
      <c r="R335" s="83">
        <f t="shared" si="158"/>
        <v>259927.04000000004</v>
      </c>
    </row>
    <row r="336" spans="2:18" ht="18.75" x14ac:dyDescent="0.45">
      <c r="D336" s="169" t="s">
        <v>143</v>
      </c>
      <c r="E336" s="169" t="s">
        <v>144</v>
      </c>
      <c r="F336" s="170">
        <v>47000</v>
      </c>
      <c r="G336" s="170">
        <v>8621</v>
      </c>
      <c r="H336" s="170">
        <v>30000</v>
      </c>
      <c r="I336" s="170">
        <v>5139</v>
      </c>
      <c r="J336" s="170">
        <v>70000</v>
      </c>
      <c r="K336" s="170">
        <v>15400</v>
      </c>
    </row>
    <row r="337" spans="4:11" ht="18.75" x14ac:dyDescent="0.45">
      <c r="D337" s="169" t="s">
        <v>145</v>
      </c>
      <c r="E337" s="169" t="s">
        <v>146</v>
      </c>
      <c r="F337" s="170">
        <v>3780000</v>
      </c>
      <c r="G337" s="170">
        <v>809</v>
      </c>
      <c r="H337" s="170">
        <v>800000</v>
      </c>
      <c r="I337" s="170">
        <v>205</v>
      </c>
      <c r="J337" s="170">
        <v>1200000</v>
      </c>
      <c r="K337" s="170">
        <v>308</v>
      </c>
    </row>
    <row r="338" spans="4:11" ht="18.75" x14ac:dyDescent="0.45">
      <c r="D338" s="168" t="s">
        <v>147</v>
      </c>
      <c r="E338" s="169" t="s">
        <v>146</v>
      </c>
      <c r="F338" s="168">
        <v>372000</v>
      </c>
      <c r="G338" s="168">
        <v>72</v>
      </c>
      <c r="H338" s="168">
        <v>60000</v>
      </c>
      <c r="I338" s="171">
        <v>121</v>
      </c>
      <c r="J338" s="168">
        <v>558000</v>
      </c>
      <c r="K338" s="168">
        <v>112</v>
      </c>
    </row>
    <row r="341" spans="4:11" x14ac:dyDescent="0.45">
      <c r="F341" s="17" t="s">
        <v>148</v>
      </c>
      <c r="H341" s="17" t="s">
        <v>148</v>
      </c>
      <c r="J341" s="17" t="s">
        <v>148</v>
      </c>
    </row>
    <row r="342" spans="4:11" x14ac:dyDescent="0.45">
      <c r="D342" s="17" t="s">
        <v>47</v>
      </c>
      <c r="E342" s="17" t="s">
        <v>149</v>
      </c>
      <c r="F342" s="17">
        <v>2697</v>
      </c>
      <c r="H342" s="17">
        <v>0</v>
      </c>
      <c r="J342" s="17">
        <v>4219</v>
      </c>
    </row>
    <row r="343" spans="4:11" x14ac:dyDescent="0.45">
      <c r="D343" s="17" t="s">
        <v>48</v>
      </c>
      <c r="E343" s="17" t="s">
        <v>149</v>
      </c>
      <c r="F343" s="17">
        <v>8502</v>
      </c>
      <c r="H343" s="17">
        <v>11783</v>
      </c>
      <c r="J343" s="17">
        <v>8798</v>
      </c>
    </row>
    <row r="344" spans="4:11" x14ac:dyDescent="0.45">
      <c r="D344" s="17" t="s">
        <v>96</v>
      </c>
      <c r="E344" s="17" t="s">
        <v>149</v>
      </c>
      <c r="F344" s="17">
        <v>0</v>
      </c>
      <c r="H344" s="17">
        <v>1.9</v>
      </c>
      <c r="J344" s="17">
        <v>3.5</v>
      </c>
    </row>
    <row r="345" spans="4:11" x14ac:dyDescent="0.45">
      <c r="D345" s="17" t="s">
        <v>3</v>
      </c>
      <c r="E345" s="17" t="s">
        <v>149</v>
      </c>
      <c r="F345" s="17">
        <f>F343+F342+F344</f>
        <v>11199</v>
      </c>
      <c r="H345" s="17">
        <f t="shared" ref="H345:J345" si="159">H343+H342+H344</f>
        <v>11784.9</v>
      </c>
      <c r="J345" s="17">
        <f t="shared" si="159"/>
        <v>13020.5</v>
      </c>
    </row>
    <row r="346" spans="4:11" x14ac:dyDescent="0.45">
      <c r="D346" s="172" t="s">
        <v>150</v>
      </c>
      <c r="E346" s="126" t="s">
        <v>151</v>
      </c>
      <c r="F346" s="126">
        <f>F335/F345</f>
        <v>703.32636842575232</v>
      </c>
      <c r="G346" s="126"/>
      <c r="H346" s="126">
        <f>H335/H345</f>
        <v>478.62383219204236</v>
      </c>
      <c r="I346" s="126"/>
      <c r="J346" s="126">
        <f>J335/J345</f>
        <v>649.80615183748705</v>
      </c>
      <c r="K346" s="18">
        <f>AVERAGE(F346:J346)</f>
        <v>610.58545081842726</v>
      </c>
    </row>
    <row r="347" spans="4:11" x14ac:dyDescent="0.45">
      <c r="D347" s="172" t="s">
        <v>152</v>
      </c>
      <c r="E347" s="126" t="s">
        <v>153</v>
      </c>
      <c r="F347" s="126">
        <f>F336/F345*1000</f>
        <v>4196.8032860076792</v>
      </c>
      <c r="G347" s="126"/>
      <c r="H347" s="126">
        <f t="shared" ref="H347:J347" si="160">H336/H345*1000</f>
        <v>2545.6304253748444</v>
      </c>
      <c r="I347" s="126"/>
      <c r="J347" s="126">
        <f t="shared" si="160"/>
        <v>5376.1376291233055</v>
      </c>
      <c r="K347" s="18">
        <f>AVERAGE(F347:J347)</f>
        <v>4039.5237801686103</v>
      </c>
    </row>
  </sheetData>
  <mergeCells count="9">
    <mergeCell ref="C149:H149"/>
    <mergeCell ref="O330:P330"/>
    <mergeCell ref="D327:K327"/>
    <mergeCell ref="D329:K329"/>
    <mergeCell ref="D333:D334"/>
    <mergeCell ref="E333:E334"/>
    <mergeCell ref="F333:G333"/>
    <mergeCell ref="H333:I333"/>
    <mergeCell ref="J333:K333"/>
  </mergeCells>
  <phoneticPr fontId="6" type="noConversion"/>
  <pageMargins left="0.7" right="0.7" top="0.75" bottom="0.75" header="0.3" footer="0.3"/>
  <pageSetup orientation="portrait" r:id="rId1"/>
  <ignoredErrors>
    <ignoredError sqref="E111:H111 C111:D111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EAC5-172E-4C16-8C5D-5FD25F203C80}">
  <dimension ref="B1:AX56"/>
  <sheetViews>
    <sheetView rightToLeft="1" zoomScale="120" zoomScaleNormal="120" workbookViewId="0">
      <selection activeCell="C2" sqref="C2:C4"/>
    </sheetView>
  </sheetViews>
  <sheetFormatPr defaultRowHeight="15" x14ac:dyDescent="0.25"/>
  <cols>
    <col min="2" max="2" width="12.140625" bestFit="1" customWidth="1"/>
    <col min="3" max="3" width="12.140625" customWidth="1"/>
    <col min="5" max="7" width="10.28515625" customWidth="1"/>
    <col min="48" max="48" width="6.28515625" bestFit="1" customWidth="1"/>
    <col min="49" max="49" width="63.42578125" bestFit="1" customWidth="1"/>
    <col min="50" max="50" width="88" bestFit="1" customWidth="1"/>
  </cols>
  <sheetData>
    <row r="1" spans="2:50" ht="15.75" thickBot="1" x14ac:dyDescent="0.3"/>
    <row r="2" spans="2:50" x14ac:dyDescent="0.25">
      <c r="B2" s="224" t="s">
        <v>11</v>
      </c>
      <c r="C2" s="240">
        <f>AVERAGE(G2:I2)</f>
        <v>0.7243043484731494</v>
      </c>
      <c r="D2" s="241">
        <v>0.37184470884698539</v>
      </c>
      <c r="E2" s="241">
        <v>0.49371883088188878</v>
      </c>
      <c r="F2" s="241">
        <v>0.56961556884933573</v>
      </c>
      <c r="G2" s="241">
        <v>0.66635886022322555</v>
      </c>
      <c r="H2" s="241">
        <v>0.75742683687533141</v>
      </c>
      <c r="I2" s="242">
        <v>0.74912734832089112</v>
      </c>
      <c r="O2">
        <v>2011</v>
      </c>
      <c r="P2">
        <v>138</v>
      </c>
      <c r="AB2" t="s">
        <v>203</v>
      </c>
      <c r="AC2">
        <v>68</v>
      </c>
    </row>
    <row r="3" spans="2:50" ht="15.75" thickBot="1" x14ac:dyDescent="0.3">
      <c r="B3" s="225" t="s">
        <v>12</v>
      </c>
      <c r="C3" s="243">
        <f t="shared" ref="C3:C4" si="0">AVERAGE(G3:I3)</f>
        <v>4.9569170623701919E-2</v>
      </c>
      <c r="D3" s="244">
        <v>0.10867230789055453</v>
      </c>
      <c r="E3" s="244">
        <v>8.0224596795520353E-2</v>
      </c>
      <c r="F3" s="244">
        <v>6.5733981134997496E-2</v>
      </c>
      <c r="G3" s="244">
        <v>5.577452755152857E-2</v>
      </c>
      <c r="H3" s="244">
        <v>4.2124805130139664E-2</v>
      </c>
      <c r="I3" s="245">
        <v>5.080817918943753E-2</v>
      </c>
      <c r="O3">
        <v>2012</v>
      </c>
      <c r="P3">
        <v>138</v>
      </c>
      <c r="AB3" t="s">
        <v>204</v>
      </c>
      <c r="AC3">
        <v>44</v>
      </c>
    </row>
    <row r="4" spans="2:50" x14ac:dyDescent="0.25">
      <c r="B4" s="225" t="s">
        <v>13</v>
      </c>
      <c r="C4" s="243">
        <f t="shared" si="0"/>
        <v>0.22612648090314871</v>
      </c>
      <c r="D4" s="244">
        <v>0.51948298326246012</v>
      </c>
      <c r="E4" s="244">
        <v>0.42605657232259087</v>
      </c>
      <c r="F4" s="244">
        <v>0.36465045001566682</v>
      </c>
      <c r="G4" s="244">
        <v>0.27786661222524589</v>
      </c>
      <c r="H4" s="244">
        <v>0.20044835799452895</v>
      </c>
      <c r="I4" s="245">
        <v>0.20006447248967132</v>
      </c>
      <c r="O4">
        <v>2013</v>
      </c>
      <c r="P4">
        <v>130</v>
      </c>
      <c r="AB4" t="s">
        <v>205</v>
      </c>
      <c r="AC4">
        <v>22</v>
      </c>
      <c r="AV4" s="231" t="s">
        <v>174</v>
      </c>
      <c r="AW4" s="232" t="s">
        <v>175</v>
      </c>
      <c r="AX4" s="233" t="s">
        <v>176</v>
      </c>
    </row>
    <row r="5" spans="2:50" x14ac:dyDescent="0.25">
      <c r="B5" s="225"/>
      <c r="C5" s="226"/>
      <c r="D5" s="226"/>
      <c r="E5" s="226"/>
      <c r="F5" s="226"/>
      <c r="G5" s="226"/>
      <c r="H5" s="226"/>
      <c r="I5" s="227"/>
      <c r="O5">
        <v>2014</v>
      </c>
      <c r="P5">
        <v>150</v>
      </c>
      <c r="AB5" t="s">
        <v>206</v>
      </c>
      <c r="AC5">
        <v>20</v>
      </c>
      <c r="AV5" s="234" t="s">
        <v>192</v>
      </c>
      <c r="AW5" s="235" t="s">
        <v>183</v>
      </c>
      <c r="AX5" s="236" t="s">
        <v>182</v>
      </c>
    </row>
    <row r="6" spans="2:50" x14ac:dyDescent="0.25">
      <c r="B6" s="225"/>
      <c r="C6" s="226"/>
      <c r="D6" s="226"/>
      <c r="E6" s="226"/>
      <c r="F6" s="226"/>
      <c r="G6" s="226"/>
      <c r="H6" s="226"/>
      <c r="I6" s="227"/>
      <c r="O6">
        <v>2015</v>
      </c>
      <c r="P6">
        <v>168.2</v>
      </c>
      <c r="AB6" t="s">
        <v>207</v>
      </c>
      <c r="AC6">
        <v>12</v>
      </c>
      <c r="AV6" s="234" t="s">
        <v>168</v>
      </c>
      <c r="AW6" s="235" t="s">
        <v>184</v>
      </c>
      <c r="AX6" s="236" t="s">
        <v>181</v>
      </c>
    </row>
    <row r="7" spans="2:50" x14ac:dyDescent="0.25">
      <c r="B7" s="225"/>
      <c r="C7" s="226"/>
      <c r="D7" s="226"/>
      <c r="E7" s="226"/>
      <c r="F7" s="226"/>
      <c r="G7" s="226"/>
      <c r="H7" s="226"/>
      <c r="I7" s="227"/>
      <c r="O7">
        <v>2016</v>
      </c>
      <c r="P7">
        <v>157.30000000000001</v>
      </c>
      <c r="AB7" t="s">
        <v>208</v>
      </c>
      <c r="AC7">
        <v>11</v>
      </c>
      <c r="AV7" s="234" t="s">
        <v>177</v>
      </c>
      <c r="AW7" s="235" t="s">
        <v>186</v>
      </c>
      <c r="AX7" s="236" t="s">
        <v>185</v>
      </c>
    </row>
    <row r="8" spans="2:50" x14ac:dyDescent="0.25">
      <c r="B8" s="225"/>
      <c r="C8" s="226"/>
      <c r="D8" s="226"/>
      <c r="E8" s="226"/>
      <c r="F8" s="226"/>
      <c r="G8" s="226"/>
      <c r="H8" s="226"/>
      <c r="I8" s="227"/>
      <c r="O8">
        <v>2017</v>
      </c>
      <c r="P8">
        <v>140</v>
      </c>
      <c r="AB8" t="s">
        <v>209</v>
      </c>
      <c r="AC8">
        <v>10</v>
      </c>
      <c r="AV8" s="234" t="s">
        <v>178</v>
      </c>
      <c r="AW8" s="235" t="s">
        <v>188</v>
      </c>
      <c r="AX8" s="236" t="s">
        <v>187</v>
      </c>
    </row>
    <row r="9" spans="2:50" x14ac:dyDescent="0.25">
      <c r="B9" s="225"/>
      <c r="C9" s="226"/>
      <c r="D9" s="226"/>
      <c r="E9" s="226"/>
      <c r="F9" s="226"/>
      <c r="G9" s="226"/>
      <c r="H9" s="226"/>
      <c r="I9" s="227"/>
      <c r="O9">
        <v>2018</v>
      </c>
      <c r="P9">
        <v>130</v>
      </c>
      <c r="AB9" t="s">
        <v>210</v>
      </c>
      <c r="AC9">
        <v>4.8</v>
      </c>
      <c r="AV9" s="234" t="s">
        <v>179</v>
      </c>
      <c r="AW9" s="235" t="s">
        <v>190</v>
      </c>
      <c r="AX9" s="236" t="s">
        <v>189</v>
      </c>
    </row>
    <row r="10" spans="2:50" x14ac:dyDescent="0.25">
      <c r="B10" s="225"/>
      <c r="C10" s="226"/>
      <c r="D10" s="226"/>
      <c r="E10" s="226"/>
      <c r="F10" s="226"/>
      <c r="G10" s="226"/>
      <c r="H10" s="226"/>
      <c r="I10" s="227"/>
      <c r="O10">
        <v>2019</v>
      </c>
      <c r="P10">
        <v>130</v>
      </c>
      <c r="AB10" t="s">
        <v>211</v>
      </c>
      <c r="AC10">
        <v>3.6</v>
      </c>
      <c r="AV10" s="234" t="s">
        <v>180</v>
      </c>
      <c r="AW10" s="235" t="s">
        <v>79</v>
      </c>
      <c r="AX10" s="236" t="s">
        <v>191</v>
      </c>
    </row>
    <row r="11" spans="2:50" x14ac:dyDescent="0.25">
      <c r="B11" s="225"/>
      <c r="C11" s="226"/>
      <c r="D11" s="226"/>
      <c r="E11" s="226"/>
      <c r="F11" s="226"/>
      <c r="G11" s="226"/>
      <c r="H11" s="226"/>
      <c r="I11" s="227"/>
      <c r="O11">
        <v>2020</v>
      </c>
      <c r="P11">
        <v>132</v>
      </c>
      <c r="AB11" t="s">
        <v>212</v>
      </c>
      <c r="AC11">
        <v>2.2999999999999998</v>
      </c>
      <c r="AV11" s="234" t="s">
        <v>193</v>
      </c>
      <c r="AW11" s="235" t="s">
        <v>195</v>
      </c>
      <c r="AX11" s="236" t="s">
        <v>194</v>
      </c>
    </row>
    <row r="12" spans="2:50" x14ac:dyDescent="0.25">
      <c r="B12" s="225"/>
      <c r="C12" s="226"/>
      <c r="D12" s="226"/>
      <c r="E12" s="226"/>
      <c r="F12" s="226"/>
      <c r="G12" s="226"/>
      <c r="H12" s="226"/>
      <c r="I12" s="227"/>
      <c r="AB12" t="s">
        <v>23</v>
      </c>
      <c r="AC12">
        <v>34</v>
      </c>
      <c r="AV12" s="234" t="s">
        <v>196</v>
      </c>
      <c r="AW12" s="235" t="s">
        <v>183</v>
      </c>
      <c r="AX12" s="236" t="s">
        <v>197</v>
      </c>
    </row>
    <row r="13" spans="2:50" x14ac:dyDescent="0.25">
      <c r="B13" s="225"/>
      <c r="C13" s="226"/>
      <c r="D13" s="226"/>
      <c r="E13" s="226"/>
      <c r="F13" s="226"/>
      <c r="G13" s="226"/>
      <c r="H13" s="226"/>
      <c r="I13" s="227"/>
      <c r="AV13" s="234" t="s">
        <v>198</v>
      </c>
      <c r="AW13" s="235" t="s">
        <v>200</v>
      </c>
      <c r="AX13" s="236" t="s">
        <v>199</v>
      </c>
    </row>
    <row r="14" spans="2:50" ht="15.75" thickBot="1" x14ac:dyDescent="0.3">
      <c r="B14" s="225"/>
      <c r="C14" s="226"/>
      <c r="D14" s="226"/>
      <c r="E14" s="226"/>
      <c r="F14" s="226"/>
      <c r="G14" s="226"/>
      <c r="H14" s="226"/>
      <c r="I14" s="227"/>
      <c r="AV14" s="237" t="s">
        <v>202</v>
      </c>
      <c r="AW14" s="238" t="s">
        <v>200</v>
      </c>
      <c r="AX14" s="239" t="s">
        <v>201</v>
      </c>
    </row>
    <row r="15" spans="2:50" x14ac:dyDescent="0.25">
      <c r="B15" s="225"/>
      <c r="C15" s="226"/>
      <c r="D15" s="226"/>
      <c r="E15" s="226"/>
      <c r="F15" s="226"/>
      <c r="G15" s="226"/>
      <c r="H15" s="226"/>
      <c r="I15" s="227"/>
    </row>
    <row r="16" spans="2:50" x14ac:dyDescent="0.25">
      <c r="B16" s="225"/>
      <c r="C16" s="226"/>
      <c r="D16" s="226"/>
      <c r="E16" s="226"/>
      <c r="F16" s="226"/>
      <c r="G16" s="226"/>
      <c r="H16" s="226"/>
      <c r="I16" s="227"/>
    </row>
    <row r="17" spans="2:16" x14ac:dyDescent="0.25">
      <c r="B17" s="225"/>
      <c r="C17" s="226"/>
      <c r="D17" s="226"/>
      <c r="E17" s="226"/>
      <c r="F17" s="226"/>
      <c r="G17" s="226"/>
      <c r="H17" s="226"/>
      <c r="I17" s="227"/>
    </row>
    <row r="18" spans="2:16" x14ac:dyDescent="0.25">
      <c r="B18" s="225"/>
      <c r="C18" s="226"/>
      <c r="D18" s="226"/>
      <c r="E18" s="226"/>
      <c r="F18" s="226"/>
      <c r="G18" s="226"/>
      <c r="H18" s="226"/>
      <c r="I18" s="227"/>
    </row>
    <row r="19" spans="2:16" x14ac:dyDescent="0.25">
      <c r="B19" s="225"/>
      <c r="C19" s="226"/>
      <c r="D19" s="226"/>
      <c r="E19" s="226"/>
      <c r="F19" s="226"/>
      <c r="G19" s="226"/>
      <c r="H19" s="226"/>
      <c r="I19" s="227"/>
    </row>
    <row r="20" spans="2:16" x14ac:dyDescent="0.25">
      <c r="B20" s="225"/>
      <c r="C20" s="226"/>
      <c r="D20" s="226"/>
      <c r="E20" s="226"/>
      <c r="F20" s="226"/>
      <c r="G20" s="226"/>
      <c r="H20" s="226"/>
      <c r="I20" s="227"/>
    </row>
    <row r="21" spans="2:16" ht="15.75" thickBot="1" x14ac:dyDescent="0.3">
      <c r="B21" s="228"/>
      <c r="C21" s="229"/>
      <c r="D21" s="229"/>
      <c r="E21" s="229"/>
      <c r="F21" s="229"/>
      <c r="G21" s="229"/>
      <c r="H21" s="229"/>
      <c r="I21" s="230"/>
    </row>
    <row r="23" spans="2:16" x14ac:dyDescent="0.25">
      <c r="O23" t="s">
        <v>203</v>
      </c>
      <c r="P23">
        <v>36</v>
      </c>
    </row>
    <row r="24" spans="2:16" x14ac:dyDescent="0.25">
      <c r="O24" t="s">
        <v>204</v>
      </c>
      <c r="P24">
        <v>18</v>
      </c>
    </row>
    <row r="25" spans="2:16" x14ac:dyDescent="0.25">
      <c r="O25" t="s">
        <v>206</v>
      </c>
      <c r="P25">
        <v>6</v>
      </c>
    </row>
    <row r="26" spans="2:16" x14ac:dyDescent="0.25">
      <c r="O26" t="s">
        <v>205</v>
      </c>
      <c r="P26">
        <v>5.6</v>
      </c>
    </row>
    <row r="27" spans="2:16" x14ac:dyDescent="0.25">
      <c r="O27" t="s">
        <v>208</v>
      </c>
      <c r="P27">
        <v>5</v>
      </c>
    </row>
    <row r="28" spans="2:16" x14ac:dyDescent="0.25">
      <c r="O28" t="s">
        <v>213</v>
      </c>
      <c r="P28">
        <v>4</v>
      </c>
    </row>
    <row r="29" spans="2:16" x14ac:dyDescent="0.25">
      <c r="O29" t="s">
        <v>209</v>
      </c>
      <c r="P29">
        <v>2.5</v>
      </c>
    </row>
    <row r="30" spans="2:16" x14ac:dyDescent="0.25">
      <c r="O30" t="s">
        <v>207</v>
      </c>
      <c r="P30">
        <v>2</v>
      </c>
    </row>
    <row r="31" spans="2:16" x14ac:dyDescent="0.25">
      <c r="O31" t="s">
        <v>210</v>
      </c>
      <c r="P31">
        <v>1.6</v>
      </c>
    </row>
    <row r="32" spans="2:16" x14ac:dyDescent="0.25">
      <c r="O32" t="s">
        <v>211</v>
      </c>
      <c r="P32">
        <v>1.1000000000000001</v>
      </c>
    </row>
    <row r="33" spans="3:16" x14ac:dyDescent="0.25">
      <c r="O33" t="s">
        <v>214</v>
      </c>
      <c r="P33">
        <v>0.86</v>
      </c>
    </row>
    <row r="34" spans="3:16" x14ac:dyDescent="0.25">
      <c r="O34" t="s">
        <v>23</v>
      </c>
      <c r="P34">
        <v>5</v>
      </c>
    </row>
    <row r="37" spans="3:16" x14ac:dyDescent="0.25">
      <c r="C37" t="s">
        <v>92</v>
      </c>
    </row>
    <row r="38" spans="3:16" x14ac:dyDescent="0.25">
      <c r="C38" t="s">
        <v>215</v>
      </c>
      <c r="D38">
        <v>0.86</v>
      </c>
    </row>
    <row r="39" spans="3:16" ht="30" x14ac:dyDescent="0.25">
      <c r="C39" s="247" t="s">
        <v>216</v>
      </c>
      <c r="D39">
        <v>7.0000000000000007E-2</v>
      </c>
    </row>
    <row r="40" spans="3:16" x14ac:dyDescent="0.25">
      <c r="C40" s="246" t="s">
        <v>217</v>
      </c>
      <c r="D40">
        <v>0.05</v>
      </c>
    </row>
    <row r="41" spans="3:16" x14ac:dyDescent="0.25">
      <c r="C41" t="s">
        <v>23</v>
      </c>
      <c r="D41">
        <v>0.02</v>
      </c>
    </row>
    <row r="50" spans="3:4" x14ac:dyDescent="0.25">
      <c r="C50" t="s">
        <v>91</v>
      </c>
    </row>
    <row r="51" spans="3:4" x14ac:dyDescent="0.25">
      <c r="C51" t="s">
        <v>218</v>
      </c>
      <c r="D51">
        <v>0.55000000000000004</v>
      </c>
    </row>
    <row r="52" spans="3:4" x14ac:dyDescent="0.25">
      <c r="C52" t="s">
        <v>219</v>
      </c>
      <c r="D52">
        <v>0.17</v>
      </c>
    </row>
    <row r="53" spans="3:4" x14ac:dyDescent="0.25">
      <c r="C53" t="s">
        <v>220</v>
      </c>
      <c r="D53">
        <v>0.17</v>
      </c>
    </row>
    <row r="54" spans="3:4" x14ac:dyDescent="0.25">
      <c r="C54" t="s">
        <v>221</v>
      </c>
      <c r="D54">
        <v>0.06</v>
      </c>
    </row>
    <row r="55" spans="3:4" x14ac:dyDescent="0.25">
      <c r="C55" t="s">
        <v>222</v>
      </c>
      <c r="D55">
        <v>0.06</v>
      </c>
    </row>
    <row r="56" spans="3:4" x14ac:dyDescent="0.25">
      <c r="C56" t="s">
        <v>23</v>
      </c>
      <c r="D56">
        <v>0.04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فسرب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sabzeh</dc:creator>
  <cp:lastModifiedBy>sabzeh</cp:lastModifiedBy>
  <dcterms:created xsi:type="dcterms:W3CDTF">2015-06-05T18:17:20Z</dcterms:created>
  <dcterms:modified xsi:type="dcterms:W3CDTF">2021-10-16T09:44:48Z</dcterms:modified>
</cp:coreProperties>
</file>