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rlock/Desktop/"/>
    </mc:Choice>
  </mc:AlternateContent>
  <xr:revisionPtr revIDLastSave="0" documentId="13_ncr:1_{717BAD68-249E-2B48-80D2-9B7A8AE039D6}" xr6:coauthVersionLast="47" xr6:coauthVersionMax="47" xr10:uidLastSave="{00000000-0000-0000-0000-000000000000}"/>
  <bookViews>
    <workbookView xWindow="0" yWindow="740" windowWidth="29400" windowHeight="16700" xr2:uid="{086B0AE1-0727-BB4D-8246-02FC9D57C617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 a="1"/>
  <c r="L4" i="1" s="1"/>
  <c r="T4" i="1" s="1"/>
  <c r="Y4" i="1" s="1"/>
  <c r="Z4" i="1" s="1"/>
  <c r="AA11" i="1"/>
  <c r="AC11" i="1" s="1"/>
  <c r="X11" i="1"/>
  <c r="W11" i="1"/>
  <c r="U11" i="1"/>
  <c r="Q11" i="1" a="1"/>
  <c r="Q11" i="1" s="1"/>
  <c r="T11" i="1" s="1"/>
  <c r="Y11" i="1" s="1"/>
  <c r="Z11" i="1" s="1"/>
  <c r="AB10" i="1"/>
  <c r="AA10" i="1"/>
  <c r="AC10" i="1" s="1"/>
  <c r="X10" i="1"/>
  <c r="W10" i="1"/>
  <c r="U10" i="1"/>
  <c r="Q10" i="1" a="1"/>
  <c r="Q10" i="1" s="1"/>
  <c r="T10" i="1" s="1"/>
  <c r="Y10" i="1" s="1"/>
  <c r="Z10" i="1" s="1"/>
  <c r="AC9" i="1"/>
  <c r="AA9" i="1"/>
  <c r="AB9" i="1" s="1"/>
  <c r="X9" i="1"/>
  <c r="W9" i="1"/>
  <c r="Q9" i="1" a="1"/>
  <c r="Q9" i="1" s="1"/>
  <c r="T9" i="1" s="1"/>
  <c r="Y9" i="1" s="1"/>
  <c r="Z9" i="1" s="1"/>
  <c r="AC8" i="1"/>
  <c r="AB8" i="1"/>
  <c r="AA8" i="1"/>
  <c r="X8" i="1"/>
  <c r="W8" i="1"/>
  <c r="Q8" i="1" a="1"/>
  <c r="Q8" i="1" s="1"/>
  <c r="T8" i="1" s="1"/>
  <c r="Y8" i="1" s="1"/>
  <c r="Z8" i="1" s="1"/>
  <c r="AA7" i="1"/>
  <c r="AC7" i="1" s="1"/>
  <c r="X7" i="1"/>
  <c r="W7" i="1"/>
  <c r="S7" i="1" a="1"/>
  <c r="S7" i="1" s="1"/>
  <c r="Q7" i="1" a="1"/>
  <c r="Q7" i="1" s="1"/>
  <c r="T7" i="1" s="1"/>
  <c r="Y7" i="1" s="1"/>
  <c r="Z7" i="1" s="1"/>
  <c r="AC6" i="1"/>
  <c r="AA6" i="1"/>
  <c r="AB6" i="1" s="1"/>
  <c r="X6" i="1"/>
  <c r="W6" i="1"/>
  <c r="S6" i="1"/>
  <c r="S6" i="1" a="1"/>
  <c r="Q6" i="1" a="1"/>
  <c r="Q6" i="1" s="1"/>
  <c r="T6" i="1" s="1"/>
  <c r="Y6" i="1" s="1"/>
  <c r="Z6" i="1" s="1"/>
  <c r="AB5" i="1"/>
  <c r="AA5" i="1"/>
  <c r="AC5" i="1" s="1"/>
  <c r="W5" i="1"/>
  <c r="S5" i="1" a="1"/>
  <c r="S5" i="1" s="1"/>
  <c r="Q5" i="1" a="1"/>
  <c r="Q5" i="1" s="1"/>
  <c r="AC4" i="1"/>
  <c r="AA4" i="1"/>
  <c r="AB4" i="1" s="1"/>
  <c r="W4" i="1"/>
  <c r="S4" i="1" a="1"/>
  <c r="S4" i="1" s="1"/>
  <c r="Q4" i="1" a="1"/>
  <c r="Q4" i="1" s="1"/>
  <c r="T5" i="1" l="1"/>
  <c r="Y5" i="1" s="1"/>
  <c r="Z5" i="1" s="1"/>
  <c r="AE8" i="1"/>
  <c r="AH8" i="1" s="1"/>
  <c r="AD8" i="1"/>
  <c r="AD10" i="1"/>
  <c r="AE10" i="1"/>
  <c r="AH10" i="1" s="1"/>
  <c r="AE7" i="1"/>
  <c r="AH7" i="1" s="1"/>
  <c r="AD7" i="1"/>
  <c r="AE9" i="1"/>
  <c r="AH9" i="1" s="1"/>
  <c r="AD9" i="1"/>
  <c r="AE4" i="1"/>
  <c r="AH4" i="1" s="1"/>
  <c r="AD4" i="1"/>
  <c r="AE11" i="1"/>
  <c r="AH11" i="1" s="1"/>
  <c r="AE6" i="1"/>
  <c r="AH6" i="1" s="1"/>
  <c r="AD6" i="1"/>
  <c r="AB11" i="1"/>
  <c r="AD11" i="1" s="1"/>
  <c r="AB7" i="1"/>
  <c r="AE5" i="1" l="1"/>
  <c r="AH5" i="1" s="1"/>
  <c r="AD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<sst xmlns="http://schemas.openxmlformats.org/spreadsheetml/2006/main" count="96" uniqueCount="62">
  <si>
    <t>ABS溴化锂外加工管板计价表-约克供料</t>
  </si>
  <si>
    <t>旧物料编号</t>
  </si>
  <si>
    <t>SAP
物料号</t>
  </si>
  <si>
    <t>物料
描述</t>
  </si>
  <si>
    <t>版本号</t>
  </si>
  <si>
    <t>加工
内容</t>
  </si>
  <si>
    <t>管板材质</t>
  </si>
  <si>
    <t>外型尺寸(m)</t>
  </si>
  <si>
    <t>孔径
mm</t>
  </si>
  <si>
    <t>钻孔费</t>
  </si>
  <si>
    <t>侧边
破口</t>
  </si>
  <si>
    <t>喷     砂</t>
  </si>
  <si>
    <t>矫
平</t>
  </si>
  <si>
    <t>机
加工</t>
  </si>
  <si>
    <t>FY25合计
含税价</t>
  </si>
  <si>
    <t>FY25合计
未税价</t>
  </si>
  <si>
    <t>面积计算
m²</t>
  </si>
  <si>
    <t>涂黑漆人工
未税</t>
  </si>
  <si>
    <t>涂黑漆
人工+材料
未税</t>
  </si>
  <si>
    <t>涂黑漆
（人工）后
未税合计</t>
  </si>
  <si>
    <t>涂黑漆
（人工+材料）后未税合计</t>
  </si>
  <si>
    <t>材质</t>
  </si>
  <si>
    <t>现系统未税价</t>
  </si>
  <si>
    <t>差额</t>
  </si>
  <si>
    <t>厚
mm</t>
  </si>
  <si>
    <t>长/直径</t>
  </si>
  <si>
    <t>宽</t>
  </si>
  <si>
    <t>螺纹孔型号</t>
  </si>
  <si>
    <t>螺纹孔数</t>
  </si>
  <si>
    <t>螺纹类别</t>
  </si>
  <si>
    <t>类别三</t>
  </si>
  <si>
    <t>抠槽
孔数</t>
  </si>
  <si>
    <t>合计</t>
  </si>
  <si>
    <t>094W27258J001</t>
  </si>
  <si>
    <t>ABS</t>
  </si>
  <si>
    <t>A</t>
  </si>
  <si>
    <t>钻孔，攻丝，倒角</t>
  </si>
  <si>
    <t>普通材质</t>
  </si>
  <si>
    <t>Ø16.15</t>
  </si>
  <si>
    <t>M20</t>
  </si>
  <si>
    <t>螺纹盲孔</t>
  </si>
  <si>
    <t>尖底</t>
    <phoneticPr fontId="0" type="noConversion"/>
  </si>
  <si>
    <t>SA/713Q345R带沟槽</t>
  </si>
  <si>
    <t>094W27258J002</t>
  </si>
  <si>
    <t>非ABS</t>
  </si>
  <si>
    <t>螺纹通孔</t>
  </si>
  <si>
    <t>093W59208-000</t>
  </si>
  <si>
    <t>B</t>
  </si>
  <si>
    <t>Q345R带沟槽</t>
  </si>
  <si>
    <t>093W59209-000</t>
  </si>
  <si>
    <t>ABS-约克供料</t>
  </si>
  <si>
    <t>094W35560Y000</t>
  </si>
  <si>
    <t>NEW</t>
  </si>
  <si>
    <t>094W35561Y000</t>
  </si>
  <si>
    <t>094W35562M000</t>
  </si>
  <si>
    <t>SA/GB713 Q345R带沟槽</t>
  </si>
  <si>
    <t>094W35563M000</t>
  </si>
  <si>
    <t>钻孔单价</t>
  </si>
  <si>
    <t>攻螺
纹单价</t>
  </si>
  <si>
    <t>抠槽单价</t>
  </si>
  <si>
    <t>钻孔孔数</t>
  </si>
  <si>
    <t>年份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</si>
</sst>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;\(0.00\)"/>
    <numFmt numFmtId="165" formatCode="0.0"/>
    <numFmt numFmtId="166" formatCode="0.00_ "/>
  </numFmts>
  <fonts count="14">
    <font>
      <sz val="12"/>
      <color theme="1"/>
      <name val="Aptos Narrow"/>
      <family val="2"/>
      <scheme val="minor"/>
    </font>
    <font>
      <sz val="11"/>
      <color indexed="8"/>
      <name val="Calibri"/>
      <family val="2"/>
    </font>
    <font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b/>
      <sz val="12"/>
      <name val="Calibri"/>
      <family val="3"/>
      <charset val="134"/>
    </font>
    <font>
      <sz val="12"/>
      <name val="Calibri"/>
      <family val="3"/>
      <charset val="134"/>
    </font>
    <font>
      <sz val="10"/>
      <name val="Calibri"/>
      <family val="3"/>
      <charset val="134"/>
    </font>
    <font>
      <sz val="10"/>
      <color rgb="FF000000"/>
      <name val="Calibri"/>
      <family val="3"/>
      <charset val="134"/>
    </font>
    <font>
      <sz val="11"/>
      <color rgb="FF000000"/>
      <name val="Calibri"/>
      <family val="3"/>
      <charset val="134"/>
    </font>
    <font>
      <sz val="9"/>
      <color rgb="FF000000"/>
      <name val="Calibri"/>
      <family val="3"/>
      <charset val="134"/>
    </font>
    <font>
      <sz val="11"/>
      <color theme="1"/>
      <name val="Calibri"/>
      <family val="2"/>
    </font>
    <font>
      <sz val="11"/>
      <name val="Calibri"/>
      <family val="3"/>
      <charset val="134"/>
    </font>
    <font>
      <sz val="11"/>
      <color rgb="FFEE0000"/>
      <name val="Calibri"/>
      <family val="3"/>
      <charset val="134"/>
    </font>
    <font>
      <sz val="12"/>
      <color rgb="FF000000"/>
      <name val="Calibr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BDD7EE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9">
    <xf numFmtId="0" fontId="0" fillId="0" borderId="0" xfId="0"/>
    <xf numFmtId="0" fontId="3" fillId="0" borderId="1" xfId="0" applyFont="1" applyBorder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164" fontId="7" fillId="2" borderId="1" xfId="1" applyNumberFormat="1" applyFont="1" applyFill="1" applyBorder="1" applyAlignment="1">
      <alignment horizontal="center" vertical="center" wrapText="1"/>
    </xf>
    <xf numFmtId="164" fontId="7" fillId="3" borderId="1" xfId="1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0" fontId="10" fillId="0" borderId="1" xfId="0" applyFont="1" applyBorder="1"/>
    <xf numFmtId="0" fontId="13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</cellXfs>
  <cellStyles count="3">
    <cellStyle name="_x0007_" xfId="1" xr:uid="{26D2F45E-4DDC-F74D-A0E3-99CA47EC469D}"/>
    <cellStyle name="_x0007_ 2" xfId="2" xr:uid="{88188A4A-8DFC-2D46-9B01-75FC214D4470}"/>
    <cellStyle name="Normal" xfId="0" builtinId="0"/>
  </cellStyles>
  <dxfs count="1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herlock/Desktop/Quote-2025-3&#24180;&#38477;&#20215;.xlsx" TargetMode="External"/><Relationship Id="rId1" Type="http://schemas.openxmlformats.org/officeDocument/2006/relationships/externalLinkPath" Target="Quote-2025-3&#24180;&#38477;&#2021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Q"/>
      <sheetName val="Lists"/>
      <sheetName val="Quote"/>
      <sheetName val="test"/>
      <sheetName val="Quote-2025-3年降价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EB2D1-8651-EC44-9B76-BD3173E6AB8D}">
  <dimension ref="A1:AI11"/>
  <sheetViews>
    <sheetView tabSelected="1" topLeftCell="M1" zoomScale="93" workbookViewId="0">
      <selection activeCell="AI9" sqref="AI9"/>
    </sheetView>
  </sheetViews>
  <sheetFormatPr baseColWidth="10" defaultRowHeight="16"/>
  <cols>
    <col min="1" max="1" width="27.83203125" customWidth="1"/>
    <col min="5" max="5" width="18" customWidth="1"/>
  </cols>
  <sheetData>
    <row r="1" spans="1: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  <c r="AH1" s="4"/>
    </row>
    <row r="2" spans="1:35">
      <c r="A2" s="5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5"/>
      <c r="I2" s="5"/>
      <c r="J2" s="5" t="s">
        <v>8</v>
      </c>
      <c r="K2" s="7" t="s">
        <v>9</v>
      </c>
      <c r="L2" s="7"/>
      <c r="M2" s="7"/>
      <c r="N2" s="7"/>
      <c r="O2" s="7"/>
      <c r="P2" s="7"/>
      <c r="Q2" s="7"/>
      <c r="R2" s="7"/>
      <c r="S2" s="7"/>
      <c r="T2" s="8"/>
      <c r="U2" s="9" t="s">
        <v>10</v>
      </c>
      <c r="V2" s="9" t="s">
        <v>11</v>
      </c>
      <c r="W2" s="9" t="s">
        <v>12</v>
      </c>
      <c r="X2" s="9" t="s">
        <v>13</v>
      </c>
      <c r="Y2" s="5" t="s">
        <v>14</v>
      </c>
      <c r="Z2" s="6" t="s">
        <v>15</v>
      </c>
      <c r="AA2" s="6" t="s">
        <v>16</v>
      </c>
      <c r="AB2" s="6" t="s">
        <v>17</v>
      </c>
      <c r="AC2" s="6" t="s">
        <v>18</v>
      </c>
      <c r="AD2" s="6" t="s">
        <v>19</v>
      </c>
      <c r="AE2" s="6" t="s">
        <v>20</v>
      </c>
      <c r="AF2" s="5" t="s">
        <v>21</v>
      </c>
      <c r="AG2" s="10" t="s">
        <v>22</v>
      </c>
      <c r="AH2" s="11" t="s">
        <v>23</v>
      </c>
      <c r="AI2" s="27" t="s">
        <v>61</v>
      </c>
    </row>
    <row r="3" spans="1:35" ht="30">
      <c r="A3" s="5"/>
      <c r="B3" s="5"/>
      <c r="C3" s="5"/>
      <c r="D3" s="12"/>
      <c r="E3" s="5"/>
      <c r="F3" s="5"/>
      <c r="G3" s="13" t="s">
        <v>24</v>
      </c>
      <c r="H3" s="13" t="s">
        <v>25</v>
      </c>
      <c r="I3" s="13" t="s">
        <v>26</v>
      </c>
      <c r="J3" s="5"/>
      <c r="K3" s="13" t="s">
        <v>60</v>
      </c>
      <c r="L3" s="14" t="s">
        <v>57</v>
      </c>
      <c r="M3" s="13" t="s">
        <v>27</v>
      </c>
      <c r="N3" s="15" t="s">
        <v>28</v>
      </c>
      <c r="O3" s="15" t="s">
        <v>29</v>
      </c>
      <c r="P3" s="15" t="s">
        <v>30</v>
      </c>
      <c r="Q3" s="16" t="s">
        <v>58</v>
      </c>
      <c r="R3" s="13" t="s">
        <v>31</v>
      </c>
      <c r="S3" s="14" t="s">
        <v>59</v>
      </c>
      <c r="T3" s="14" t="s">
        <v>32</v>
      </c>
      <c r="U3" s="9"/>
      <c r="V3" s="9"/>
      <c r="W3" s="9"/>
      <c r="X3" s="9"/>
      <c r="Y3" s="5"/>
      <c r="Z3" s="12"/>
      <c r="AA3" s="12"/>
      <c r="AB3" s="12"/>
      <c r="AC3" s="12"/>
      <c r="AD3" s="12"/>
      <c r="AE3" s="12"/>
      <c r="AF3" s="5"/>
      <c r="AG3" s="10"/>
      <c r="AH3" s="11"/>
      <c r="AI3" s="28"/>
    </row>
    <row r="4" spans="1:35">
      <c r="A4" s="1" t="s">
        <v>33</v>
      </c>
      <c r="B4" s="17">
        <v>6545109</v>
      </c>
      <c r="C4" s="18" t="s">
        <v>34</v>
      </c>
      <c r="D4" s="18" t="s">
        <v>35</v>
      </c>
      <c r="E4" s="18" t="s">
        <v>36</v>
      </c>
      <c r="F4" s="19" t="s">
        <v>37</v>
      </c>
      <c r="G4" s="17">
        <v>58</v>
      </c>
      <c r="H4" s="17">
        <v>970</v>
      </c>
      <c r="I4" s="17">
        <v>970</v>
      </c>
      <c r="J4" s="17" t="s">
        <v>38</v>
      </c>
      <c r="K4" s="17">
        <v>463</v>
      </c>
      <c r="L4" s="17" t="e" cm="1">
        <f t="array" ref="L4">_xlfn.XLOOKUP(1,([1]!PQ_tblSource[类别1]="钻孔")*([1]!PQ_tblSource[类别2]=C4)*([1]!PQ_tblSource[管板材质]=F4)*([1]!PQ_tblSource[管板厚度]=G4)*([1]!PQ_tblSource[管板最小孔径]&lt;=J4)*([1]!PQ_tblSource[管板最大孔径]&gt;=J4)*([1]!PQ_tblSource[最小孔数]&lt;=K4)*([1]!PQ_tblSource[最大孔数]&gt;=K4),[1]!PQ_tblSource[F25单价],"未找到")</f>
        <v>#REF!</v>
      </c>
      <c r="M4" s="17" t="s">
        <v>39</v>
      </c>
      <c r="N4" s="17">
        <v>40</v>
      </c>
      <c r="O4" s="17" t="s">
        <v>40</v>
      </c>
      <c r="P4" s="17" t="s">
        <v>41</v>
      </c>
      <c r="Q4" s="17" cm="1">
        <f t="array" ref="Q4">_xlfn.XLOOKUP(
  1,
  ([1]!PQ_tblSource[类别1]=O4) *
  ([1]!PQ_tblSource[类别2]=C4) *
  ([1]!PQ_tblSource[管板厚度]=G4) *
  ([1]!PQ_tblSource[管板最小孔径] &lt;= M4) *
  ([1]!PQ_tblSource[管板最大孔径] &gt;= M4) *
  IF(
     ISNUMBER(SEARCH("非ABS", C4)),
     1,
     ([1]!PQ_tblSource[管板材质]=F4)
  ),
  [1]!PQ_tblSource[F25单价],
  "未找到"
)</f>
        <v>6.75</v>
      </c>
      <c r="R4" s="17">
        <v>462</v>
      </c>
      <c r="S4" s="17" cm="1">
        <f t="array" ref="S4">_xlfn.XLOOKUP(1,([1]!PQ_tblSource[类别1]="抠槽")*([1]!PQ_tblSource[类别2]=C4)*([1]!PQ_tblSource[最小孔数]&lt;=R4)*([1]!PQ_tblSource[最大孔数]&gt;=R4),[1]!PQ_tblSource[F25单价],"未找到")</f>
        <v>1.5</v>
      </c>
      <c r="T4" s="17" t="e">
        <f t="shared" ref="T4:T11" si="0">L4*K4+N4*Q4+R4*S4</f>
        <v>#REF!</v>
      </c>
      <c r="U4" s="17"/>
      <c r="V4" s="17"/>
      <c r="W4" s="20">
        <f t="shared" ref="W4:W11" si="1">(H4+5)*(I4+5)/1000000*125</f>
        <v>118.828125</v>
      </c>
      <c r="X4" s="21">
        <v>663</v>
      </c>
      <c r="Y4" s="22" t="e">
        <f t="shared" ref="Y4:Y8" si="2">SUM(T4:X4)</f>
        <v>#REF!</v>
      </c>
      <c r="Z4" s="17" t="e">
        <f t="shared" ref="Z4:Z11" si="3">ROUND(Y4/1.13,2)</f>
        <v>#REF!</v>
      </c>
      <c r="AA4" s="22">
        <f t="shared" ref="AA4:AA5" si="4">(16.15+20)*(16.15+20+17.5+16.5+15.5+14.5+13.5+74)/1000000</f>
        <v>6.7835474999999998E-3</v>
      </c>
      <c r="AB4" s="22">
        <f t="shared" ref="AB4:AB11" si="5">144*AA4</f>
        <v>0.97683083999999998</v>
      </c>
      <c r="AC4" s="22">
        <f t="shared" ref="AC4:AC11" si="6">182.2*AA4</f>
        <v>1.2359623544999998</v>
      </c>
      <c r="AD4" s="22" t="e">
        <f t="shared" ref="AD4:AD11" si="7">ROUND(Z4+AB4,2)</f>
        <v>#REF!</v>
      </c>
      <c r="AE4" s="17" t="e">
        <f t="shared" ref="AE4:AE11" si="8">ROUND(Z4+AC4,2)</f>
        <v>#REF!</v>
      </c>
      <c r="AF4" s="17" t="s">
        <v>42</v>
      </c>
      <c r="AG4" s="23">
        <v>2530.98</v>
      </c>
      <c r="AH4" s="24" t="e">
        <f>AE4-AG4</f>
        <v>#REF!</v>
      </c>
      <c r="AI4">
        <v>25</v>
      </c>
    </row>
    <row r="5" spans="1:35">
      <c r="A5" s="1" t="s">
        <v>43</v>
      </c>
      <c r="B5" s="17">
        <v>6545107</v>
      </c>
      <c r="C5" s="18" t="s">
        <v>44</v>
      </c>
      <c r="D5" s="18" t="s">
        <v>35</v>
      </c>
      <c r="E5" s="18" t="s">
        <v>36</v>
      </c>
      <c r="F5" s="19" t="s">
        <v>37</v>
      </c>
      <c r="G5" s="17">
        <v>38</v>
      </c>
      <c r="H5" s="17">
        <v>970</v>
      </c>
      <c r="I5" s="17">
        <v>970</v>
      </c>
      <c r="J5" s="17" t="s">
        <v>38</v>
      </c>
      <c r="K5" s="17">
        <v>462</v>
      </c>
      <c r="L5" s="17">
        <v>3.37</v>
      </c>
      <c r="M5" s="17" t="s">
        <v>39</v>
      </c>
      <c r="N5" s="17">
        <v>40</v>
      </c>
      <c r="O5" s="17" t="s">
        <v>45</v>
      </c>
      <c r="P5" s="17"/>
      <c r="Q5" s="17" cm="1">
        <f t="array" ref="Q5">_xlfn.XLOOKUP(
  1,
  ([1]!PQ_tblSource[类别1]=O5) *
  ([1]!PQ_tblSource[类别2]=C5) *
  ([1]!PQ_tblSource[管板厚度]=G5) *
  ([1]!PQ_tblSource[管板最小孔径] &lt;= M5) *
  ([1]!PQ_tblSource[管板最大孔径] &gt;= M5) *
  IF(
     ISNUMBER(SEARCH("非ABS", C5)),
     1,
     ([1]!PQ_tblSource[管板材质]=F5)
  ),
  [1]!PQ_tblSource[F25单价],
  "未找到"
)</f>
        <v>2.5</v>
      </c>
      <c r="R5" s="17">
        <v>462</v>
      </c>
      <c r="S5" s="17" cm="1">
        <f t="array" ref="S5">_xlfn.XLOOKUP(1,([1]!PQ_tblSource[类别1]="抠槽")*([1]!PQ_tblSource[类别2]=C5)*([1]!PQ_tblSource[最小孔数]&lt;=R5)*([1]!PQ_tblSource[最大孔数]&gt;=R5),[1]!PQ_tblSource[F25单价],"未找到")</f>
        <v>1.6</v>
      </c>
      <c r="T5" s="17">
        <f t="shared" si="0"/>
        <v>2396.1400000000003</v>
      </c>
      <c r="U5" s="17"/>
      <c r="V5" s="17"/>
      <c r="W5" s="20">
        <f t="shared" si="1"/>
        <v>118.828125</v>
      </c>
      <c r="X5" s="21">
        <v>600</v>
      </c>
      <c r="Y5" s="22">
        <f t="shared" si="2"/>
        <v>3114.9681250000003</v>
      </c>
      <c r="Z5" s="17">
        <f t="shared" si="3"/>
        <v>2756.61</v>
      </c>
      <c r="AA5" s="22">
        <f t="shared" si="4"/>
        <v>6.7835474999999998E-3</v>
      </c>
      <c r="AB5" s="22">
        <f t="shared" si="5"/>
        <v>0.97683083999999998</v>
      </c>
      <c r="AC5" s="22">
        <f t="shared" si="6"/>
        <v>1.2359623544999998</v>
      </c>
      <c r="AD5" s="22">
        <f t="shared" si="7"/>
        <v>2757.59</v>
      </c>
      <c r="AE5" s="17">
        <f t="shared" si="8"/>
        <v>2757.85</v>
      </c>
      <c r="AF5" s="17" t="s">
        <v>42</v>
      </c>
      <c r="AG5" s="23">
        <v>2473.52</v>
      </c>
      <c r="AH5" s="24">
        <f t="shared" ref="AH5:AH11" si="9">AE5-AG5</f>
        <v>284.32999999999993</v>
      </c>
      <c r="AI5">
        <v>26</v>
      </c>
    </row>
    <row r="6" spans="1:35">
      <c r="A6" s="17" t="s">
        <v>46</v>
      </c>
      <c r="B6" s="17">
        <v>6086628</v>
      </c>
      <c r="C6" s="18" t="s">
        <v>44</v>
      </c>
      <c r="D6" s="18" t="s">
        <v>47</v>
      </c>
      <c r="E6" s="18" t="s">
        <v>36</v>
      </c>
      <c r="F6" s="19" t="s">
        <v>37</v>
      </c>
      <c r="G6" s="17">
        <v>38</v>
      </c>
      <c r="H6" s="17">
        <v>1332</v>
      </c>
      <c r="I6" s="17">
        <v>3115</v>
      </c>
      <c r="J6" s="17" t="s">
        <v>38</v>
      </c>
      <c r="K6" s="17">
        <v>3302</v>
      </c>
      <c r="L6" s="17">
        <v>1.47</v>
      </c>
      <c r="M6" s="17" t="s">
        <v>39</v>
      </c>
      <c r="N6" s="17">
        <v>40</v>
      </c>
      <c r="O6" s="17" t="s">
        <v>45</v>
      </c>
      <c r="P6" s="17"/>
      <c r="Q6" s="17" cm="1">
        <f t="array" ref="Q6">_xlfn.XLOOKUP(
  1,
  ([1]!PQ_tblSource[类别1]=O6) *
  ([1]!PQ_tblSource[类别2]=C6) *
  ([1]!PQ_tblSource[管板厚度]=G6) *
  ([1]!PQ_tblSource[管板最小孔径] &lt;= M6) *
  ([1]!PQ_tblSource[管板最大孔径] &gt;= M6) *
  IF(
     ISNUMBER(SEARCH("非ABS", C6)),
     1,
     ([1]!PQ_tblSource[管板材质]=F6)
  ),
  [1]!PQ_tblSource[F25单价],
  "未找到"
)</f>
        <v>2.5</v>
      </c>
      <c r="R6" s="17">
        <v>3302</v>
      </c>
      <c r="S6" s="17" cm="1">
        <f t="array" ref="S6">_xlfn.XLOOKUP(1,([1]!PQ_tblSource[类别1]="抠槽")*([1]!PQ_tblSource[类别2]=C6)*([1]!PQ_tblSource[最小孔数]&lt;=R6)*([1]!PQ_tblSource[最大孔数]&gt;=R6),[1]!PQ_tblSource[F25单价],"未找到")</f>
        <v>1.4</v>
      </c>
      <c r="T6" s="17">
        <f t="shared" si="0"/>
        <v>9576.739999999998</v>
      </c>
      <c r="U6" s="17"/>
      <c r="V6" s="17"/>
      <c r="W6" s="20">
        <f t="shared" si="1"/>
        <v>521.42999999999995</v>
      </c>
      <c r="X6" s="21">
        <f>((H6+5)+(I6+5))/1000*100</f>
        <v>445.7</v>
      </c>
      <c r="Y6" s="22">
        <f t="shared" si="2"/>
        <v>10543.869999999999</v>
      </c>
      <c r="Z6" s="17">
        <f t="shared" si="3"/>
        <v>9330.86</v>
      </c>
      <c r="AA6" s="22">
        <f>((2457+12+60)*(544+12+60)+(451.5+16.15+20)*(2436+16.15+20))/1000000</f>
        <v>2.7634079474999997</v>
      </c>
      <c r="AB6" s="22">
        <f t="shared" si="5"/>
        <v>397.93074443999996</v>
      </c>
      <c r="AC6" s="22">
        <f t="shared" si="6"/>
        <v>503.49292803449993</v>
      </c>
      <c r="AD6" s="22">
        <f t="shared" si="7"/>
        <v>9728.7900000000009</v>
      </c>
      <c r="AE6" s="17">
        <f t="shared" si="8"/>
        <v>9834.35</v>
      </c>
      <c r="AF6" s="17" t="s">
        <v>48</v>
      </c>
      <c r="AG6" s="23">
        <v>9381.76</v>
      </c>
      <c r="AH6" s="24">
        <f t="shared" si="9"/>
        <v>452.59000000000015</v>
      </c>
      <c r="AI6">
        <v>27</v>
      </c>
    </row>
    <row r="7" spans="1:35">
      <c r="A7" s="17" t="s">
        <v>49</v>
      </c>
      <c r="B7" s="17">
        <v>6086627</v>
      </c>
      <c r="C7" s="18" t="s">
        <v>50</v>
      </c>
      <c r="D7" s="18" t="s">
        <v>47</v>
      </c>
      <c r="E7" s="18" t="s">
        <v>36</v>
      </c>
      <c r="F7" s="25"/>
      <c r="G7" s="17">
        <v>28</v>
      </c>
      <c r="H7" s="17">
        <v>1332</v>
      </c>
      <c r="I7" s="17">
        <v>3115</v>
      </c>
      <c r="J7" s="17" t="s">
        <v>38</v>
      </c>
      <c r="K7" s="17">
        <v>3303</v>
      </c>
      <c r="L7" s="17">
        <v>1.47</v>
      </c>
      <c r="M7" s="17"/>
      <c r="N7" s="17"/>
      <c r="O7" s="17"/>
      <c r="P7" s="17"/>
      <c r="Q7" s="17" t="str" cm="1">
        <f t="array" ref="Q7">_xlfn.XLOOKUP(
  1,
  ([1]!PQ_tblSource[类别1]=O7) *
  ([1]!PQ_tblSource[类别2]=C7) *
  ([1]!PQ_tblSource[管板厚度]=G7) *
  ([1]!PQ_tblSource[管板最小孔径] &lt;= M7) *
  ([1]!PQ_tblSource[管板最大孔径] &gt;= M7) *
  IF(
     ISNUMBER(SEARCH("非ABS", C7)),
     1,
     ([1]!PQ_tblSource[管板材质]=F7)
  ),
  [1]!PQ_tblSource[F25单价],
  "未找到"
)</f>
        <v>未找到</v>
      </c>
      <c r="R7" s="17">
        <v>3302</v>
      </c>
      <c r="S7" s="17" t="str" cm="1">
        <f t="array" ref="S7">_xlfn.XLOOKUP(1,([1]!PQ_tblSource[类别1]="抠槽")*([1]!PQ_tblSource[类别2]=C7)*([1]!PQ_tblSource[最小孔数]&lt;=R7)*([1]!PQ_tblSource[最大孔数]&gt;=R7),[1]!PQ_tblSource[F25单价],"未找到")</f>
        <v>未找到</v>
      </c>
      <c r="T7" s="17" t="e">
        <f t="shared" si="0"/>
        <v>#VALUE!</v>
      </c>
      <c r="U7" s="17"/>
      <c r="V7" s="17"/>
      <c r="W7" s="20">
        <f t="shared" si="1"/>
        <v>521.42999999999995</v>
      </c>
      <c r="X7" s="21">
        <f>((H7+5)+(I7+5))/1000*100+62.5</f>
        <v>508.2</v>
      </c>
      <c r="Y7" s="22" t="e">
        <f t="shared" si="2"/>
        <v>#VALUE!</v>
      </c>
      <c r="Z7" s="17" t="e">
        <f t="shared" si="3"/>
        <v>#VALUE!</v>
      </c>
      <c r="AA7" s="22">
        <f>((2457+12+60)*(544+12+60)+(451.5+16.15+20)*(2436+16.15+20))/1000000</f>
        <v>2.7634079474999997</v>
      </c>
      <c r="AB7" s="22">
        <f t="shared" si="5"/>
        <v>397.93074443999996</v>
      </c>
      <c r="AC7" s="22">
        <f t="shared" si="6"/>
        <v>503.49292803449993</v>
      </c>
      <c r="AD7" s="22" t="e">
        <f t="shared" si="7"/>
        <v>#VALUE!</v>
      </c>
      <c r="AE7" s="17" t="e">
        <f t="shared" si="8"/>
        <v>#VALUE!</v>
      </c>
      <c r="AF7" s="17" t="s">
        <v>48</v>
      </c>
      <c r="AG7" s="23">
        <v>9438.2800000000007</v>
      </c>
      <c r="AH7" s="24" t="e">
        <f t="shared" si="9"/>
        <v>#VALUE!</v>
      </c>
      <c r="AI7">
        <v>28</v>
      </c>
    </row>
    <row r="8" spans="1:35">
      <c r="A8" s="17" t="s">
        <v>51</v>
      </c>
      <c r="B8" s="17">
        <v>6643461</v>
      </c>
      <c r="C8" s="18" t="s">
        <v>50</v>
      </c>
      <c r="D8" s="18" t="s">
        <v>52</v>
      </c>
      <c r="E8" s="18" t="s">
        <v>36</v>
      </c>
      <c r="F8" s="25"/>
      <c r="G8" s="17">
        <v>20</v>
      </c>
      <c r="H8" s="17">
        <v>1232</v>
      </c>
      <c r="I8" s="17">
        <v>2606</v>
      </c>
      <c r="J8" s="17" t="s">
        <v>38</v>
      </c>
      <c r="K8" s="17">
        <v>2379</v>
      </c>
      <c r="L8" s="17">
        <v>1.05</v>
      </c>
      <c r="M8" s="17"/>
      <c r="N8" s="17"/>
      <c r="O8" s="17"/>
      <c r="P8" s="17"/>
      <c r="Q8" s="17" t="str" cm="1">
        <f t="array" ref="Q8">_xlfn.XLOOKUP(
  1,
  ([1]!PQ_tblSource[类别1]=O8) *
  ([1]!PQ_tblSource[类别2]=C8) *
  ([1]!PQ_tblSource[管板厚度]=G8) *
  ([1]!PQ_tblSource[管板最小孔径] &lt;= M8) *
  ([1]!PQ_tblSource[管板最大孔径] &gt;= M8) *
  IF(
     ISNUMBER(SEARCH("非ABS", C8)),
     1,
     ([1]!PQ_tblSource[管板材质]=F8)
  ),
  [1]!PQ_tblSource[F25单价],
  "未找到"
)</f>
        <v>未找到</v>
      </c>
      <c r="R8" s="17"/>
      <c r="S8" s="17"/>
      <c r="T8" s="17" t="e">
        <f t="shared" si="0"/>
        <v>#VALUE!</v>
      </c>
      <c r="U8" s="17"/>
      <c r="V8" s="17"/>
      <c r="W8" s="20">
        <f t="shared" si="1"/>
        <v>403.72587500000003</v>
      </c>
      <c r="X8" s="21">
        <f>((H8+5)+(I8+5))/1000*100+62.5</f>
        <v>447.3</v>
      </c>
      <c r="Y8" s="22" t="e">
        <f t="shared" si="2"/>
        <v>#VALUE!</v>
      </c>
      <c r="Z8" s="17" t="e">
        <f t="shared" si="3"/>
        <v>#VALUE!</v>
      </c>
      <c r="AA8" s="22">
        <f>((16.15+20+924+126+966)*(16.15+20+17.5+16.5+15.5+14.5+13.5+250+74)+(16.15+20+924+126+882)*(16.15+20+17.5+16.5+15.5+14.5+13.5+74+225))/1000000</f>
        <v>1.7102805449999998</v>
      </c>
      <c r="AB8" s="22">
        <f t="shared" si="5"/>
        <v>246.28039847999997</v>
      </c>
      <c r="AC8" s="22">
        <f t="shared" si="6"/>
        <v>311.61311529899996</v>
      </c>
      <c r="AD8" s="22" t="e">
        <f t="shared" si="7"/>
        <v>#VALUE!</v>
      </c>
      <c r="AE8" s="17" t="e">
        <f t="shared" si="8"/>
        <v>#VALUE!</v>
      </c>
      <c r="AF8" s="17" t="s">
        <v>48</v>
      </c>
      <c r="AG8" s="23">
        <v>2433.1799999999998</v>
      </c>
      <c r="AH8" s="24" t="e">
        <f t="shared" si="9"/>
        <v>#VALUE!</v>
      </c>
    </row>
    <row r="9" spans="1:35">
      <c r="A9" s="17" t="s">
        <v>53</v>
      </c>
      <c r="B9" s="17">
        <v>6643460</v>
      </c>
      <c r="C9" s="18" t="s">
        <v>50</v>
      </c>
      <c r="D9" s="18" t="s">
        <v>52</v>
      </c>
      <c r="E9" s="18" t="s">
        <v>36</v>
      </c>
      <c r="F9" s="25"/>
      <c r="G9" s="17">
        <v>20</v>
      </c>
      <c r="H9" s="17">
        <v>1232</v>
      </c>
      <c r="I9" s="17">
        <v>2606</v>
      </c>
      <c r="J9" s="17" t="s">
        <v>38</v>
      </c>
      <c r="K9" s="17">
        <v>2378</v>
      </c>
      <c r="L9" s="17">
        <v>1.05</v>
      </c>
      <c r="M9" s="17"/>
      <c r="N9" s="17"/>
      <c r="O9" s="17"/>
      <c r="P9" s="17"/>
      <c r="Q9" s="17" t="str" cm="1">
        <f t="array" ref="Q9">_xlfn.XLOOKUP(
  1,
  ([1]!PQ_tblSource[类别1]=O9) *
  ([1]!PQ_tblSource[类别2]=C9) *
  ([1]!PQ_tblSource[管板厚度]=G9) *
  ([1]!PQ_tblSource[管板最小孔径] &lt;= M9) *
  ([1]!PQ_tblSource[管板最大孔径] &gt;= M9) *
  IF(
     ISNUMBER(SEARCH("非ABS", C9)),
     1,
     ([1]!PQ_tblSource[管板材质]=F9)
  ),
  [1]!PQ_tblSource[F25单价],
  "未找到"
)</f>
        <v>未找到</v>
      </c>
      <c r="R9" s="17"/>
      <c r="S9" s="17"/>
      <c r="T9" s="17" t="e">
        <f t="shared" si="0"/>
        <v>#VALUE!</v>
      </c>
      <c r="U9" s="17"/>
      <c r="V9" s="17"/>
      <c r="W9" s="20">
        <f t="shared" si="1"/>
        <v>403.72587500000003</v>
      </c>
      <c r="X9" s="21">
        <f>((H9+5)+(I9+5))/1000*100</f>
        <v>384.8</v>
      </c>
      <c r="Y9" s="22" t="e">
        <f t="shared" ref="Y9:Y11" si="10">SUM(T9:X9)</f>
        <v>#VALUE!</v>
      </c>
      <c r="Z9" s="17" t="e">
        <f t="shared" si="3"/>
        <v>#VALUE!</v>
      </c>
      <c r="AA9" s="22">
        <f>((16.15+20+924+126+966)*(16.15+20+17.5+16.5+15.5+14.5+13.5+250+74)+(16.15+20+924+126+882)*(16.15+20+17.5+16.5+15.5+14.5+13.5+74+225))/1000000</f>
        <v>1.7102805449999998</v>
      </c>
      <c r="AB9" s="22">
        <f t="shared" si="5"/>
        <v>246.28039847999997</v>
      </c>
      <c r="AC9" s="22">
        <f t="shared" si="6"/>
        <v>311.61311529899996</v>
      </c>
      <c r="AD9" s="22" t="e">
        <f t="shared" si="7"/>
        <v>#VALUE!</v>
      </c>
      <c r="AE9" s="17" t="e">
        <f t="shared" si="8"/>
        <v>#VALUE!</v>
      </c>
      <c r="AF9" s="17" t="s">
        <v>48</v>
      </c>
      <c r="AG9" s="23">
        <v>2377.3000000000002</v>
      </c>
      <c r="AH9" s="24" t="e">
        <f t="shared" si="9"/>
        <v>#VALUE!</v>
      </c>
    </row>
    <row r="10" spans="1:35">
      <c r="A10" s="17" t="s">
        <v>54</v>
      </c>
      <c r="B10" s="17">
        <v>6643459</v>
      </c>
      <c r="C10" s="18" t="s">
        <v>50</v>
      </c>
      <c r="D10" s="18" t="s">
        <v>52</v>
      </c>
      <c r="E10" s="18" t="s">
        <v>36</v>
      </c>
      <c r="F10" s="25"/>
      <c r="G10" s="17">
        <v>20</v>
      </c>
      <c r="H10" s="17">
        <v>1235</v>
      </c>
      <c r="I10" s="17">
        <v>1400</v>
      </c>
      <c r="J10" s="17" t="s">
        <v>38</v>
      </c>
      <c r="K10" s="17">
        <v>1373</v>
      </c>
      <c r="L10" s="17">
        <v>1.05</v>
      </c>
      <c r="M10" s="17"/>
      <c r="N10" s="17"/>
      <c r="O10" s="17"/>
      <c r="P10" s="17"/>
      <c r="Q10" s="17" t="str" cm="1">
        <f t="array" ref="Q10">_xlfn.XLOOKUP(
  1,
  ([1]!PQ_tblSource[类别1]=O10) *
  ([1]!PQ_tblSource[类别2]=C10) *
  ([1]!PQ_tblSource[管板厚度]=G10) *
  ([1]!PQ_tblSource[管板最小孔径] &lt;= M10) *
  ([1]!PQ_tblSource[管板最大孔径] &gt;= M10) *
  IF(
     ISNUMBER(SEARCH("非ABS", C10)),
     1,
     ([1]!PQ_tblSource[管板材质]=F10)
  ),
  [1]!PQ_tblSource[F25单价],
  "未找到"
)</f>
        <v>未找到</v>
      </c>
      <c r="R10" s="17">
        <v>945</v>
      </c>
      <c r="S10" s="17">
        <v>1.5</v>
      </c>
      <c r="T10" s="17" t="e">
        <f t="shared" si="0"/>
        <v>#VALUE!</v>
      </c>
      <c r="U10" s="26">
        <f>1050*180/1000</f>
        <v>189</v>
      </c>
      <c r="V10" s="17"/>
      <c r="W10" s="20">
        <f t="shared" si="1"/>
        <v>217.77500000000001</v>
      </c>
      <c r="X10" s="21">
        <f>((H10+5)+(I10+5))/1000*100</f>
        <v>264.5</v>
      </c>
      <c r="Y10" s="22" t="e">
        <f t="shared" si="10"/>
        <v>#VALUE!</v>
      </c>
      <c r="Z10" s="17" t="e">
        <f t="shared" si="3"/>
        <v>#VALUE!</v>
      </c>
      <c r="AA10" s="22">
        <f>(16.15+20+187)*(16.15+20+682.5)/1000000</f>
        <v>0.16036674749999999</v>
      </c>
      <c r="AB10" s="22">
        <f t="shared" si="5"/>
        <v>23.092811639999997</v>
      </c>
      <c r="AC10" s="22">
        <f t="shared" si="6"/>
        <v>29.218821394499997</v>
      </c>
      <c r="AD10" s="22" t="e">
        <f t="shared" si="7"/>
        <v>#VALUE!</v>
      </c>
      <c r="AE10" s="17" t="e">
        <f t="shared" si="8"/>
        <v>#VALUE!</v>
      </c>
      <c r="AF10" s="17" t="s">
        <v>55</v>
      </c>
      <c r="AG10" s="23">
        <v>2667.47</v>
      </c>
      <c r="AH10" s="24" t="e">
        <f t="shared" si="9"/>
        <v>#VALUE!</v>
      </c>
    </row>
    <row r="11" spans="1:35">
      <c r="A11" s="17" t="s">
        <v>56</v>
      </c>
      <c r="B11" s="17">
        <v>6643458</v>
      </c>
      <c r="C11" s="18" t="s">
        <v>50</v>
      </c>
      <c r="D11" s="18" t="s">
        <v>52</v>
      </c>
      <c r="E11" s="18" t="s">
        <v>36</v>
      </c>
      <c r="F11" s="25"/>
      <c r="G11" s="17">
        <v>20</v>
      </c>
      <c r="H11" s="17">
        <v>1235</v>
      </c>
      <c r="I11" s="17">
        <v>1400</v>
      </c>
      <c r="J11" s="17" t="s">
        <v>38</v>
      </c>
      <c r="K11" s="17">
        <v>1373</v>
      </c>
      <c r="L11" s="17">
        <v>1.05</v>
      </c>
      <c r="M11" s="17"/>
      <c r="N11" s="17"/>
      <c r="O11" s="17"/>
      <c r="P11" s="17"/>
      <c r="Q11" s="17" t="str" cm="1">
        <f t="array" ref="Q11">_xlfn.XLOOKUP(
  1,
  ([1]!PQ_tblSource[类别1]=O11) *
  ([1]!PQ_tblSource[类别2]=C11) *
  ([1]!PQ_tblSource[管板厚度]=G11) *
  ([1]!PQ_tblSource[管板最小孔径] &lt;= M11) *
  ([1]!PQ_tblSource[管板最大孔径] &gt;= M11) *
  IF(
     ISNUMBER(SEARCH("非ABS", C11)),
     1,
     ([1]!PQ_tblSource[管板材质]=F11)
  ),
  [1]!PQ_tblSource[F25单价],
  "未找到"
)</f>
        <v>未找到</v>
      </c>
      <c r="R11" s="17">
        <v>945</v>
      </c>
      <c r="S11" s="17">
        <v>1.5</v>
      </c>
      <c r="T11" s="17" t="e">
        <f t="shared" si="0"/>
        <v>#VALUE!</v>
      </c>
      <c r="U11" s="26">
        <f>1050*180/1000</f>
        <v>189</v>
      </c>
      <c r="V11" s="17"/>
      <c r="W11" s="20">
        <f t="shared" si="1"/>
        <v>217.77500000000001</v>
      </c>
      <c r="X11" s="21">
        <f>((H11+5)+(I11+5))/1000*100</f>
        <v>264.5</v>
      </c>
      <c r="Y11" s="22" t="e">
        <f t="shared" si="10"/>
        <v>#VALUE!</v>
      </c>
      <c r="Z11" s="17" t="e">
        <f t="shared" si="3"/>
        <v>#VALUE!</v>
      </c>
      <c r="AA11" s="22">
        <f>(16.15+20+187)*(16.15+20+682.5)/1000000</f>
        <v>0.16036674749999999</v>
      </c>
      <c r="AB11" s="22">
        <f t="shared" si="5"/>
        <v>23.092811639999997</v>
      </c>
      <c r="AC11" s="22">
        <f t="shared" si="6"/>
        <v>29.218821394499997</v>
      </c>
      <c r="AD11" s="22" t="e">
        <f t="shared" si="7"/>
        <v>#VALUE!</v>
      </c>
      <c r="AE11" s="17" t="e">
        <f t="shared" si="8"/>
        <v>#VALUE!</v>
      </c>
      <c r="AF11" s="17" t="s">
        <v>55</v>
      </c>
      <c r="AG11" s="23">
        <v>2667.47</v>
      </c>
      <c r="AH11" s="24" t="e">
        <f t="shared" si="9"/>
        <v>#VALUE!</v>
      </c>
    </row>
  </sheetData>
  <mergeCells count="25">
    <mergeCell ref="AG2:AG3"/>
    <mergeCell ref="AH2:AH3"/>
    <mergeCell ref="AI2:AI3"/>
    <mergeCell ref="AA2:AA3"/>
    <mergeCell ref="AB2:AB3"/>
    <mergeCell ref="AC2:AC3"/>
    <mergeCell ref="AD2:AD3"/>
    <mergeCell ref="AE2:AE3"/>
    <mergeCell ref="AF2:AF3"/>
    <mergeCell ref="U2:U3"/>
    <mergeCell ref="V2:V3"/>
    <mergeCell ref="W2:W3"/>
    <mergeCell ref="X2:X3"/>
    <mergeCell ref="Y2:Y3"/>
    <mergeCell ref="Z2:Z3"/>
    <mergeCell ref="A1:AF1"/>
    <mergeCell ref="A2:A3"/>
    <mergeCell ref="B2:B3"/>
    <mergeCell ref="C2:C3"/>
    <mergeCell ref="D2:D3"/>
    <mergeCell ref="E2:E3"/>
    <mergeCell ref="F2:F3"/>
    <mergeCell ref="G2:I2"/>
    <mergeCell ref="J2:J3"/>
    <mergeCell ref="K2:S2"/>
  </mergeCells>
  <conditionalFormatting sqref="A6:A11">
    <cfRule type="duplicateValues" dxfId="6" priority="1"/>
    <cfRule type="duplicateValues" dxfId="5" priority="2"/>
    <cfRule type="duplicateValues" dxfId="4" priority="3"/>
    <cfRule type="duplicateValues" dxfId="3" priority="4"/>
    <cfRule type="duplicateValues" dxfId="2" priority="5"/>
    <cfRule type="duplicateValues" dxfId="1" priority="6"/>
    <cfRule type="duplicateValues" dxfId="0" priority="7"/>
  </conditionalFormatting>
  <dataValidations disablePrompts="1" count="1">
    <dataValidation allowBlank="1" showInputMessage="1" showErrorMessage="1" promptTitle="加工内容" sqref="N4:P4 K4:K11 R4:R11 E2:F3" xr:uid="{5E92F8DC-FACD-1C43-814F-E81E2873E677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Sherlock</dc:creator>
  <cp:lastModifiedBy>Zhang, Sherlock</cp:lastModifiedBy>
  <dcterms:created xsi:type="dcterms:W3CDTF">2025-09-09T15:27:19Z</dcterms:created>
  <dcterms:modified xsi:type="dcterms:W3CDTF">2025-09-09T15:51:34Z</dcterms:modified>
</cp:coreProperties>
</file>