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customXml/itemProps195.xml" ContentType="application/vnd.openxmlformats-officedocument.customXmlProperties+xml"/>
  <Override PartName="/customXml/itemProps196.xml" ContentType="application/vnd.openxmlformats-officedocument.customXmlProperties+xml"/>
  <Override PartName="/customXml/itemProps197.xml" ContentType="application/vnd.openxmlformats-officedocument.customXmlProperties+xml"/>
  <Override PartName="/customXml/itemProps198.xml" ContentType="application/vnd.openxmlformats-officedocument.customXmlProperties+xml"/>
  <Override PartName="/customXml/itemProps199.xml" ContentType="application/vnd.openxmlformats-officedocument.customXmlProperties+xml"/>
  <Override PartName="/customXml/itemProps200.xml" ContentType="application/vnd.openxmlformats-officedocument.customXmlProperties+xml"/>
  <Override PartName="/customXml/itemProps201.xml" ContentType="application/vnd.openxmlformats-officedocument.customXmlProperties+xml"/>
  <Override PartName="/customXml/itemProps202.xml" ContentType="application/vnd.openxmlformats-officedocument.customXmlProperties+xml"/>
  <Override PartName="/customXml/itemProps203.xml" ContentType="application/vnd.openxmlformats-officedocument.customXmlProperties+xml"/>
  <Override PartName="/customXml/itemProps204.xml" ContentType="application/vnd.openxmlformats-officedocument.customXmlProperties+xml"/>
  <Override PartName="/customXml/itemProps205.xml" ContentType="application/vnd.openxmlformats-officedocument.customXmlProperties+xml"/>
  <Override PartName="/customXml/itemProps206.xml" ContentType="application/vnd.openxmlformats-officedocument.customXmlProperties+xml"/>
  <Override PartName="/customXml/itemProps207.xml" ContentType="application/vnd.openxmlformats-officedocument.customXmlProperties+xml"/>
  <Override PartName="/customXml/itemProps208.xml" ContentType="application/vnd.openxmlformats-officedocument.customXmlProperties+xml"/>
  <Override PartName="/customXml/itemProps209.xml" ContentType="application/vnd.openxmlformats-officedocument.customXmlProperties+xml"/>
  <Override PartName="/customXml/itemProps210.xml" ContentType="application/vnd.openxmlformats-officedocument.customXmlProperties+xml"/>
  <Override PartName="/customXml/itemProps211.xml" ContentType="application/vnd.openxmlformats-officedocument.customXmlProperties+xml"/>
  <Override PartName="/customXml/itemProps212.xml" ContentType="application/vnd.openxmlformats-officedocument.customXmlProperties+xml"/>
  <Override PartName="/customXml/itemProps213.xml" ContentType="application/vnd.openxmlformats-officedocument.customXmlProperties+xml"/>
  <Override PartName="/customXml/itemProps214.xml" ContentType="application/vnd.openxmlformats-officedocument.customXmlProperties+xml"/>
  <Override PartName="/customXml/itemProps215.xml" ContentType="application/vnd.openxmlformats-officedocument.customXmlProperties+xml"/>
  <Override PartName="/customXml/itemProps216.xml" ContentType="application/vnd.openxmlformats-officedocument.customXmlProperties+xml"/>
  <Override PartName="/customXml/itemProps217.xml" ContentType="application/vnd.openxmlformats-officedocument.customXmlProperties+xml"/>
  <Override PartName="/customXml/itemProps218.xml" ContentType="application/vnd.openxmlformats-officedocument.customXmlProperties+xml"/>
  <Override PartName="/customXml/itemProps219.xml" ContentType="application/vnd.openxmlformats-officedocument.customXmlProperties+xml"/>
  <Override PartName="/customXml/itemProps220.xml" ContentType="application/vnd.openxmlformats-officedocument.customXmlProperties+xml"/>
  <Override PartName="/customXml/itemProps221.xml" ContentType="application/vnd.openxmlformats-officedocument.customXmlProperties+xml"/>
  <Override PartName="/customXml/itemProps222.xml" ContentType="application/vnd.openxmlformats-officedocument.customXmlProperties+xml"/>
  <Override PartName="/customXml/itemProps223.xml" ContentType="application/vnd.openxmlformats-officedocument.customXmlProperties+xml"/>
  <Override PartName="/customXml/itemProps22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dmin\Dokumente\Data Analyst - Lernen\Excel\Output\"/>
    </mc:Choice>
  </mc:AlternateContent>
  <xr:revisionPtr revIDLastSave="0" documentId="8_{9B6A0B91-AD4B-489F-AA98-DAA26FA504ED}" xr6:coauthVersionLast="47" xr6:coauthVersionMax="47" xr10:uidLastSave="{00000000-0000-0000-0000-000000000000}"/>
  <bookViews>
    <workbookView xWindow="-120" yWindow="-120" windowWidth="29040" windowHeight="15720" tabRatio="550" xr2:uid="{5E5221D6-5DF7-4FD6-9A1B-B30BA935CB77}"/>
  </bookViews>
  <sheets>
    <sheet name="Dashboard" sheetId="11" r:id="rId1"/>
    <sheet name="Data" sheetId="20" r:id="rId2"/>
    <sheet name="List" sheetId="13"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externalReferences>
    <externalReference r:id="rId12"/>
  </externalReferences>
  <definedNames>
    <definedName name="_Order1" hidden="1">255</definedName>
    <definedName name="_xlcn.WorksheetConnection_TheUltimateDashboard_Worksheet1.xlsxDatePeriod1" hidden="1">DatePeriod[]</definedName>
    <definedName name="_xlcn.WorksheetConnection_TheUltimateDashboard_Worksheet1.xlsxDatePeriod11" hidden="1">[1]!DatePeriod</definedName>
    <definedName name="_xlcn.WorksheetConnection_TheUltimateDashboard_Worksheet1.xlsxDepartments1" hidden="1">Departments[]</definedName>
    <definedName name="_xlcn.WorksheetConnection_TheUltimateDashboard_Worksheet1.xlsxLookup1" hidden="1">Lookup[]</definedName>
    <definedName name="_xlcn.WorksheetConnection_TheUltimateDashboard_Worksheet1.xlsxLookup11" hidden="1">[1]!Lookup</definedName>
    <definedName name="_xlcn.WorksheetConnection_TheUltimateDashboard_Worksheet1.xlsxPeriod1" hidden="1">Period[]</definedName>
    <definedName name="_xlcn.WorksheetConnection_TheUltimateDashboard_Worksheet1.xlsxPeriod11" hidden="1">[1]!Period</definedName>
    <definedName name="CS" localSheetId="5">CS!$B$4:$AM$53</definedName>
    <definedName name="CS_B" localSheetId="9">CS_Budget!$B$4:$AM$53</definedName>
    <definedName name="CurrentMonth">List!$N$3</definedName>
    <definedName name="Datenschnitt_Period">#N/A</definedName>
    <definedName name="fafa" hidden="1">{"razones",#N/A,TRUE,"Razones";"balance",#N/A,TRUE,"Balance";"resultados",#N/A,TRUE,"Resultados";"flujo",#N/A,TRUE,"Flujo";"ingresos",#N/A,TRUE,"Ingresos";"costo",#N/A,TRUE,"Costo";"gastos",#N/A,TRUE,"Gastos";"datos",#N/A,TRUE,"Datos";"financieros",#N/A,TRUE,"Financieros"}</definedName>
    <definedName name="GA" localSheetId="3">'G&amp;A'!$B$4:$AM$53</definedName>
    <definedName name="GA_B" localSheetId="7">'G&amp;A_Budget'!$B$4:$AM$53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D" localSheetId="4">'R&amp;D'!$B$4:$AM$53</definedName>
    <definedName name="RD_B" localSheetId="8">'R&amp;D_Budget'!$B$4:$AM$53</definedName>
    <definedName name="SM" localSheetId="6">'S&amp;M'!$B$4:$AM$53</definedName>
    <definedName name="SM_B" localSheetId="10">'S&amp;M_Budget'!$B$4:$AM$53</definedName>
    <definedName name="ss"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684" r:id="rId13"/>
    <pivotCache cacheId="687" r:id="rId14"/>
    <pivotCache cacheId="690" r:id="rId15"/>
    <pivotCache cacheId="693" r:id="rId16"/>
    <pivotCache cacheId="696" r:id="rId17"/>
    <pivotCache cacheId="699" r:id="rId18"/>
    <pivotCache cacheId="702" r:id="rId19"/>
    <pivotCache cacheId="705" r:id="rId20"/>
    <pivotCache cacheId="708" r:id="rId21"/>
    <pivotCache cacheId="711" r:id="rId22"/>
    <pivotCache cacheId="714" r:id="rId23"/>
    <pivotCache cacheId="717" r:id="rId24"/>
    <pivotCache cacheId="720" r:id="rId25"/>
    <pivotCache cacheId="723" r:id="rId26"/>
  </pivotCaches>
  <extLst>
    <ext xmlns:x14="http://schemas.microsoft.com/office/spreadsheetml/2009/9/main" uri="{876F7934-8845-4945-9796-88D515C7AA90}">
      <x14:pivotCaches>
        <pivotCache cacheId="431" r:id="rId27"/>
      </x14:pivotCaches>
    </ex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tuals_9c5591da-d0a5-4cc8-9b71-e931fa50a6f4" name="Actuals" connection="Abfrage - Actuals"/>
          <x15:modelTable id="Budget_fa1f8c2b-2d83-4a15-83f1-ad7fce051d9e" name="Budget" connection="Abfrage - Budget"/>
          <x15:modelTable id="Actuals  2_cf1c75bd-9d94-47f7-986e-b3474bfb0342" name="Actuals  2" connection="Abfrage - Actuals (2)"/>
          <x15:modelTable id="Period-b5f1b4a4-15ea-4ccc-8808-c9c2653b5168" name="Period1" connection="WorksheetConnection_The Ultimate Dashboard_Worksheet(1).xlsx!Period1"/>
          <x15:modelTable id="Period" name="Period" connection="WorksheetConnection_The Ultimate Dashboard_Worksheet(1).xlsx!Period"/>
          <x15:modelTable id="Lookup-1a8054e2-3032-408a-8195-a9c600d084d0" name="Lookup1" connection="WorksheetConnection_The Ultimate Dashboard_Worksheet(1).xlsx!Lookup1"/>
          <x15:modelTable id="Lookup" name="Lookup" connection="WorksheetConnection_The Ultimate Dashboard_Worksheet(1).xlsx!Lookup"/>
          <x15:modelTable id="Departments" name="Departments" connection="WorksheetConnection_The Ultimate Dashboard_Worksheet(1).xlsx!Departments"/>
          <x15:modelTable id="DatePeriod-c184e7d4-172d-4c0a-9a3d-4974029ca508" name="DatePeriod1" connection="WorksheetConnection_The Ultimate Dashboard_Worksheet(1).xlsx!DatePeriod1"/>
          <x15:modelTable id="DatePeriod" name="DatePeriod" connection="WorksheetConnection_The Ultimate Dashboard_Worksheet(1).xlsx!DatePeriod"/>
          <x15:modelTable id="Calendar" name="Calendar" connection="Verbindung"/>
        </x15:modelTables>
        <x15:modelRelationships>
          <x15:modelRelationship fromTable="Actuals" fromColumn="Date" toTable="Calendar" toColumn="Date"/>
          <x15:modelRelationship fromTable="Actuals" fromColumn="Department" toTable="Departments" toColumn="Departments"/>
          <x15:modelRelationship fromTable="Actuals" fromColumn="Account" toTable="Lookup" toColumn="Account"/>
          <x15:modelRelationship fromTable="Budget" fromColumn="Date" toTable="Calendar" toColumn="Date"/>
          <x15:modelRelationship fromTable="Budget" fromColumn="Department" toTable="Departments" toColumn="Departments"/>
          <x15:modelRelationship fromTable="Budget" fromColumn="Account" toTable="Lookup" toColumn="Accoun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1" i="11" l="1"/>
  <c r="L37" i="11"/>
  <c r="M37" i="11"/>
  <c r="N37" i="11"/>
  <c r="O37" i="11"/>
  <c r="T34" i="11"/>
  <c r="U34" i="11"/>
  <c r="V34" i="11"/>
  <c r="W34" i="11"/>
  <c r="T35" i="11"/>
  <c r="U35" i="11"/>
  <c r="V35" i="11"/>
  <c r="W35" i="11"/>
  <c r="T36" i="11"/>
  <c r="U36" i="11"/>
  <c r="V36" i="11"/>
  <c r="W36" i="11"/>
  <c r="T37" i="11"/>
  <c r="U37" i="11"/>
  <c r="V37" i="11"/>
  <c r="W37" i="11"/>
  <c r="U33" i="11"/>
  <c r="V33" i="11"/>
  <c r="W33" i="11"/>
  <c r="T27" i="11"/>
  <c r="U27" i="11"/>
  <c r="V27" i="11"/>
  <c r="W27" i="11"/>
  <c r="T28" i="11"/>
  <c r="U28" i="11"/>
  <c r="V28" i="11"/>
  <c r="W28" i="11"/>
  <c r="T29" i="11"/>
  <c r="U29" i="11"/>
  <c r="V29" i="11"/>
  <c r="W29" i="11"/>
  <c r="T30" i="11"/>
  <c r="U30" i="11"/>
  <c r="V30" i="11"/>
  <c r="W30" i="11"/>
  <c r="U26" i="11"/>
  <c r="V26" i="11"/>
  <c r="W26" i="11"/>
  <c r="T20" i="11"/>
  <c r="U20" i="11"/>
  <c r="V20" i="11"/>
  <c r="W20" i="11"/>
  <c r="U21" i="11"/>
  <c r="V21" i="11"/>
  <c r="W21" i="11"/>
  <c r="T22" i="11"/>
  <c r="U22" i="11"/>
  <c r="V22" i="11"/>
  <c r="W22" i="11"/>
  <c r="T23" i="11"/>
  <c r="U23" i="11"/>
  <c r="V23" i="11"/>
  <c r="W23" i="11"/>
  <c r="U19" i="11"/>
  <c r="V19" i="11"/>
  <c r="W19" i="11"/>
  <c r="L34" i="11"/>
  <c r="M34" i="11"/>
  <c r="N34" i="11"/>
  <c r="O34" i="11"/>
  <c r="L35" i="11"/>
  <c r="M35" i="11"/>
  <c r="N35" i="11"/>
  <c r="O35" i="11"/>
  <c r="L36" i="11"/>
  <c r="M36" i="11"/>
  <c r="N36" i="11"/>
  <c r="O36" i="11"/>
  <c r="M33" i="11"/>
  <c r="N33" i="11"/>
  <c r="O33" i="11"/>
  <c r="L27" i="11"/>
  <c r="M27" i="11"/>
  <c r="N27" i="11"/>
  <c r="O27" i="11"/>
  <c r="L28" i="11"/>
  <c r="M28" i="11"/>
  <c r="N28" i="11"/>
  <c r="O28" i="11"/>
  <c r="L29" i="11"/>
  <c r="M29" i="11"/>
  <c r="N29" i="11"/>
  <c r="O29" i="11"/>
  <c r="L30" i="11"/>
  <c r="M30" i="11"/>
  <c r="N30" i="11"/>
  <c r="O30" i="11"/>
  <c r="M26" i="11"/>
  <c r="N26" i="11"/>
  <c r="O26" i="11"/>
  <c r="T33" i="11"/>
  <c r="T26" i="11"/>
  <c r="T19" i="11"/>
  <c r="L33" i="11"/>
  <c r="L26" i="11"/>
  <c r="L23" i="11"/>
  <c r="M23" i="11"/>
  <c r="N23" i="11"/>
  <c r="O23" i="11"/>
  <c r="L20" i="11"/>
  <c r="M20" i="11"/>
  <c r="N20" i="11"/>
  <c r="O20" i="11"/>
  <c r="L21" i="11"/>
  <c r="M21" i="11"/>
  <c r="N21" i="11"/>
  <c r="O21" i="11"/>
  <c r="L22" i="11"/>
  <c r="M22" i="11"/>
  <c r="N22" i="11"/>
  <c r="O22" i="11"/>
  <c r="M19" i="11"/>
  <c r="N19" i="11"/>
  <c r="O19" i="11"/>
  <c r="L19" i="11"/>
  <c r="L38" i="20"/>
  <c r="M50" i="20"/>
  <c r="O50" i="20" s="1"/>
  <c r="L50" i="20"/>
  <c r="N50" i="20" s="1"/>
  <c r="M49" i="20"/>
  <c r="O49" i="20" s="1"/>
  <c r="L49" i="20"/>
  <c r="N49" i="20" s="1"/>
  <c r="M48" i="20"/>
  <c r="O48" i="20" s="1"/>
  <c r="L48" i="20"/>
  <c r="N48" i="20" s="1"/>
  <c r="M44" i="20"/>
  <c r="O44" i="20" s="1"/>
  <c r="L44" i="20"/>
  <c r="N44" i="20" s="1"/>
  <c r="M43" i="20"/>
  <c r="O43" i="20" s="1"/>
  <c r="L43" i="20"/>
  <c r="N43" i="20" s="1"/>
  <c r="M42" i="20"/>
  <c r="O42" i="20" s="1"/>
  <c r="L42" i="20"/>
  <c r="N42" i="20" s="1"/>
  <c r="N37" i="20"/>
  <c r="M36" i="20"/>
  <c r="O36" i="20" s="1"/>
  <c r="L36" i="20"/>
  <c r="M37" i="20"/>
  <c r="O37" i="20" s="1"/>
  <c r="M38" i="20"/>
  <c r="O38" i="20" s="1"/>
  <c r="L37" i="20"/>
  <c r="F56" i="20"/>
  <c r="D21" i="11" s="1"/>
  <c r="G56" i="20"/>
  <c r="D28" i="11" s="1"/>
  <c r="H56" i="20"/>
  <c r="D35" i="11" s="1"/>
  <c r="F57" i="20"/>
  <c r="F21" i="11" s="1"/>
  <c r="G57" i="20"/>
  <c r="F28" i="11" s="1"/>
  <c r="H57" i="20"/>
  <c r="F35" i="11" s="1"/>
  <c r="H55" i="20"/>
  <c r="B35" i="11" s="1"/>
  <c r="G55" i="20"/>
  <c r="B28" i="11" s="1"/>
  <c r="F55" i="20"/>
  <c r="B21" i="11" s="1"/>
  <c r="D44" i="2"/>
  <c r="N3" i="13"/>
  <c r="P38" i="20" l="1"/>
  <c r="F22" i="11" s="1"/>
  <c r="P36" i="20"/>
  <c r="B22" i="11" s="1"/>
  <c r="N36" i="20"/>
  <c r="P37" i="20"/>
  <c r="D22" i="11" s="1"/>
  <c r="P48" i="20"/>
  <c r="B36" i="11" s="1"/>
  <c r="N38" i="20"/>
  <c r="P50" i="20"/>
  <c r="F36" i="11" s="1"/>
  <c r="P49" i="20"/>
  <c r="D36" i="11" s="1"/>
  <c r="P42" i="20"/>
  <c r="B29" i="11" s="1"/>
  <c r="P43" i="20"/>
  <c r="D29" i="11" s="1"/>
  <c r="P44" i="20"/>
  <c r="F29" i="11" s="1"/>
  <c r="K17" i="13"/>
  <c r="K28" i="13" s="1"/>
  <c r="X51" i="7" l="1"/>
  <c r="X47" i="7"/>
  <c r="N51" i="2"/>
  <c r="D51" i="2"/>
  <c r="F19" i="2"/>
  <c r="D12" i="2"/>
  <c r="D52" i="2"/>
  <c r="E4" i="2"/>
  <c r="F4" i="2" s="1"/>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D44" i="4"/>
  <c r="D36" i="4"/>
  <c r="D29" i="4"/>
  <c r="D23" i="4"/>
  <c r="F17" i="4"/>
  <c r="E33" i="10"/>
  <c r="E17" i="10"/>
  <c r="E28" i="7"/>
  <c r="E21" i="7"/>
  <c r="E17" i="7"/>
  <c r="E14" i="6"/>
  <c r="E40" i="5"/>
  <c r="F40" i="5" s="1"/>
  <c r="G40" i="5" s="1"/>
  <c r="F35" i="4"/>
  <c r="O35" i="4" s="1"/>
  <c r="V35" i="4" s="1"/>
  <c r="AC35" i="4" s="1"/>
  <c r="AD35" i="4" s="1"/>
  <c r="AI35" i="4" s="1"/>
  <c r="F41" i="2"/>
  <c r="I41" i="2" s="1"/>
  <c r="M41" i="2" s="1"/>
  <c r="Q41" i="2" s="1"/>
  <c r="U41" i="2" s="1"/>
  <c r="X41" i="2" s="1"/>
  <c r="AA41" i="2" s="1"/>
  <c r="AC41" i="2" s="1"/>
  <c r="AE41" i="2" s="1"/>
  <c r="AG41" i="2" s="1"/>
  <c r="AK41" i="2" s="1"/>
  <c r="F40" i="2"/>
  <c r="I40" i="2" s="1"/>
  <c r="M40" i="2" s="1"/>
  <c r="Q40" i="2" s="1"/>
  <c r="U40" i="2" s="1"/>
  <c r="X40" i="2" s="1"/>
  <c r="AA40" i="2" s="1"/>
  <c r="AC40" i="2" s="1"/>
  <c r="AE40" i="2" s="1"/>
  <c r="AG40" i="2" s="1"/>
  <c r="AK40" i="2" s="1"/>
  <c r="F39" i="2"/>
  <c r="I39" i="2" s="1"/>
  <c r="M39" i="2" s="1"/>
  <c r="Q39" i="2" s="1"/>
  <c r="U39" i="2" s="1"/>
  <c r="X39" i="2" s="1"/>
  <c r="AA39" i="2" s="1"/>
  <c r="AC39" i="2" s="1"/>
  <c r="AE39" i="2" s="1"/>
  <c r="AG39" i="2" s="1"/>
  <c r="AK39" i="2" s="1"/>
  <c r="F38" i="2"/>
  <c r="I38" i="2" s="1"/>
  <c r="M38" i="2" s="1"/>
  <c r="Q38" i="2" s="1"/>
  <c r="U38" i="2" s="1"/>
  <c r="X38" i="2" s="1"/>
  <c r="AA38" i="2" s="1"/>
  <c r="AC38" i="2" s="1"/>
  <c r="AE38" i="2" s="1"/>
  <c r="AG38" i="2" s="1"/>
  <c r="AK38" i="2" s="1"/>
  <c r="F37" i="2"/>
  <c r="I37" i="2" s="1"/>
  <c r="M37" i="2" s="1"/>
  <c r="Q37" i="2" s="1"/>
  <c r="U37" i="2" s="1"/>
  <c r="X37" i="2" s="1"/>
  <c r="AA37" i="2" s="1"/>
  <c r="AC37" i="2" s="1"/>
  <c r="AE37" i="2" s="1"/>
  <c r="AG37" i="2" s="1"/>
  <c r="AK37" i="2" s="1"/>
  <c r="F35" i="2"/>
  <c r="I35" i="2" s="1"/>
  <c r="M35" i="2" s="1"/>
  <c r="Q35" i="2" s="1"/>
  <c r="U35" i="2" s="1"/>
  <c r="X35" i="2" s="1"/>
  <c r="AA35" i="2" s="1"/>
  <c r="AC35" i="2" s="1"/>
  <c r="AE35" i="2" s="1"/>
  <c r="AG35" i="2" s="1"/>
  <c r="AK35" i="2" s="1"/>
  <c r="F34" i="2"/>
  <c r="I34" i="2" s="1"/>
  <c r="M34" i="2" s="1"/>
  <c r="Q34" i="2" s="1"/>
  <c r="U34" i="2" s="1"/>
  <c r="X34" i="2" s="1"/>
  <c r="AA34" i="2" s="1"/>
  <c r="AC34" i="2" s="1"/>
  <c r="AE34" i="2" s="1"/>
  <c r="AG34" i="2" s="1"/>
  <c r="AK34" i="2" s="1"/>
  <c r="F33" i="2"/>
  <c r="I33" i="2" s="1"/>
  <c r="M33" i="2" s="1"/>
  <c r="Q33" i="2" s="1"/>
  <c r="U33" i="2" s="1"/>
  <c r="X33" i="2" s="1"/>
  <c r="AA33" i="2" s="1"/>
  <c r="AC33" i="2" s="1"/>
  <c r="AE33" i="2" s="1"/>
  <c r="AG33" i="2" s="1"/>
  <c r="AK33" i="2" s="1"/>
  <c r="F32" i="2"/>
  <c r="I32" i="2" s="1"/>
  <c r="M32" i="2" s="1"/>
  <c r="Q32" i="2" s="1"/>
  <c r="U32" i="2" s="1"/>
  <c r="X32" i="2" s="1"/>
  <c r="AA32" i="2" s="1"/>
  <c r="AC32" i="2" s="1"/>
  <c r="AE32" i="2" s="1"/>
  <c r="AG32" i="2" s="1"/>
  <c r="AK32" i="2" s="1"/>
  <c r="F31" i="2"/>
  <c r="G31" i="2" s="1"/>
  <c r="H31" i="2" s="1"/>
  <c r="I31" i="2" s="1"/>
  <c r="F30" i="2"/>
  <c r="I30" i="2" s="1"/>
  <c r="M30" i="2" s="1"/>
  <c r="Q30" i="2" s="1"/>
  <c r="U30" i="2" s="1"/>
  <c r="X30" i="2" s="1"/>
  <c r="AA30" i="2" s="1"/>
  <c r="AC30" i="2" s="1"/>
  <c r="AE30" i="2" s="1"/>
  <c r="AG30" i="2" s="1"/>
  <c r="AK30" i="2" s="1"/>
  <c r="F28" i="2"/>
  <c r="I28" i="2" s="1"/>
  <c r="M28" i="2" s="1"/>
  <c r="Q28" i="2" s="1"/>
  <c r="U28" i="2" s="1"/>
  <c r="X28" i="2" s="1"/>
  <c r="AA28" i="2" s="1"/>
  <c r="AC28" i="2" s="1"/>
  <c r="AE28" i="2" s="1"/>
  <c r="AG28" i="2" s="1"/>
  <c r="AK28" i="2" s="1"/>
  <c r="F27" i="2"/>
  <c r="I27" i="2" s="1"/>
  <c r="M27" i="2" s="1"/>
  <c r="Q27" i="2" s="1"/>
  <c r="U27" i="2" s="1"/>
  <c r="X27" i="2" s="1"/>
  <c r="AA27" i="2" s="1"/>
  <c r="AC27" i="2" s="1"/>
  <c r="AE27" i="2" s="1"/>
  <c r="AG27" i="2" s="1"/>
  <c r="AK27" i="2" s="1"/>
  <c r="F26" i="2"/>
  <c r="I26" i="2" s="1"/>
  <c r="M26" i="2" s="1"/>
  <c r="Q26" i="2" s="1"/>
  <c r="U26" i="2" s="1"/>
  <c r="X26" i="2" s="1"/>
  <c r="AA26" i="2" s="1"/>
  <c r="AC26" i="2" s="1"/>
  <c r="AE26" i="2" s="1"/>
  <c r="AG26" i="2" s="1"/>
  <c r="AK26" i="2" s="1"/>
  <c r="F25" i="2"/>
  <c r="I25" i="2" s="1"/>
  <c r="M25" i="2" s="1"/>
  <c r="Q25" i="2" s="1"/>
  <c r="U25" i="2" s="1"/>
  <c r="X25" i="2" s="1"/>
  <c r="AA25" i="2" s="1"/>
  <c r="AC25" i="2" s="1"/>
  <c r="AE25" i="2" s="1"/>
  <c r="AG25" i="2" s="1"/>
  <c r="AK25" i="2" s="1"/>
  <c r="F24" i="2"/>
  <c r="I24" i="2" s="1"/>
  <c r="M24" i="2" s="1"/>
  <c r="Q24" i="2" s="1"/>
  <c r="U24" i="2" s="1"/>
  <c r="X24" i="2" s="1"/>
  <c r="AA24" i="2" s="1"/>
  <c r="AC24" i="2" s="1"/>
  <c r="AE24" i="2" s="1"/>
  <c r="AG24" i="2" s="1"/>
  <c r="AK24" i="2" s="1"/>
  <c r="F22" i="2"/>
  <c r="I22" i="2" s="1"/>
  <c r="M22" i="2" s="1"/>
  <c r="Q22" i="2" s="1"/>
  <c r="U22" i="2" s="1"/>
  <c r="X22" i="2" s="1"/>
  <c r="AA22" i="2" s="1"/>
  <c r="AC22" i="2" s="1"/>
  <c r="AE22" i="2" s="1"/>
  <c r="AG22" i="2" s="1"/>
  <c r="AK22" i="2" s="1"/>
  <c r="F21" i="2"/>
  <c r="I21" i="2" s="1"/>
  <c r="M21" i="2" s="1"/>
  <c r="Q21" i="2" s="1"/>
  <c r="U21" i="2" s="1"/>
  <c r="X21" i="2" s="1"/>
  <c r="AA21" i="2" s="1"/>
  <c r="AC21" i="2" s="1"/>
  <c r="AD21" i="2" s="1"/>
  <c r="AE21" i="2" s="1"/>
  <c r="AF21" i="2" s="1"/>
  <c r="F20" i="2"/>
  <c r="I20" i="2" s="1"/>
  <c r="M20" i="2" s="1"/>
  <c r="Q20" i="2" s="1"/>
  <c r="U20" i="2" s="1"/>
  <c r="X20" i="2" s="1"/>
  <c r="AA20" i="2" s="1"/>
  <c r="AC20" i="2" s="1"/>
  <c r="AE20" i="2" s="1"/>
  <c r="AG20" i="2" s="1"/>
  <c r="AK20" i="2" s="1"/>
  <c r="I19" i="2"/>
  <c r="M19" i="2" s="1"/>
  <c r="Q19" i="2" s="1"/>
  <c r="U19" i="2" s="1"/>
  <c r="X19" i="2" s="1"/>
  <c r="AA19" i="2" s="1"/>
  <c r="AC19" i="2" s="1"/>
  <c r="AE19" i="2" s="1"/>
  <c r="AG19" i="2" s="1"/>
  <c r="AK19" i="2" s="1"/>
  <c r="F18" i="2"/>
  <c r="I18" i="2" s="1"/>
  <c r="M18" i="2" s="1"/>
  <c r="Q18" i="2" s="1"/>
  <c r="U18" i="2" s="1"/>
  <c r="X18" i="2" s="1"/>
  <c r="AA18" i="2" s="1"/>
  <c r="AC18" i="2" s="1"/>
  <c r="AE18" i="2" s="1"/>
  <c r="AG18" i="2" s="1"/>
  <c r="AK18" i="2" s="1"/>
  <c r="F17" i="2"/>
  <c r="I17" i="2" s="1"/>
  <c r="M17" i="2" s="1"/>
  <c r="Q17" i="2" s="1"/>
  <c r="U17" i="2" s="1"/>
  <c r="X17" i="2" s="1"/>
  <c r="AA17" i="2" s="1"/>
  <c r="AC17" i="2" s="1"/>
  <c r="AE17" i="2" s="1"/>
  <c r="AG17" i="2" s="1"/>
  <c r="AK17" i="2" s="1"/>
  <c r="F16" i="2"/>
  <c r="K37" i="13" l="1"/>
  <c r="K20" i="13"/>
  <c r="K18" i="13"/>
  <c r="K27" i="13" s="1"/>
  <c r="K10" i="13"/>
  <c r="K30" i="13" s="1"/>
  <c r="K19" i="13"/>
  <c r="K15" i="13"/>
  <c r="K25" i="13" s="1"/>
  <c r="K13" i="13"/>
  <c r="K33" i="13" s="1"/>
  <c r="K11" i="13"/>
  <c r="K21" i="13" s="1"/>
  <c r="K9" i="13"/>
  <c r="K29" i="13" s="1"/>
  <c r="I16" i="2"/>
  <c r="M16" i="2" s="1"/>
  <c r="Q16" i="2" s="1"/>
  <c r="U16" i="2" s="1"/>
  <c r="X16" i="2" s="1"/>
  <c r="AA16" i="2" s="1"/>
  <c r="AC16" i="2" s="1"/>
  <c r="AE16" i="2" s="1"/>
  <c r="AG16" i="2" s="1"/>
  <c r="AK16" i="2" s="1"/>
  <c r="AG21" i="2"/>
  <c r="AK21" i="2" s="1"/>
  <c r="AL21" i="2" s="1"/>
  <c r="AM21" i="2" s="1"/>
  <c r="M31" i="2"/>
  <c r="Q31" i="2" s="1"/>
  <c r="K38" i="13" l="1"/>
  <c r="K31" i="13"/>
  <c r="K23" i="13"/>
  <c r="K35" i="13"/>
  <c r="K14" i="13"/>
  <c r="K16" i="13"/>
  <c r="K12" i="13"/>
  <c r="R31" i="2"/>
  <c r="S31" i="2" s="1"/>
  <c r="U31" i="2" s="1"/>
  <c r="X31" i="2" s="1"/>
  <c r="K26" i="13" l="1"/>
  <c r="K36" i="13"/>
  <c r="K22" i="13"/>
  <c r="K32" i="13"/>
  <c r="K24" i="13"/>
  <c r="K34" i="13"/>
  <c r="Y31" i="2"/>
  <c r="Z31" i="2" s="1"/>
  <c r="AA31" i="2" s="1"/>
  <c r="AC31" i="2" s="1"/>
  <c r="AE31" i="2" s="1"/>
  <c r="AG31" i="2" l="1"/>
  <c r="AH31" i="2" s="1"/>
  <c r="AI31" i="2" s="1"/>
  <c r="AK31" i="2" s="1"/>
  <c r="D32" i="9" l="1"/>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E51" i="10"/>
  <c r="E47" i="10"/>
  <c r="G31" i="10"/>
  <c r="G14"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E4" i="10"/>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E51" i="9"/>
  <c r="F47"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AL7" i="9"/>
  <c r="AK7" i="9"/>
  <c r="AJ7" i="9"/>
  <c r="AI7" i="9"/>
  <c r="AH7" i="9"/>
  <c r="AG7" i="9"/>
  <c r="AF7" i="9"/>
  <c r="AE7" i="9"/>
  <c r="AD7" i="9"/>
  <c r="AC7" i="9"/>
  <c r="AB7" i="9"/>
  <c r="AA7" i="9"/>
  <c r="AA12" i="9" s="1"/>
  <c r="Z7" i="9"/>
  <c r="Y7" i="9"/>
  <c r="X7" i="9"/>
  <c r="W7" i="9"/>
  <c r="V7" i="9"/>
  <c r="U7" i="9"/>
  <c r="T7" i="9"/>
  <c r="S7" i="9"/>
  <c r="S12" i="9" s="1"/>
  <c r="R7" i="9"/>
  <c r="Q7" i="9"/>
  <c r="P7" i="9"/>
  <c r="O7" i="9"/>
  <c r="N7" i="9"/>
  <c r="M7" i="9"/>
  <c r="L7" i="9"/>
  <c r="K7" i="9"/>
  <c r="K12" i="9" s="1"/>
  <c r="J7" i="9"/>
  <c r="I7" i="9"/>
  <c r="H7" i="9"/>
  <c r="G7" i="9"/>
  <c r="F7" i="9"/>
  <c r="E7" i="9"/>
  <c r="E4" i="9"/>
  <c r="F4" i="9" s="1"/>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E51" i="8"/>
  <c r="E47"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11"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E7" i="8"/>
  <c r="E4" i="8"/>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J25" i="7"/>
  <c r="E4" i="7"/>
  <c r="F4" i="7" s="1"/>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E47" i="2"/>
  <c r="F6" i="2"/>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E47"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E4" i="6"/>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E51" i="5"/>
  <c r="E47" i="5"/>
  <c r="G31" i="5"/>
  <c r="H31" i="5" s="1"/>
  <c r="I31" i="5" s="1"/>
  <c r="F20" i="5"/>
  <c r="G20" i="5" s="1"/>
  <c r="AL11" i="5"/>
  <c r="AK11" i="5"/>
  <c r="AJ11" i="5"/>
  <c r="AI11" i="5"/>
  <c r="AH11" i="5"/>
  <c r="AG11"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AL7" i="5"/>
  <c r="AK7" i="5"/>
  <c r="AJ7" i="5"/>
  <c r="AI7" i="5"/>
  <c r="AH7" i="5"/>
  <c r="AG7" i="5"/>
  <c r="AF7" i="5"/>
  <c r="AF12" i="5" s="1"/>
  <c r="AE7" i="5"/>
  <c r="AD7" i="5"/>
  <c r="AC7" i="5"/>
  <c r="AB7" i="5"/>
  <c r="AA7" i="5"/>
  <c r="Z7" i="5"/>
  <c r="Y7" i="5"/>
  <c r="X7" i="5"/>
  <c r="W7" i="5"/>
  <c r="V7" i="5"/>
  <c r="U7" i="5"/>
  <c r="T7" i="5"/>
  <c r="S7" i="5"/>
  <c r="R7" i="5"/>
  <c r="Q7" i="5"/>
  <c r="P7" i="5"/>
  <c r="P12" i="5" s="1"/>
  <c r="O7" i="5"/>
  <c r="N7" i="5"/>
  <c r="M7" i="5"/>
  <c r="L7" i="5"/>
  <c r="K7" i="5"/>
  <c r="J7" i="5"/>
  <c r="I7" i="5"/>
  <c r="H7" i="5"/>
  <c r="G7" i="5"/>
  <c r="F7" i="5"/>
  <c r="E7" i="5"/>
  <c r="E4" i="5"/>
  <c r="F4" i="5" s="1"/>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D34" i="4"/>
  <c r="F34" i="4" s="1"/>
  <c r="O34" i="4" s="1"/>
  <c r="V34" i="4" s="1"/>
  <c r="AC34" i="4" s="1"/>
  <c r="AD34" i="4" s="1"/>
  <c r="AI34" i="4" s="1"/>
  <c r="D32" i="4"/>
  <c r="F32" i="4" s="1"/>
  <c r="O32" i="4" s="1"/>
  <c r="V32" i="4" s="1"/>
  <c r="AC32" i="4" s="1"/>
  <c r="AD32" i="4" s="1"/>
  <c r="AI32" i="4" s="1"/>
  <c r="D33" i="4"/>
  <c r="F33" i="4" s="1"/>
  <c r="O33" i="4" s="1"/>
  <c r="V33" i="4" s="1"/>
  <c r="AC33" i="4" s="1"/>
  <c r="AD33" i="4" s="1"/>
  <c r="AI33" i="4" s="1"/>
  <c r="O51" i="4"/>
  <c r="N51" i="4"/>
  <c r="M51" i="4"/>
  <c r="L51" i="4"/>
  <c r="K51" i="4"/>
  <c r="J51" i="4"/>
  <c r="I51" i="4"/>
  <c r="H51" i="4"/>
  <c r="G51" i="4"/>
  <c r="F51" i="4"/>
  <c r="E51" i="4"/>
  <c r="F31" i="4"/>
  <c r="T12" i="5" l="1"/>
  <c r="X12" i="5"/>
  <c r="H12" i="5"/>
  <c r="AJ12" i="5"/>
  <c r="G16" i="5"/>
  <c r="J12" i="5"/>
  <c r="R12" i="5"/>
  <c r="Z12" i="5"/>
  <c r="AH12" i="5"/>
  <c r="E52" i="5"/>
  <c r="H28" i="6"/>
  <c r="F16" i="8"/>
  <c r="G32" i="8"/>
  <c r="Q32" i="8" s="1"/>
  <c r="X32" i="8" s="1"/>
  <c r="AE32" i="8" s="1"/>
  <c r="AH32" i="8" s="1"/>
  <c r="AL32" i="8" s="1"/>
  <c r="J16" i="9"/>
  <c r="F15" i="2"/>
  <c r="I15" i="2" s="1"/>
  <c r="G17" i="8"/>
  <c r="G17" i="9"/>
  <c r="F16" i="10"/>
  <c r="J32" i="10"/>
  <c r="R12" i="6"/>
  <c r="G16" i="6"/>
  <c r="F31" i="6"/>
  <c r="AI12" i="9"/>
  <c r="K12" i="10"/>
  <c r="S12" i="10"/>
  <c r="AA12" i="10"/>
  <c r="AI12" i="10"/>
  <c r="S17" i="10"/>
  <c r="L28" i="5"/>
  <c r="M28" i="5" s="1"/>
  <c r="N28" i="5" s="1"/>
  <c r="M28" i="8"/>
  <c r="H39" i="8"/>
  <c r="N12" i="9"/>
  <c r="AD12" i="9"/>
  <c r="F17" i="6"/>
  <c r="I17" i="6" s="1"/>
  <c r="R17" i="6" s="1"/>
  <c r="W17" i="6" s="1"/>
  <c r="X17" i="6" s="1"/>
  <c r="AB17" i="6" s="1"/>
  <c r="AC17" i="6" s="1"/>
  <c r="AH17" i="6" s="1"/>
  <c r="AM17" i="6" s="1"/>
  <c r="K17" i="7"/>
  <c r="H28" i="4"/>
  <c r="O28" i="4" s="1"/>
  <c r="E7" i="7"/>
  <c r="F6" i="7"/>
  <c r="M39" i="10"/>
  <c r="P39" i="10" s="1"/>
  <c r="H32" i="6"/>
  <c r="H17" i="5"/>
  <c r="I17" i="5" s="1"/>
  <c r="R17" i="5" s="1"/>
  <c r="S17" i="5" s="1"/>
  <c r="AB17" i="5" s="1"/>
  <c r="AC17" i="5" s="1"/>
  <c r="AH17" i="5" s="1"/>
  <c r="J21" i="7"/>
  <c r="AF40" i="10"/>
  <c r="L33" i="10"/>
  <c r="T33" i="10" s="1"/>
  <c r="Y33" i="10" s="1"/>
  <c r="F31" i="7"/>
  <c r="L31" i="7" s="1"/>
  <c r="I27" i="7"/>
  <c r="F16" i="7"/>
  <c r="E29" i="8"/>
  <c r="E11" i="7"/>
  <c r="E29" i="6"/>
  <c r="G12" i="9"/>
  <c r="W12" i="9"/>
  <c r="AE12" i="10"/>
  <c r="F52" i="9"/>
  <c r="J12" i="10"/>
  <c r="Z12" i="10"/>
  <c r="L12" i="6"/>
  <c r="T12" i="6"/>
  <c r="AB12" i="6"/>
  <c r="AJ12" i="6"/>
  <c r="AF12" i="10"/>
  <c r="E52" i="8"/>
  <c r="Y12" i="9"/>
  <c r="L12" i="9"/>
  <c r="AB12" i="9"/>
  <c r="AG12" i="6"/>
  <c r="E12" i="9"/>
  <c r="M12" i="9"/>
  <c r="U12" i="9"/>
  <c r="AC12" i="9"/>
  <c r="AK12" i="9"/>
  <c r="E29" i="9"/>
  <c r="E47" i="4"/>
  <c r="E52" i="4" s="1"/>
  <c r="E12" i="5"/>
  <c r="M12" i="5"/>
  <c r="U12" i="5"/>
  <c r="AC12" i="5"/>
  <c r="AK12" i="5"/>
  <c r="S12" i="5"/>
  <c r="AI12" i="5"/>
  <c r="I12" i="6"/>
  <c r="Q12" i="6"/>
  <c r="Y12" i="6"/>
  <c r="E12" i="8"/>
  <c r="E47" i="9"/>
  <c r="E52" i="9" s="1"/>
  <c r="I12" i="10"/>
  <c r="Y12" i="10"/>
  <c r="O12" i="10"/>
  <c r="P12" i="10"/>
  <c r="J12" i="6"/>
  <c r="Z12" i="6"/>
  <c r="AH12" i="6"/>
  <c r="I12" i="5"/>
  <c r="Q12" i="5"/>
  <c r="Y12" i="5"/>
  <c r="AG12" i="5"/>
  <c r="E12" i="6"/>
  <c r="M12" i="6"/>
  <c r="U12" i="6"/>
  <c r="AC12" i="6"/>
  <c r="AK12" i="6"/>
  <c r="S12" i="6"/>
  <c r="AI12" i="6"/>
  <c r="E11" i="2"/>
  <c r="F11" i="8"/>
  <c r="F12" i="8" s="1"/>
  <c r="F12" i="6"/>
  <c r="N12" i="6"/>
  <c r="V12" i="6"/>
  <c r="AD12" i="6"/>
  <c r="AL12" i="6"/>
  <c r="H12" i="9"/>
  <c r="X12" i="9"/>
  <c r="E23" i="10"/>
  <c r="I12" i="9"/>
  <c r="E29" i="10"/>
  <c r="J12" i="9"/>
  <c r="R12" i="9"/>
  <c r="Z12" i="9"/>
  <c r="AH12" i="9"/>
  <c r="P12" i="9"/>
  <c r="AF12" i="9"/>
  <c r="E23" i="5"/>
  <c r="E7" i="2"/>
  <c r="Q12" i="10"/>
  <c r="AG12" i="10"/>
  <c r="K12" i="5"/>
  <c r="AA12" i="5"/>
  <c r="F47" i="5"/>
  <c r="F52" i="5" s="1"/>
  <c r="G12" i="6"/>
  <c r="O12" i="6"/>
  <c r="W12" i="6"/>
  <c r="AE12" i="6"/>
  <c r="L12" i="10"/>
  <c r="T12" i="10"/>
  <c r="AB12" i="10"/>
  <c r="AJ12" i="10"/>
  <c r="R12" i="10"/>
  <c r="AH12" i="10"/>
  <c r="F29" i="10"/>
  <c r="E52" i="10"/>
  <c r="F23" i="6"/>
  <c r="E23" i="4"/>
  <c r="E29" i="5"/>
  <c r="L12" i="5"/>
  <c r="AB12" i="5"/>
  <c r="H12" i="6"/>
  <c r="P12" i="6"/>
  <c r="X12" i="6"/>
  <c r="AF12" i="6"/>
  <c r="E52" i="6"/>
  <c r="F12" i="9"/>
  <c r="V12" i="9"/>
  <c r="AL12" i="9"/>
  <c r="T12" i="9"/>
  <c r="AJ12" i="9"/>
  <c r="E12" i="10"/>
  <c r="M12" i="10"/>
  <c r="U12" i="10"/>
  <c r="AC12" i="10"/>
  <c r="AK12" i="10"/>
  <c r="F47" i="10"/>
  <c r="F52" i="10" s="1"/>
  <c r="F12" i="10"/>
  <c r="N12" i="10"/>
  <c r="V12" i="10"/>
  <c r="AD12" i="10"/>
  <c r="AL12" i="10"/>
  <c r="F12" i="5"/>
  <c r="N12" i="5"/>
  <c r="V12" i="5"/>
  <c r="AD12" i="5"/>
  <c r="AL12" i="5"/>
  <c r="G12" i="10"/>
  <c r="W12" i="10"/>
  <c r="G12" i="5"/>
  <c r="O12" i="5"/>
  <c r="W12" i="5"/>
  <c r="AE12" i="5"/>
  <c r="K12" i="6"/>
  <c r="AA12" i="6"/>
  <c r="E43" i="7"/>
  <c r="F47" i="8"/>
  <c r="F52" i="8" s="1"/>
  <c r="Q12" i="9"/>
  <c r="AG12" i="9"/>
  <c r="O12" i="9"/>
  <c r="AE12" i="9"/>
  <c r="H12" i="10"/>
  <c r="X12" i="10"/>
  <c r="E43" i="8"/>
  <c r="E36" i="7"/>
  <c r="F36" i="10"/>
  <c r="E43" i="10"/>
  <c r="E36" i="10"/>
  <c r="F23" i="9"/>
  <c r="H31" i="9"/>
  <c r="F36" i="9"/>
  <c r="E23" i="9"/>
  <c r="E43" i="9"/>
  <c r="E44" i="9" s="1"/>
  <c r="F43" i="9"/>
  <c r="E36" i="9"/>
  <c r="F36" i="8"/>
  <c r="E36" i="8"/>
  <c r="F23" i="7"/>
  <c r="F11" i="7"/>
  <c r="F29" i="7"/>
  <c r="F47" i="7"/>
  <c r="E29" i="7"/>
  <c r="E23" i="7"/>
  <c r="E47" i="7"/>
  <c r="E51" i="7"/>
  <c r="E36" i="2"/>
  <c r="F29" i="2"/>
  <c r="F23" i="2"/>
  <c r="F7" i="2"/>
  <c r="H6" i="2"/>
  <c r="H23" i="2"/>
  <c r="E23" i="2"/>
  <c r="E43" i="2"/>
  <c r="G23" i="2"/>
  <c r="E29" i="2"/>
  <c r="E51" i="2"/>
  <c r="E52" i="2" s="1"/>
  <c r="E23" i="6"/>
  <c r="E43" i="6"/>
  <c r="E36" i="6"/>
  <c r="F36" i="5"/>
  <c r="E43" i="5"/>
  <c r="E44" i="5" s="1"/>
  <c r="E36" i="5"/>
  <c r="E43" i="4"/>
  <c r="F29" i="4"/>
  <c r="G47" i="4"/>
  <c r="G52" i="4" s="1"/>
  <c r="F36" i="4"/>
  <c r="E36" i="4"/>
  <c r="E29" i="4"/>
  <c r="F47" i="4"/>
  <c r="F52" i="4" s="1"/>
  <c r="D51" i="10"/>
  <c r="D47" i="10"/>
  <c r="D43" i="10"/>
  <c r="D42" i="10"/>
  <c r="D36" i="10"/>
  <c r="D29" i="10"/>
  <c r="D23" i="10"/>
  <c r="D11" i="10"/>
  <c r="D7" i="10"/>
  <c r="AM4" i="10"/>
  <c r="D51" i="9"/>
  <c r="D47" i="9"/>
  <c r="D43" i="9"/>
  <c r="D42" i="9"/>
  <c r="D36" i="9"/>
  <c r="D29" i="9"/>
  <c r="D23" i="9"/>
  <c r="D11" i="9"/>
  <c r="D7" i="9"/>
  <c r="AM4" i="9"/>
  <c r="D51" i="8"/>
  <c r="D47" i="8"/>
  <c r="D43" i="8"/>
  <c r="D42" i="8"/>
  <c r="D36" i="8"/>
  <c r="D29" i="8"/>
  <c r="D23" i="8"/>
  <c r="D11" i="8"/>
  <c r="D7" i="8"/>
  <c r="AM4" i="8"/>
  <c r="D51" i="7"/>
  <c r="D47" i="7"/>
  <c r="D43" i="7"/>
  <c r="D42" i="7"/>
  <c r="D36" i="7"/>
  <c r="D29" i="7"/>
  <c r="D23" i="7"/>
  <c r="D11" i="7"/>
  <c r="D7" i="7"/>
  <c r="AM4" i="7"/>
  <c r="D47" i="6"/>
  <c r="D47" i="5"/>
  <c r="D47" i="2"/>
  <c r="D47" i="4"/>
  <c r="D51" i="6"/>
  <c r="D43" i="6"/>
  <c r="D42" i="6"/>
  <c r="D36" i="6"/>
  <c r="D29" i="6"/>
  <c r="D23" i="6"/>
  <c r="D11" i="6"/>
  <c r="D7" i="6"/>
  <c r="AM4" i="6"/>
  <c r="D51" i="5"/>
  <c r="D43" i="5"/>
  <c r="D42" i="5"/>
  <c r="D36" i="5"/>
  <c r="D29" i="5"/>
  <c r="D23" i="5"/>
  <c r="D11" i="5"/>
  <c r="D7" i="5"/>
  <c r="AM4" i="5"/>
  <c r="P51" i="4"/>
  <c r="D51" i="4"/>
  <c r="Q51" i="4"/>
  <c r="D43" i="4"/>
  <c r="D42" i="4"/>
  <c r="P11" i="4"/>
  <c r="O11" i="4"/>
  <c r="N11" i="4"/>
  <c r="M11" i="4"/>
  <c r="L11" i="4"/>
  <c r="K11" i="4"/>
  <c r="J11" i="4"/>
  <c r="I11" i="4"/>
  <c r="H11" i="4"/>
  <c r="G11" i="4"/>
  <c r="F11" i="4"/>
  <c r="E11" i="4"/>
  <c r="D11" i="4"/>
  <c r="Q11" i="4"/>
  <c r="O7" i="4"/>
  <c r="N7" i="4"/>
  <c r="M7" i="4"/>
  <c r="L7" i="4"/>
  <c r="K7" i="4"/>
  <c r="J7" i="4"/>
  <c r="I7" i="4"/>
  <c r="H7" i="4"/>
  <c r="G7" i="4"/>
  <c r="F7" i="4"/>
  <c r="E7" i="4"/>
  <c r="D7" i="4"/>
  <c r="P7" i="4"/>
  <c r="E4" i="4"/>
  <c r="F4" i="4" s="1"/>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D7" i="2"/>
  <c r="D11" i="2"/>
  <c r="D23" i="2"/>
  <c r="D29" i="2"/>
  <c r="D36" i="2"/>
  <c r="D42" i="2"/>
  <c r="D43" i="2"/>
  <c r="E44" i="10" l="1"/>
  <c r="E53" i="10" s="1"/>
  <c r="E53" i="5"/>
  <c r="F36" i="7"/>
  <c r="G36" i="8"/>
  <c r="P12" i="4"/>
  <c r="E12" i="7"/>
  <c r="N16" i="6"/>
  <c r="O16" i="5"/>
  <c r="AK40" i="10"/>
  <c r="Q17" i="7"/>
  <c r="T28" i="8"/>
  <c r="S32" i="10"/>
  <c r="Q28" i="6"/>
  <c r="J33" i="6"/>
  <c r="O33" i="6" s="1"/>
  <c r="T33" i="6" s="1"/>
  <c r="X33" i="6" s="1"/>
  <c r="Q21" i="7"/>
  <c r="R21" i="7" s="1"/>
  <c r="Y28" i="5"/>
  <c r="Z28" i="5" s="1"/>
  <c r="N16" i="10"/>
  <c r="W16" i="9"/>
  <c r="D12" i="10"/>
  <c r="E12" i="2"/>
  <c r="J17" i="4"/>
  <c r="K17" i="4" s="1"/>
  <c r="AF17" i="10"/>
  <c r="R17" i="9"/>
  <c r="E44" i="7"/>
  <c r="M32" i="6"/>
  <c r="O39" i="8"/>
  <c r="N17" i="8"/>
  <c r="M16" i="8"/>
  <c r="N16" i="8" s="1"/>
  <c r="T28" i="4"/>
  <c r="P27" i="7"/>
  <c r="J16" i="7"/>
  <c r="K16" i="7" s="1"/>
  <c r="E44" i="8"/>
  <c r="E53" i="8" s="1"/>
  <c r="M15" i="2"/>
  <c r="F43" i="5"/>
  <c r="F44" i="5" s="1"/>
  <c r="F53" i="5" s="1"/>
  <c r="E44" i="6"/>
  <c r="E53" i="6" s="1"/>
  <c r="G11" i="8"/>
  <c r="G12" i="8" s="1"/>
  <c r="G47" i="8"/>
  <c r="G52" i="8" s="1"/>
  <c r="D52" i="5"/>
  <c r="F44" i="9"/>
  <c r="F53" i="9" s="1"/>
  <c r="E53" i="9"/>
  <c r="D52" i="6"/>
  <c r="D52" i="4"/>
  <c r="D12" i="4"/>
  <c r="L12" i="4"/>
  <c r="F36" i="6"/>
  <c r="E12" i="4"/>
  <c r="E44" i="4" s="1"/>
  <c r="E53" i="4" s="1"/>
  <c r="D52" i="7"/>
  <c r="F43" i="6"/>
  <c r="F44" i="6" s="1"/>
  <c r="I12" i="4"/>
  <c r="G47" i="10"/>
  <c r="G52" i="10" s="1"/>
  <c r="G29" i="10"/>
  <c r="F23" i="10"/>
  <c r="G43" i="10"/>
  <c r="G44" i="10" s="1"/>
  <c r="F43" i="10"/>
  <c r="F44" i="10" s="1"/>
  <c r="F53" i="10" s="1"/>
  <c r="G36" i="10"/>
  <c r="G47" i="9"/>
  <c r="G52" i="9" s="1"/>
  <c r="F29" i="9"/>
  <c r="G36" i="9"/>
  <c r="G23" i="9"/>
  <c r="F29" i="8"/>
  <c r="G43" i="8"/>
  <c r="D12" i="8"/>
  <c r="D44" i="8" s="1"/>
  <c r="J31" i="8"/>
  <c r="H36" i="8"/>
  <c r="F43" i="8"/>
  <c r="F44" i="8" s="1"/>
  <c r="F53" i="8" s="1"/>
  <c r="F7" i="7"/>
  <c r="F12" i="7" s="1"/>
  <c r="F43" i="7"/>
  <c r="F51" i="7"/>
  <c r="F52" i="7" s="1"/>
  <c r="G36" i="7"/>
  <c r="D12" i="7"/>
  <c r="D44" i="7" s="1"/>
  <c r="E52" i="7"/>
  <c r="E53" i="7" s="1"/>
  <c r="G47" i="7"/>
  <c r="G29" i="7"/>
  <c r="G11" i="7"/>
  <c r="G23" i="7"/>
  <c r="F36" i="2"/>
  <c r="F11" i="2"/>
  <c r="F12" i="2" s="1"/>
  <c r="F47" i="2"/>
  <c r="E44" i="2"/>
  <c r="E53" i="2" s="1"/>
  <c r="I23" i="2"/>
  <c r="F43" i="2"/>
  <c r="G7" i="2"/>
  <c r="F51" i="2"/>
  <c r="G29" i="2"/>
  <c r="G23" i="6"/>
  <c r="F29" i="6"/>
  <c r="F47" i="6"/>
  <c r="F52" i="6" s="1"/>
  <c r="G36" i="6"/>
  <c r="H36" i="6"/>
  <c r="F23" i="5"/>
  <c r="G47" i="5"/>
  <c r="G52" i="5" s="1"/>
  <c r="F29" i="5"/>
  <c r="G36" i="5"/>
  <c r="G43" i="4"/>
  <c r="F23" i="4"/>
  <c r="G36" i="4"/>
  <c r="H47" i="4"/>
  <c r="H52" i="4" s="1"/>
  <c r="G29" i="4"/>
  <c r="F43" i="4"/>
  <c r="D52" i="8"/>
  <c r="D52" i="9"/>
  <c r="D52" i="10"/>
  <c r="D44" i="10"/>
  <c r="D12" i="9"/>
  <c r="D44" i="9" s="1"/>
  <c r="D12" i="6"/>
  <c r="D44" i="6" s="1"/>
  <c r="D12" i="5"/>
  <c r="D44" i="5" s="1"/>
  <c r="N12" i="4"/>
  <c r="M12" i="4"/>
  <c r="F12" i="4"/>
  <c r="G12" i="4"/>
  <c r="H12" i="4"/>
  <c r="J12" i="4"/>
  <c r="K12" i="4"/>
  <c r="O12" i="4"/>
  <c r="D53" i="2"/>
  <c r="D53" i="6" l="1"/>
  <c r="D53" i="7"/>
  <c r="Z28" i="6"/>
  <c r="AE16" i="9"/>
  <c r="AL16" i="9" s="1"/>
  <c r="Y32" i="10"/>
  <c r="R16" i="8"/>
  <c r="T32" i="6"/>
  <c r="W16" i="10"/>
  <c r="Y28" i="8"/>
  <c r="AF28" i="5"/>
  <c r="AK28" i="5" s="1"/>
  <c r="AL28" i="5" s="1"/>
  <c r="W17" i="7"/>
  <c r="AA28" i="4"/>
  <c r="AB17" i="9"/>
  <c r="U16" i="5"/>
  <c r="V16" i="5" s="1"/>
  <c r="Q17" i="4"/>
  <c r="R17" i="4" s="1"/>
  <c r="R16" i="6"/>
  <c r="S16" i="6" s="1"/>
  <c r="R17" i="8"/>
  <c r="V39" i="8"/>
  <c r="X21" i="7"/>
  <c r="V27" i="7"/>
  <c r="N16" i="7"/>
  <c r="O16" i="7" s="1"/>
  <c r="Q15" i="2"/>
  <c r="D53" i="5"/>
  <c r="D53" i="10"/>
  <c r="D53" i="4"/>
  <c r="G53" i="10"/>
  <c r="F44" i="4"/>
  <c r="F53" i="4" s="1"/>
  <c r="G44" i="4"/>
  <c r="G53" i="4" s="1"/>
  <c r="F53" i="6"/>
  <c r="D53" i="8"/>
  <c r="G44" i="8"/>
  <c r="G53" i="8" s="1"/>
  <c r="G23" i="10"/>
  <c r="H36" i="10"/>
  <c r="H29" i="10"/>
  <c r="H47" i="10"/>
  <c r="H52" i="10" s="1"/>
  <c r="H36" i="9"/>
  <c r="G29" i="9"/>
  <c r="G43" i="9"/>
  <c r="G44" i="9" s="1"/>
  <c r="G53" i="9" s="1"/>
  <c r="H23" i="9"/>
  <c r="D53" i="9"/>
  <c r="H47" i="9"/>
  <c r="H52" i="9" s="1"/>
  <c r="I36" i="8"/>
  <c r="H11" i="8"/>
  <c r="H12" i="8" s="1"/>
  <c r="G29" i="8"/>
  <c r="H43" i="8"/>
  <c r="H47" i="8"/>
  <c r="H52" i="8" s="1"/>
  <c r="H47" i="7"/>
  <c r="G43" i="7"/>
  <c r="G51" i="7"/>
  <c r="G52" i="7" s="1"/>
  <c r="H11" i="7"/>
  <c r="F44" i="7"/>
  <c r="F53" i="7" s="1"/>
  <c r="H36" i="7"/>
  <c r="H23" i="7"/>
  <c r="G7" i="7"/>
  <c r="G12" i="7" s="1"/>
  <c r="H29" i="7"/>
  <c r="F44" i="2"/>
  <c r="H7" i="2"/>
  <c r="G51" i="2"/>
  <c r="J23" i="2"/>
  <c r="G47" i="2"/>
  <c r="F52" i="2"/>
  <c r="H29" i="2"/>
  <c r="G11" i="2"/>
  <c r="G12" i="2" s="1"/>
  <c r="G43" i="2"/>
  <c r="G36" i="2"/>
  <c r="G47" i="6"/>
  <c r="G52" i="6" s="1"/>
  <c r="G29" i="6"/>
  <c r="H43" i="6"/>
  <c r="H44" i="6" s="1"/>
  <c r="G43" i="6"/>
  <c r="G44" i="6" s="1"/>
  <c r="H23" i="6"/>
  <c r="I36" i="6"/>
  <c r="G23" i="5"/>
  <c r="H36" i="5"/>
  <c r="G29" i="5"/>
  <c r="H47" i="5"/>
  <c r="H52" i="5" s="1"/>
  <c r="G43" i="5"/>
  <c r="G44" i="5" s="1"/>
  <c r="G53" i="5" s="1"/>
  <c r="H29" i="4"/>
  <c r="I47" i="4"/>
  <c r="I52" i="4" s="1"/>
  <c r="H36" i="4"/>
  <c r="G23" i="4"/>
  <c r="H43" i="4"/>
  <c r="H44" i="4" s="1"/>
  <c r="H53" i="4" s="1"/>
  <c r="R11" i="4"/>
  <c r="R51" i="4"/>
  <c r="Q7" i="4"/>
  <c r="Q12" i="4" s="1"/>
  <c r="AB21" i="7" l="1"/>
  <c r="W16" i="6"/>
  <c r="X16" i="6" s="1"/>
  <c r="U17" i="4"/>
  <c r="AD28" i="8"/>
  <c r="AC16" i="10"/>
  <c r="AJ17" i="9"/>
  <c r="W32" i="6"/>
  <c r="V16" i="8"/>
  <c r="W16" i="8" s="1"/>
  <c r="AE28" i="4"/>
  <c r="AB17" i="7"/>
  <c r="Y17" i="8"/>
  <c r="AF28" i="6"/>
  <c r="AL28" i="6" s="1"/>
  <c r="AB39" i="8"/>
  <c r="Y16" i="5"/>
  <c r="Z16" i="5" s="1"/>
  <c r="Z27" i="7"/>
  <c r="R16" i="7"/>
  <c r="S16" i="7" s="1"/>
  <c r="U15" i="2"/>
  <c r="G52" i="2"/>
  <c r="G53" i="6"/>
  <c r="G44" i="7"/>
  <c r="G53" i="7" s="1"/>
  <c r="I36" i="10"/>
  <c r="I29" i="10"/>
  <c r="H23" i="10"/>
  <c r="H43" i="10"/>
  <c r="H44" i="10" s="1"/>
  <c r="H53" i="10" s="1"/>
  <c r="I47" i="10"/>
  <c r="I52" i="10" s="1"/>
  <c r="H29" i="9"/>
  <c r="H43" i="9"/>
  <c r="H44" i="9" s="1"/>
  <c r="H53" i="9" s="1"/>
  <c r="I47" i="9"/>
  <c r="I52" i="9" s="1"/>
  <c r="I23" i="9"/>
  <c r="I36" i="9"/>
  <c r="I43" i="9"/>
  <c r="I44" i="9" s="1"/>
  <c r="I11" i="8"/>
  <c r="I12" i="8" s="1"/>
  <c r="H44" i="8"/>
  <c r="H53" i="8" s="1"/>
  <c r="I47" i="8"/>
  <c r="I52" i="8" s="1"/>
  <c r="J36" i="8"/>
  <c r="H29" i="8"/>
  <c r="I43" i="8"/>
  <c r="H7" i="7"/>
  <c r="H12" i="7" s="1"/>
  <c r="H51" i="7"/>
  <c r="H52" i="7" s="1"/>
  <c r="H43" i="7"/>
  <c r="I11" i="7"/>
  <c r="I47" i="7"/>
  <c r="I23" i="7"/>
  <c r="I36" i="7"/>
  <c r="I29" i="7"/>
  <c r="G44" i="2"/>
  <c r="F53" i="2"/>
  <c r="H11" i="2"/>
  <c r="H12" i="2" s="1"/>
  <c r="K23" i="2"/>
  <c r="H36" i="2"/>
  <c r="I7" i="2"/>
  <c r="K6" i="2"/>
  <c r="H51" i="2"/>
  <c r="H43" i="2"/>
  <c r="I29" i="2"/>
  <c r="H47" i="2"/>
  <c r="H29" i="6"/>
  <c r="H47" i="6"/>
  <c r="H52" i="6" s="1"/>
  <c r="H53" i="6" s="1"/>
  <c r="J36" i="6"/>
  <c r="I23" i="6"/>
  <c r="I47" i="5"/>
  <c r="I52" i="5" s="1"/>
  <c r="H29" i="5"/>
  <c r="H43" i="5"/>
  <c r="H44" i="5" s="1"/>
  <c r="H53" i="5" s="1"/>
  <c r="I36" i="5"/>
  <c r="H23" i="5"/>
  <c r="I36" i="4"/>
  <c r="J47" i="4"/>
  <c r="J52" i="4" s="1"/>
  <c r="I43" i="4"/>
  <c r="I44" i="4" s="1"/>
  <c r="I53" i="4" s="1"/>
  <c r="H23" i="4"/>
  <c r="I29" i="4"/>
  <c r="R7" i="4"/>
  <c r="R12" i="4" s="1"/>
  <c r="S51" i="4"/>
  <c r="S11" i="4"/>
  <c r="AC16" i="8" l="1"/>
  <c r="AC16" i="5"/>
  <c r="AD16" i="5" s="1"/>
  <c r="AJ39" i="8"/>
  <c r="AH16" i="10"/>
  <c r="AL16" i="10" s="1"/>
  <c r="AC17" i="8"/>
  <c r="Y17" i="4"/>
  <c r="AJ28" i="8"/>
  <c r="AE17" i="7"/>
  <c r="AC16" i="6"/>
  <c r="AD16" i="6" s="1"/>
  <c r="AH28" i="4"/>
  <c r="AI28" i="4" s="1"/>
  <c r="AF21" i="7"/>
  <c r="U16" i="7"/>
  <c r="V16" i="7" s="1"/>
  <c r="X15" i="2"/>
  <c r="G53" i="2"/>
  <c r="I53" i="9"/>
  <c r="H52" i="2"/>
  <c r="J47" i="10"/>
  <c r="J52" i="10" s="1"/>
  <c r="I23" i="10"/>
  <c r="I43" i="10"/>
  <c r="I44" i="10" s="1"/>
  <c r="I53" i="10" s="1"/>
  <c r="J29" i="10"/>
  <c r="J36" i="10"/>
  <c r="I29" i="9"/>
  <c r="J43" i="9"/>
  <c r="J44" i="9" s="1"/>
  <c r="J36" i="9"/>
  <c r="J23" i="9"/>
  <c r="J47" i="9"/>
  <c r="J52" i="9" s="1"/>
  <c r="J47" i="8"/>
  <c r="J52" i="8" s="1"/>
  <c r="I29" i="8"/>
  <c r="J43" i="8"/>
  <c r="J11" i="8"/>
  <c r="J12" i="8" s="1"/>
  <c r="K36" i="8"/>
  <c r="I44" i="8"/>
  <c r="I53" i="8" s="1"/>
  <c r="J23" i="7"/>
  <c r="J36" i="7"/>
  <c r="J47" i="7"/>
  <c r="J11" i="7"/>
  <c r="I43" i="7"/>
  <c r="L28" i="7"/>
  <c r="J29" i="7"/>
  <c r="I7" i="7"/>
  <c r="I12" i="7" s="1"/>
  <c r="K6" i="7"/>
  <c r="I51" i="7"/>
  <c r="I52" i="7" s="1"/>
  <c r="H44" i="7"/>
  <c r="H53" i="7" s="1"/>
  <c r="I43" i="2"/>
  <c r="H44" i="2"/>
  <c r="J7" i="2"/>
  <c r="L23" i="2"/>
  <c r="J29" i="2"/>
  <c r="I51" i="2"/>
  <c r="I36" i="2"/>
  <c r="I47" i="2"/>
  <c r="I11" i="2"/>
  <c r="I12" i="2" s="1"/>
  <c r="I47" i="6"/>
  <c r="I52" i="6" s="1"/>
  <c r="I29" i="6"/>
  <c r="J43" i="6"/>
  <c r="J44" i="6" s="1"/>
  <c r="J23" i="6"/>
  <c r="K36" i="6"/>
  <c r="M31" i="6"/>
  <c r="I43" i="6"/>
  <c r="I44" i="6" s="1"/>
  <c r="I23" i="5"/>
  <c r="J47" i="5"/>
  <c r="J52" i="5" s="1"/>
  <c r="J36" i="5"/>
  <c r="I43" i="5"/>
  <c r="I44" i="5" s="1"/>
  <c r="I53" i="5" s="1"/>
  <c r="I29" i="5"/>
  <c r="J29" i="4"/>
  <c r="K47" i="4"/>
  <c r="K52" i="4" s="1"/>
  <c r="J36" i="4"/>
  <c r="I23" i="4"/>
  <c r="T11" i="4"/>
  <c r="T51" i="4"/>
  <c r="S7" i="4"/>
  <c r="S12" i="4" s="1"/>
  <c r="I53" i="6" l="1"/>
  <c r="AC17" i="4"/>
  <c r="AG17" i="8"/>
  <c r="AL17" i="8" s="1"/>
  <c r="AI21" i="7"/>
  <c r="AM21" i="7" s="1"/>
  <c r="AJ16" i="5"/>
  <c r="AG16" i="6"/>
  <c r="AH16" i="6" s="1"/>
  <c r="AL16" i="6" s="1"/>
  <c r="AG16" i="8"/>
  <c r="AM16" i="8" s="1"/>
  <c r="AH17" i="7"/>
  <c r="X16" i="7"/>
  <c r="Y16" i="7" s="1"/>
  <c r="AA15" i="2"/>
  <c r="I44" i="2"/>
  <c r="H53" i="2"/>
  <c r="J44" i="8"/>
  <c r="J53" i="8" s="1"/>
  <c r="J23" i="10"/>
  <c r="K43" i="10"/>
  <c r="K44" i="10" s="1"/>
  <c r="J43" i="10"/>
  <c r="J44" i="10" s="1"/>
  <c r="J53" i="10" s="1"/>
  <c r="N14" i="10"/>
  <c r="K36" i="10"/>
  <c r="M31" i="10"/>
  <c r="K47" i="10"/>
  <c r="K52" i="10" s="1"/>
  <c r="K29" i="10"/>
  <c r="K36" i="9"/>
  <c r="K47" i="9"/>
  <c r="K52" i="9" s="1"/>
  <c r="K23" i="9"/>
  <c r="J29" i="9"/>
  <c r="J53" i="9"/>
  <c r="K47" i="8"/>
  <c r="K52" i="8" s="1"/>
  <c r="L36" i="8"/>
  <c r="K11" i="8"/>
  <c r="K12" i="8" s="1"/>
  <c r="J29" i="8"/>
  <c r="K29" i="7"/>
  <c r="K11" i="7"/>
  <c r="J43" i="7"/>
  <c r="J7" i="7"/>
  <c r="J12" i="7" s="1"/>
  <c r="K36" i="7"/>
  <c r="I44" i="7"/>
  <c r="I53" i="7" s="1"/>
  <c r="K23" i="7"/>
  <c r="K47" i="7"/>
  <c r="J51" i="7"/>
  <c r="J52" i="7" s="1"/>
  <c r="J51" i="2"/>
  <c r="J36" i="2"/>
  <c r="K29" i="2"/>
  <c r="M23" i="2"/>
  <c r="K7" i="2"/>
  <c r="J47" i="2"/>
  <c r="J11" i="2"/>
  <c r="J12" i="2" s="1"/>
  <c r="I52" i="2"/>
  <c r="J43" i="2"/>
  <c r="J29" i="6"/>
  <c r="K43" i="6"/>
  <c r="K44" i="6" s="1"/>
  <c r="M14" i="6"/>
  <c r="N14" i="6" s="1"/>
  <c r="L36" i="6"/>
  <c r="K23" i="6"/>
  <c r="J47" i="6"/>
  <c r="J52" i="6" s="1"/>
  <c r="J53" i="6" s="1"/>
  <c r="K36" i="5"/>
  <c r="K47" i="5"/>
  <c r="K52" i="5" s="1"/>
  <c r="J23" i="5"/>
  <c r="J29" i="5"/>
  <c r="J43" i="5"/>
  <c r="J44" i="5" s="1"/>
  <c r="J53" i="5" s="1"/>
  <c r="J23" i="4"/>
  <c r="K36" i="4"/>
  <c r="K43" i="4"/>
  <c r="K44" i="4" s="1"/>
  <c r="K53" i="4" s="1"/>
  <c r="J43" i="4"/>
  <c r="J44" i="4" s="1"/>
  <c r="J53" i="4" s="1"/>
  <c r="L47" i="4"/>
  <c r="L52" i="4" s="1"/>
  <c r="K29" i="4"/>
  <c r="U11" i="4"/>
  <c r="U51" i="4"/>
  <c r="T7" i="4"/>
  <c r="T12" i="4" s="1"/>
  <c r="I53" i="2" l="1"/>
  <c r="AH17" i="4"/>
  <c r="AI17" i="4" s="1"/>
  <c r="AL17" i="4" s="1"/>
  <c r="AM17" i="4" s="1"/>
  <c r="AA16" i="7"/>
  <c r="AB16" i="7" s="1"/>
  <c r="K43" i="5"/>
  <c r="K44" i="5" s="1"/>
  <c r="K53" i="5" s="1"/>
  <c r="AC15" i="2"/>
  <c r="J52" i="2"/>
  <c r="K53" i="10"/>
  <c r="L29" i="10"/>
  <c r="L47" i="10"/>
  <c r="L52" i="10" s="1"/>
  <c r="K23" i="10"/>
  <c r="L36" i="10"/>
  <c r="L36" i="9"/>
  <c r="K29" i="9"/>
  <c r="K43" i="9"/>
  <c r="K44" i="9" s="1"/>
  <c r="K53" i="9" s="1"/>
  <c r="L47" i="9"/>
  <c r="L52" i="9" s="1"/>
  <c r="L23" i="9"/>
  <c r="L47" i="8"/>
  <c r="L52" i="8" s="1"/>
  <c r="K29" i="8"/>
  <c r="L43" i="8"/>
  <c r="L11" i="8"/>
  <c r="L12" i="8" s="1"/>
  <c r="M36" i="8"/>
  <c r="O31" i="8"/>
  <c r="K43" i="8"/>
  <c r="K44" i="8" s="1"/>
  <c r="K53" i="8" s="1"/>
  <c r="L36" i="7"/>
  <c r="K7" i="7"/>
  <c r="K12" i="7" s="1"/>
  <c r="K43" i="7"/>
  <c r="L11" i="7"/>
  <c r="J44" i="7"/>
  <c r="J53" i="7" s="1"/>
  <c r="L47" i="7"/>
  <c r="L23" i="7"/>
  <c r="K51" i="7"/>
  <c r="K52" i="7" s="1"/>
  <c r="L29" i="7"/>
  <c r="K47" i="2"/>
  <c r="K51" i="2"/>
  <c r="L7" i="2"/>
  <c r="N23" i="2"/>
  <c r="L29" i="2"/>
  <c r="K36" i="2"/>
  <c r="K43" i="2"/>
  <c r="J44" i="2"/>
  <c r="J53" i="2" s="1"/>
  <c r="K11" i="2"/>
  <c r="K12" i="2" s="1"/>
  <c r="K47" i="6"/>
  <c r="K52" i="6" s="1"/>
  <c r="K53" i="6" s="1"/>
  <c r="M36" i="6"/>
  <c r="K29" i="6"/>
  <c r="L43" i="6"/>
  <c r="L44" i="6" s="1"/>
  <c r="L23" i="6"/>
  <c r="K23" i="5"/>
  <c r="L36" i="5"/>
  <c r="K29" i="5"/>
  <c r="L47" i="5"/>
  <c r="L52" i="5" s="1"/>
  <c r="L36" i="4"/>
  <c r="M47" i="4"/>
  <c r="M52" i="4" s="1"/>
  <c r="L29" i="4"/>
  <c r="L43" i="4"/>
  <c r="L44" i="4" s="1"/>
  <c r="L53" i="4" s="1"/>
  <c r="K23" i="4"/>
  <c r="V51" i="4"/>
  <c r="V11" i="4"/>
  <c r="U7" i="4"/>
  <c r="U12" i="4" s="1"/>
  <c r="AD16" i="7" l="1"/>
  <c r="AE16" i="7" s="1"/>
  <c r="AE15" i="2"/>
  <c r="M36" i="10"/>
  <c r="M47" i="10"/>
  <c r="M52" i="10" s="1"/>
  <c r="M29" i="10"/>
  <c r="L23" i="10"/>
  <c r="M43" i="10"/>
  <c r="M44" i="10" s="1"/>
  <c r="M53" i="10" s="1"/>
  <c r="L43" i="10"/>
  <c r="L44" i="10" s="1"/>
  <c r="L53" i="10" s="1"/>
  <c r="M23" i="9"/>
  <c r="L29" i="9"/>
  <c r="M43" i="9"/>
  <c r="M44" i="9" s="1"/>
  <c r="L43" i="9"/>
  <c r="L44" i="9" s="1"/>
  <c r="L53" i="9" s="1"/>
  <c r="M47" i="9"/>
  <c r="M52" i="9" s="1"/>
  <c r="M36" i="9"/>
  <c r="N36" i="8"/>
  <c r="L29" i="8"/>
  <c r="M43" i="8"/>
  <c r="L44" i="8"/>
  <c r="L53" i="8" s="1"/>
  <c r="M47" i="8"/>
  <c r="M52" i="8" s="1"/>
  <c r="M11" i="8"/>
  <c r="M12" i="8" s="1"/>
  <c r="L43" i="7"/>
  <c r="L7" i="7"/>
  <c r="L12" i="7" s="1"/>
  <c r="M36" i="7"/>
  <c r="M47" i="7"/>
  <c r="M11" i="7"/>
  <c r="K44" i="7"/>
  <c r="K53" i="7" s="1"/>
  <c r="L51" i="7"/>
  <c r="L52" i="7" s="1"/>
  <c r="U31" i="7"/>
  <c r="M29" i="7"/>
  <c r="M23" i="7"/>
  <c r="K44" i="2"/>
  <c r="M29" i="2"/>
  <c r="L36" i="2"/>
  <c r="L51" i="2"/>
  <c r="L11" i="2"/>
  <c r="L12" i="2" s="1"/>
  <c r="K52" i="2"/>
  <c r="O23" i="2"/>
  <c r="M7" i="2"/>
  <c r="O6" i="2"/>
  <c r="L47" i="2"/>
  <c r="L43" i="2"/>
  <c r="L47" i="6"/>
  <c r="L52" i="6" s="1"/>
  <c r="L53" i="6" s="1"/>
  <c r="M23" i="6"/>
  <c r="L29" i="6"/>
  <c r="M43" i="6"/>
  <c r="M44" i="6" s="1"/>
  <c r="N36" i="6"/>
  <c r="L29" i="5"/>
  <c r="M47" i="5"/>
  <c r="M52" i="5" s="1"/>
  <c r="M36" i="5"/>
  <c r="L23" i="5"/>
  <c r="L43" i="5"/>
  <c r="L44" i="5" s="1"/>
  <c r="L53" i="5" s="1"/>
  <c r="N47" i="4"/>
  <c r="N52" i="4" s="1"/>
  <c r="M29" i="4"/>
  <c r="M36" i="4"/>
  <c r="O31" i="4"/>
  <c r="M43" i="4"/>
  <c r="M44" i="4" s="1"/>
  <c r="M53" i="4" s="1"/>
  <c r="L23" i="4"/>
  <c r="V7" i="4"/>
  <c r="V12" i="4" s="1"/>
  <c r="W11" i="4"/>
  <c r="W51" i="4"/>
  <c r="AI16" i="7" l="1"/>
  <c r="AM16" i="7" s="1"/>
  <c r="AG15" i="2"/>
  <c r="M53" i="9"/>
  <c r="K53" i="2"/>
  <c r="L44" i="2"/>
  <c r="M44" i="8"/>
  <c r="M53" i="8" s="1"/>
  <c r="L44" i="7"/>
  <c r="N29" i="10"/>
  <c r="N47" i="10"/>
  <c r="N52" i="10" s="1"/>
  <c r="N36" i="10"/>
  <c r="M23" i="10"/>
  <c r="N43" i="9"/>
  <c r="N44" i="9" s="1"/>
  <c r="M29" i="9"/>
  <c r="N36" i="9"/>
  <c r="N47" i="9"/>
  <c r="N52" i="9" s="1"/>
  <c r="N23" i="9"/>
  <c r="N11" i="8"/>
  <c r="N12" i="8" s="1"/>
  <c r="N47" i="8"/>
  <c r="N52" i="8" s="1"/>
  <c r="O36" i="8"/>
  <c r="M29" i="8"/>
  <c r="N47" i="7"/>
  <c r="N23" i="7"/>
  <c r="M7" i="7"/>
  <c r="M12" i="7" s="1"/>
  <c r="O6" i="7"/>
  <c r="M51" i="7"/>
  <c r="M52" i="7" s="1"/>
  <c r="N11" i="7"/>
  <c r="N36" i="7"/>
  <c r="L53" i="7"/>
  <c r="N29" i="7"/>
  <c r="M43" i="7"/>
  <c r="M11" i="2"/>
  <c r="M12" i="2" s="1"/>
  <c r="M36" i="2"/>
  <c r="M47" i="2"/>
  <c r="L52" i="2"/>
  <c r="N29" i="2"/>
  <c r="P23" i="2"/>
  <c r="M51" i="2"/>
  <c r="M43" i="2"/>
  <c r="N7" i="2"/>
  <c r="N23" i="6"/>
  <c r="M47" i="6"/>
  <c r="M52" i="6" s="1"/>
  <c r="M53" i="6" s="1"/>
  <c r="M29" i="6"/>
  <c r="O36" i="6"/>
  <c r="M23" i="5"/>
  <c r="N36" i="5"/>
  <c r="M29" i="5"/>
  <c r="N47" i="5"/>
  <c r="N52" i="5" s="1"/>
  <c r="M43" i="5"/>
  <c r="M44" i="5" s="1"/>
  <c r="M53" i="5" s="1"/>
  <c r="N36" i="4"/>
  <c r="O47" i="4"/>
  <c r="O52" i="4" s="1"/>
  <c r="N43" i="4"/>
  <c r="N44" i="4" s="1"/>
  <c r="N53" i="4" s="1"/>
  <c r="M23" i="4"/>
  <c r="N29" i="4"/>
  <c r="X11" i="4"/>
  <c r="W7" i="4"/>
  <c r="W12" i="4" s="1"/>
  <c r="X51" i="4"/>
  <c r="L53" i="2" l="1"/>
  <c r="AK15" i="2"/>
  <c r="N53" i="9"/>
  <c r="M52" i="2"/>
  <c r="N23" i="10"/>
  <c r="O43" i="10"/>
  <c r="O44" i="10" s="1"/>
  <c r="N43" i="10"/>
  <c r="N44" i="10" s="1"/>
  <c r="N53" i="10" s="1"/>
  <c r="O36" i="10"/>
  <c r="O47" i="10"/>
  <c r="O52" i="10" s="1"/>
  <c r="O29" i="10"/>
  <c r="O47" i="9"/>
  <c r="O52" i="9" s="1"/>
  <c r="O43" i="9"/>
  <c r="O44" i="9" s="1"/>
  <c r="N29" i="9"/>
  <c r="O23" i="9"/>
  <c r="O36" i="9"/>
  <c r="O47" i="8"/>
  <c r="O52" i="8" s="1"/>
  <c r="P36" i="8"/>
  <c r="O11" i="8"/>
  <c r="O12" i="8" s="1"/>
  <c r="O43" i="8"/>
  <c r="N29" i="8"/>
  <c r="N43" i="8"/>
  <c r="N44" i="8" s="1"/>
  <c r="N53" i="8" s="1"/>
  <c r="O11" i="7"/>
  <c r="O36" i="7"/>
  <c r="N7" i="7"/>
  <c r="N12" i="7" s="1"/>
  <c r="O47" i="7"/>
  <c r="N51" i="7"/>
  <c r="N52" i="7" s="1"/>
  <c r="N43" i="7"/>
  <c r="M44" i="7"/>
  <c r="M53" i="7" s="1"/>
  <c r="O23" i="7"/>
  <c r="O29" i="7"/>
  <c r="M44" i="2"/>
  <c r="Q23" i="2"/>
  <c r="O29" i="2"/>
  <c r="O7" i="2"/>
  <c r="N47" i="2"/>
  <c r="N36" i="2"/>
  <c r="N11" i="2"/>
  <c r="N12" i="2" s="1"/>
  <c r="N43" i="2"/>
  <c r="O23" i="6"/>
  <c r="P36" i="6"/>
  <c r="O43" i="6"/>
  <c r="O44" i="6" s="1"/>
  <c r="N29" i="6"/>
  <c r="N47" i="6"/>
  <c r="N52" i="6" s="1"/>
  <c r="N43" i="6"/>
  <c r="N44" i="6" s="1"/>
  <c r="O47" i="5"/>
  <c r="O52" i="5" s="1"/>
  <c r="N29" i="5"/>
  <c r="N43" i="5"/>
  <c r="N44" i="5" s="1"/>
  <c r="N53" i="5" s="1"/>
  <c r="O36" i="5"/>
  <c r="N23" i="5"/>
  <c r="P47" i="4"/>
  <c r="P52" i="4" s="1"/>
  <c r="O29" i="4"/>
  <c r="O36" i="4"/>
  <c r="O43" i="4"/>
  <c r="O44" i="4" s="1"/>
  <c r="O53" i="4" s="1"/>
  <c r="N23" i="4"/>
  <c r="X7" i="4"/>
  <c r="X12" i="4" s="1"/>
  <c r="Y11" i="4"/>
  <c r="Y51" i="4"/>
  <c r="M53" i="2" l="1"/>
  <c r="O53" i="9"/>
  <c r="N53" i="6"/>
  <c r="N44" i="2"/>
  <c r="N52" i="2"/>
  <c r="O53" i="10"/>
  <c r="P47" i="10"/>
  <c r="P52" i="10" s="1"/>
  <c r="P36" i="10"/>
  <c r="P29" i="10"/>
  <c r="O23" i="10"/>
  <c r="P43" i="9"/>
  <c r="P44" i="9" s="1"/>
  <c r="O29" i="9"/>
  <c r="P36" i="9"/>
  <c r="P23" i="9"/>
  <c r="P47" i="9"/>
  <c r="P52" i="9" s="1"/>
  <c r="Q36" i="8"/>
  <c r="P11" i="8"/>
  <c r="P12" i="8" s="1"/>
  <c r="O29" i="8"/>
  <c r="O44" i="8"/>
  <c r="O53" i="8" s="1"/>
  <c r="P47" i="8"/>
  <c r="P52" i="8" s="1"/>
  <c r="P47" i="7"/>
  <c r="P29" i="7"/>
  <c r="N44" i="7"/>
  <c r="N53" i="7" s="1"/>
  <c r="O43" i="7"/>
  <c r="O51" i="7"/>
  <c r="O52" i="7" s="1"/>
  <c r="O7" i="7"/>
  <c r="O12" i="7" s="1"/>
  <c r="P36" i="7"/>
  <c r="P11" i="7"/>
  <c r="P23" i="7"/>
  <c r="O11" i="2"/>
  <c r="O12" i="2" s="1"/>
  <c r="O36" i="2"/>
  <c r="O47" i="2"/>
  <c r="O43" i="2"/>
  <c r="O51" i="2"/>
  <c r="P7" i="2"/>
  <c r="R6" i="2"/>
  <c r="P29" i="2"/>
  <c r="R23" i="2"/>
  <c r="Q36" i="6"/>
  <c r="P23" i="6"/>
  <c r="O47" i="6"/>
  <c r="O52" i="6" s="1"/>
  <c r="O53" i="6" s="1"/>
  <c r="P43" i="6"/>
  <c r="P44" i="6" s="1"/>
  <c r="O29" i="6"/>
  <c r="P36" i="5"/>
  <c r="O23" i="5"/>
  <c r="O29" i="5"/>
  <c r="P47" i="5"/>
  <c r="P52" i="5" s="1"/>
  <c r="O43" i="5"/>
  <c r="O44" i="5" s="1"/>
  <c r="O53" i="5" s="1"/>
  <c r="O23" i="4"/>
  <c r="P43" i="4"/>
  <c r="P44" i="4" s="1"/>
  <c r="P53" i="4" s="1"/>
  <c r="P36" i="4"/>
  <c r="P29" i="4"/>
  <c r="Q47" i="4"/>
  <c r="Q52" i="4" s="1"/>
  <c r="Z11" i="4"/>
  <c r="Y7" i="4"/>
  <c r="Y12" i="4" s="1"/>
  <c r="Z51" i="4"/>
  <c r="P53" i="9" l="1"/>
  <c r="N53" i="2"/>
  <c r="O44" i="7"/>
  <c r="O53" i="7" s="1"/>
  <c r="Q29" i="10"/>
  <c r="P23" i="10"/>
  <c r="P43" i="10"/>
  <c r="P44" i="10" s="1"/>
  <c r="P53" i="10" s="1"/>
  <c r="Q36" i="10"/>
  <c r="Q47" i="10"/>
  <c r="Q52" i="10" s="1"/>
  <c r="Q47" i="9"/>
  <c r="Q52" i="9" s="1"/>
  <c r="Q36" i="9"/>
  <c r="Q43" i="9"/>
  <c r="Q44" i="9" s="1"/>
  <c r="P29" i="9"/>
  <c r="Q23" i="9"/>
  <c r="P29" i="8"/>
  <c r="R36" i="8"/>
  <c r="Q47" i="8"/>
  <c r="Q52" i="8" s="1"/>
  <c r="Q11" i="8"/>
  <c r="Q12" i="8" s="1"/>
  <c r="Q43" i="8"/>
  <c r="P43" i="8"/>
  <c r="P44" i="8" s="1"/>
  <c r="P53" i="8" s="1"/>
  <c r="Q36" i="7"/>
  <c r="Q29" i="7"/>
  <c r="P43" i="7"/>
  <c r="Q23" i="7"/>
  <c r="P7" i="7"/>
  <c r="P12" i="7" s="1"/>
  <c r="Q11" i="7"/>
  <c r="Q47" i="7"/>
  <c r="P51" i="7"/>
  <c r="P52" i="7" s="1"/>
  <c r="W25" i="7"/>
  <c r="O44" i="2"/>
  <c r="Q7" i="2"/>
  <c r="P43" i="2"/>
  <c r="Q29" i="2"/>
  <c r="P51" i="2"/>
  <c r="P47" i="2"/>
  <c r="P36" i="2"/>
  <c r="S23" i="2"/>
  <c r="P11" i="2"/>
  <c r="P12" i="2" s="1"/>
  <c r="O52" i="2"/>
  <c r="Q23" i="6"/>
  <c r="R36" i="6"/>
  <c r="Q43" i="6"/>
  <c r="Q44" i="6" s="1"/>
  <c r="P29" i="6"/>
  <c r="P47" i="6"/>
  <c r="P52" i="6" s="1"/>
  <c r="P53" i="6" s="1"/>
  <c r="Q47" i="5"/>
  <c r="Q52" i="5" s="1"/>
  <c r="P29" i="5"/>
  <c r="P43" i="5"/>
  <c r="P44" i="5" s="1"/>
  <c r="P53" i="5" s="1"/>
  <c r="P23" i="5"/>
  <c r="Q36" i="5"/>
  <c r="Q29" i="4"/>
  <c r="Q36" i="4"/>
  <c r="R47" i="4"/>
  <c r="R52" i="4" s="1"/>
  <c r="P23" i="4"/>
  <c r="Q43" i="4"/>
  <c r="Q44" i="4" s="1"/>
  <c r="Q53" i="4" s="1"/>
  <c r="AA51" i="4"/>
  <c r="Z7" i="4"/>
  <c r="Z12" i="4" s="1"/>
  <c r="AA11" i="4"/>
  <c r="Q53" i="9" l="1"/>
  <c r="P52" i="2"/>
  <c r="P44" i="2"/>
  <c r="P44" i="7"/>
  <c r="P53" i="7" s="1"/>
  <c r="R47" i="10"/>
  <c r="R52" i="10" s="1"/>
  <c r="R36" i="10"/>
  <c r="Q23" i="10"/>
  <c r="R29" i="10"/>
  <c r="Q43" i="10"/>
  <c r="Q44" i="10" s="1"/>
  <c r="Q53" i="10" s="1"/>
  <c r="R23" i="9"/>
  <c r="R36" i="9"/>
  <c r="R43" i="9"/>
  <c r="R44" i="9" s="1"/>
  <c r="Q29" i="9"/>
  <c r="R47" i="9"/>
  <c r="R52" i="9" s="1"/>
  <c r="R11" i="8"/>
  <c r="R12" i="8" s="1"/>
  <c r="R47" i="8"/>
  <c r="R52" i="8" s="1"/>
  <c r="S36" i="8"/>
  <c r="Q44" i="8"/>
  <c r="Q53" i="8" s="1"/>
  <c r="Q29" i="8"/>
  <c r="S6" i="7"/>
  <c r="Q7" i="7"/>
  <c r="Q12" i="7" s="1"/>
  <c r="R11" i="7"/>
  <c r="Q51" i="7"/>
  <c r="Q52" i="7" s="1"/>
  <c r="R29" i="7"/>
  <c r="R47" i="7"/>
  <c r="R23" i="7"/>
  <c r="Q43" i="7"/>
  <c r="R36" i="7"/>
  <c r="O53" i="2"/>
  <c r="Q36" i="2"/>
  <c r="Q47" i="2"/>
  <c r="Q43" i="2"/>
  <c r="R7" i="2"/>
  <c r="T6" i="2"/>
  <c r="T23" i="2"/>
  <c r="Q51" i="2"/>
  <c r="R29" i="2"/>
  <c r="Q11" i="2"/>
  <c r="Q12" i="2" s="1"/>
  <c r="Q47" i="6"/>
  <c r="Q52" i="6" s="1"/>
  <c r="Q53" i="6" s="1"/>
  <c r="R43" i="6"/>
  <c r="R44" i="6" s="1"/>
  <c r="Q29" i="6"/>
  <c r="S36" i="6"/>
  <c r="R23" i="6"/>
  <c r="T14" i="6"/>
  <c r="U14" i="6" s="1"/>
  <c r="Q23" i="5"/>
  <c r="Q29" i="5"/>
  <c r="R36" i="5"/>
  <c r="Q43" i="5"/>
  <c r="Q44" i="5" s="1"/>
  <c r="Q53" i="5" s="1"/>
  <c r="R47" i="5"/>
  <c r="R52" i="5" s="1"/>
  <c r="R36" i="4"/>
  <c r="Q23" i="4"/>
  <c r="S47" i="4"/>
  <c r="S52" i="4" s="1"/>
  <c r="R29" i="4"/>
  <c r="AA7" i="4"/>
  <c r="AA12" i="4" s="1"/>
  <c r="AB11" i="4"/>
  <c r="AB51" i="4"/>
  <c r="R43" i="5" l="1"/>
  <c r="R44" i="5" s="1"/>
  <c r="R53" i="5" s="1"/>
  <c r="P53" i="2"/>
  <c r="U31" i="10"/>
  <c r="V31" i="10" s="1"/>
  <c r="S36" i="10"/>
  <c r="S29" i="10"/>
  <c r="S47" i="10"/>
  <c r="S52" i="10" s="1"/>
  <c r="R23" i="10"/>
  <c r="S43" i="10"/>
  <c r="S44" i="10" s="1"/>
  <c r="R43" i="10"/>
  <c r="R44" i="10" s="1"/>
  <c r="R53" i="10" s="1"/>
  <c r="S47" i="9"/>
  <c r="S52" i="9" s="1"/>
  <c r="R29" i="9"/>
  <c r="S43" i="9"/>
  <c r="S44" i="9" s="1"/>
  <c r="S23" i="9"/>
  <c r="R53" i="9"/>
  <c r="U31" i="9"/>
  <c r="S36" i="9"/>
  <c r="R29" i="8"/>
  <c r="S43" i="8"/>
  <c r="S47" i="8"/>
  <c r="S52" i="8" s="1"/>
  <c r="R43" i="8"/>
  <c r="R44" i="8" s="1"/>
  <c r="R53" i="8" s="1"/>
  <c r="S11" i="8"/>
  <c r="S12" i="8" s="1"/>
  <c r="V31" i="8"/>
  <c r="T36" i="8"/>
  <c r="S23" i="7"/>
  <c r="S47" i="7"/>
  <c r="R51" i="7"/>
  <c r="R52" i="7" s="1"/>
  <c r="S36" i="7"/>
  <c r="R43" i="7"/>
  <c r="Q44" i="7"/>
  <c r="Q53" i="7" s="1"/>
  <c r="S29" i="7"/>
  <c r="S11" i="7"/>
  <c r="R7" i="7"/>
  <c r="R12" i="7" s="1"/>
  <c r="R51" i="2"/>
  <c r="S7" i="2"/>
  <c r="R43" i="2"/>
  <c r="Q44" i="2"/>
  <c r="R47" i="2"/>
  <c r="S29" i="2"/>
  <c r="U23" i="2"/>
  <c r="Q52" i="2"/>
  <c r="R11" i="2"/>
  <c r="R12" i="2" s="1"/>
  <c r="R36" i="2"/>
  <c r="S23" i="6"/>
  <c r="T36" i="6"/>
  <c r="R29" i="6"/>
  <c r="S43" i="6"/>
  <c r="S44" i="6" s="1"/>
  <c r="R47" i="6"/>
  <c r="R52" i="6" s="1"/>
  <c r="R53" i="6" s="1"/>
  <c r="R29" i="5"/>
  <c r="U31" i="5"/>
  <c r="V31" i="5" s="1"/>
  <c r="S36" i="5"/>
  <c r="R23" i="5"/>
  <c r="S47" i="5"/>
  <c r="S52" i="5" s="1"/>
  <c r="S29" i="4"/>
  <c r="R23" i="4"/>
  <c r="S43" i="4"/>
  <c r="S44" i="4" s="1"/>
  <c r="S53" i="4" s="1"/>
  <c r="T47" i="4"/>
  <c r="T52" i="4" s="1"/>
  <c r="R43" i="4"/>
  <c r="R44" i="4" s="1"/>
  <c r="R53" i="4" s="1"/>
  <c r="S36" i="4"/>
  <c r="AC11" i="4"/>
  <c r="AB7" i="4"/>
  <c r="AB12" i="4" s="1"/>
  <c r="AC51" i="4"/>
  <c r="R52" i="2" l="1"/>
  <c r="S53" i="9"/>
  <c r="S53" i="10"/>
  <c r="Q53" i="2"/>
  <c r="S44" i="8"/>
  <c r="S53" i="8" s="1"/>
  <c r="T29" i="10"/>
  <c r="T47" i="10"/>
  <c r="T52" i="10" s="1"/>
  <c r="W14" i="10"/>
  <c r="S23" i="10"/>
  <c r="T36" i="10"/>
  <c r="T36" i="9"/>
  <c r="S29" i="9"/>
  <c r="T23" i="9"/>
  <c r="T47" i="9"/>
  <c r="T52" i="9" s="1"/>
  <c r="U36" i="8"/>
  <c r="T11" i="8"/>
  <c r="T12" i="8" s="1"/>
  <c r="S29" i="8"/>
  <c r="T47" i="8"/>
  <c r="T52" i="8" s="1"/>
  <c r="S43" i="7"/>
  <c r="T36" i="7"/>
  <c r="AB31" i="7"/>
  <c r="S51" i="7"/>
  <c r="S52" i="7" s="1"/>
  <c r="R44" i="7"/>
  <c r="R53" i="7" s="1"/>
  <c r="T47" i="7"/>
  <c r="S7" i="7"/>
  <c r="S12" i="7" s="1"/>
  <c r="T11" i="7"/>
  <c r="T29" i="7"/>
  <c r="T23" i="7"/>
  <c r="S47" i="2"/>
  <c r="R44" i="2"/>
  <c r="T7" i="2"/>
  <c r="T29" i="2"/>
  <c r="S43" i="2"/>
  <c r="S36" i="2"/>
  <c r="S11" i="2"/>
  <c r="S12" i="2" s="1"/>
  <c r="S51" i="2"/>
  <c r="V23" i="2"/>
  <c r="S29" i="6"/>
  <c r="T43" i="6"/>
  <c r="T44" i="6" s="1"/>
  <c r="W31" i="6"/>
  <c r="U36" i="6"/>
  <c r="T23" i="6"/>
  <c r="S47" i="6"/>
  <c r="S52" i="6" s="1"/>
  <c r="S53" i="6" s="1"/>
  <c r="T47" i="5"/>
  <c r="T52" i="5" s="1"/>
  <c r="S29" i="5"/>
  <c r="S23" i="5"/>
  <c r="T43" i="5"/>
  <c r="T44" i="5" s="1"/>
  <c r="T53" i="5" s="1"/>
  <c r="T36" i="5"/>
  <c r="S43" i="5"/>
  <c r="S44" i="5" s="1"/>
  <c r="S53" i="5" s="1"/>
  <c r="V31" i="4"/>
  <c r="T36" i="4"/>
  <c r="U47" i="4"/>
  <c r="U52" i="4" s="1"/>
  <c r="S23" i="4"/>
  <c r="T43" i="4"/>
  <c r="T44" i="4" s="1"/>
  <c r="T53" i="4" s="1"/>
  <c r="T29" i="4"/>
  <c r="AC7" i="4"/>
  <c r="AC12" i="4" s="1"/>
  <c r="AD11" i="4"/>
  <c r="AD51" i="4"/>
  <c r="R53" i="2" l="1"/>
  <c r="S52" i="2"/>
  <c r="S44" i="7"/>
  <c r="S53" i="7" s="1"/>
  <c r="U47" i="10"/>
  <c r="U52" i="10" s="1"/>
  <c r="U36" i="10"/>
  <c r="T23" i="10"/>
  <c r="T43" i="10"/>
  <c r="T44" i="10" s="1"/>
  <c r="T53" i="10" s="1"/>
  <c r="U29" i="10"/>
  <c r="T29" i="9"/>
  <c r="U43" i="9"/>
  <c r="U44" i="9" s="1"/>
  <c r="U53" i="9" s="1"/>
  <c r="U47" i="9"/>
  <c r="U52" i="9" s="1"/>
  <c r="U23" i="9"/>
  <c r="T43" i="9"/>
  <c r="T44" i="9" s="1"/>
  <c r="T53" i="9" s="1"/>
  <c r="U36" i="9"/>
  <c r="U47" i="8"/>
  <c r="U52" i="8" s="1"/>
  <c r="T29" i="8"/>
  <c r="U43" i="8"/>
  <c r="T43" i="8"/>
  <c r="T44" i="8" s="1"/>
  <c r="T53" i="8" s="1"/>
  <c r="U11" i="8"/>
  <c r="U12" i="8" s="1"/>
  <c r="V36" i="8"/>
  <c r="U11" i="7"/>
  <c r="U23" i="7"/>
  <c r="T51" i="7"/>
  <c r="T52" i="7" s="1"/>
  <c r="T7" i="7"/>
  <c r="T12" i="7" s="1"/>
  <c r="W28" i="7"/>
  <c r="U29" i="7"/>
  <c r="U36" i="7"/>
  <c r="U47" i="7"/>
  <c r="T43" i="7"/>
  <c r="S44" i="2"/>
  <c r="S53" i="2" s="1"/>
  <c r="T36" i="2"/>
  <c r="T11" i="2"/>
  <c r="T12" i="2" s="1"/>
  <c r="T43" i="2"/>
  <c r="W23" i="2"/>
  <c r="U29" i="2"/>
  <c r="T51" i="2"/>
  <c r="W6" i="2"/>
  <c r="X6" i="2" s="1"/>
  <c r="U7" i="2"/>
  <c r="T47" i="2"/>
  <c r="T29" i="6"/>
  <c r="T47" i="6"/>
  <c r="T52" i="6" s="1"/>
  <c r="T53" i="6" s="1"/>
  <c r="U23" i="6"/>
  <c r="V36" i="6"/>
  <c r="T29" i="5"/>
  <c r="U36" i="5"/>
  <c r="U47" i="5"/>
  <c r="U52" i="5" s="1"/>
  <c r="T23" i="5"/>
  <c r="U29" i="4"/>
  <c r="V47" i="4"/>
  <c r="V52" i="4" s="1"/>
  <c r="U43" i="4"/>
  <c r="U44" i="4" s="1"/>
  <c r="U53" i="4" s="1"/>
  <c r="T23" i="4"/>
  <c r="U36" i="4"/>
  <c r="AE11" i="4"/>
  <c r="AD7" i="4"/>
  <c r="AD12" i="4" s="1"/>
  <c r="AE51" i="4"/>
  <c r="U44" i="8" l="1"/>
  <c r="U53" i="8" s="1"/>
  <c r="T44" i="7"/>
  <c r="T53" i="7" s="1"/>
  <c r="V29" i="10"/>
  <c r="U23" i="10"/>
  <c r="U43" i="10"/>
  <c r="U44" i="10" s="1"/>
  <c r="U53" i="10" s="1"/>
  <c r="V43" i="10"/>
  <c r="V44" i="10" s="1"/>
  <c r="V36" i="10"/>
  <c r="V47" i="10"/>
  <c r="V52" i="10" s="1"/>
  <c r="V47" i="9"/>
  <c r="V52" i="9" s="1"/>
  <c r="V23" i="9"/>
  <c r="U29" i="9"/>
  <c r="V43" i="9"/>
  <c r="V44" i="9" s="1"/>
  <c r="V36" i="9"/>
  <c r="W36" i="8"/>
  <c r="V11" i="8"/>
  <c r="V12" i="8" s="1"/>
  <c r="V47" i="8"/>
  <c r="V52" i="8" s="1"/>
  <c r="U29" i="8"/>
  <c r="V36" i="7"/>
  <c r="V29" i="7"/>
  <c r="V23" i="7"/>
  <c r="V11" i="7"/>
  <c r="U7" i="7"/>
  <c r="U12" i="7" s="1"/>
  <c r="U51" i="7"/>
  <c r="U52" i="7" s="1"/>
  <c r="U43" i="7"/>
  <c r="V47" i="7"/>
  <c r="T44" i="2"/>
  <c r="V7" i="2"/>
  <c r="X23" i="2"/>
  <c r="U43" i="2"/>
  <c r="U11" i="2"/>
  <c r="U12" i="2" s="1"/>
  <c r="U47" i="2"/>
  <c r="U36" i="2"/>
  <c r="U51" i="2"/>
  <c r="V29" i="2"/>
  <c r="T52" i="2"/>
  <c r="W36" i="6"/>
  <c r="V23" i="6"/>
  <c r="U29" i="6"/>
  <c r="U43" i="6"/>
  <c r="U44" i="6" s="1"/>
  <c r="U47" i="6"/>
  <c r="U52" i="6" s="1"/>
  <c r="V43" i="6"/>
  <c r="V44" i="6" s="1"/>
  <c r="U43" i="5"/>
  <c r="U44" i="5" s="1"/>
  <c r="U53" i="5" s="1"/>
  <c r="U23" i="5"/>
  <c r="V47" i="5"/>
  <c r="V52" i="5" s="1"/>
  <c r="V36" i="5"/>
  <c r="U29" i="5"/>
  <c r="W47" i="4"/>
  <c r="W52" i="4" s="1"/>
  <c r="V43" i="4"/>
  <c r="V44" i="4" s="1"/>
  <c r="V53" i="4" s="1"/>
  <c r="U23" i="4"/>
  <c r="V36" i="4"/>
  <c r="V29" i="4"/>
  <c r="AF51" i="4"/>
  <c r="AE7" i="4"/>
  <c r="AE12" i="4" s="1"/>
  <c r="AF11" i="4"/>
  <c r="V53" i="10" l="1"/>
  <c r="V53" i="9"/>
  <c r="V43" i="5"/>
  <c r="V44" i="5" s="1"/>
  <c r="V53" i="5" s="1"/>
  <c r="U53" i="6"/>
  <c r="T53" i="2"/>
  <c r="U44" i="7"/>
  <c r="U53" i="7" s="1"/>
  <c r="V23" i="10"/>
  <c r="W36" i="10"/>
  <c r="W47" i="10"/>
  <c r="W52" i="10" s="1"/>
  <c r="W29" i="10"/>
  <c r="W23" i="9"/>
  <c r="W47" i="9"/>
  <c r="W52" i="9" s="1"/>
  <c r="W36" i="9"/>
  <c r="V29" i="9"/>
  <c r="W43" i="9"/>
  <c r="W44" i="9" s="1"/>
  <c r="W47" i="8"/>
  <c r="W52" i="8" s="1"/>
  <c r="W11" i="8"/>
  <c r="W12" i="8" s="1"/>
  <c r="V29" i="8"/>
  <c r="V43" i="8"/>
  <c r="V44" i="8" s="1"/>
  <c r="V53" i="8" s="1"/>
  <c r="X36" i="8"/>
  <c r="W11" i="7"/>
  <c r="W29" i="7"/>
  <c r="V51" i="7"/>
  <c r="V52" i="7" s="1"/>
  <c r="W23" i="7"/>
  <c r="W36" i="7"/>
  <c r="W47" i="7"/>
  <c r="V43" i="7"/>
  <c r="AC25" i="7"/>
  <c r="V7" i="7"/>
  <c r="V12" i="7" s="1"/>
  <c r="U44" i="2"/>
  <c r="V43" i="2"/>
  <c r="V51" i="2"/>
  <c r="U52" i="2"/>
  <c r="V11" i="2"/>
  <c r="V12" i="2" s="1"/>
  <c r="V36" i="2"/>
  <c r="V47" i="2"/>
  <c r="Y23" i="2"/>
  <c r="W29" i="2"/>
  <c r="W7" i="2"/>
  <c r="V47" i="6"/>
  <c r="V52" i="6" s="1"/>
  <c r="V53" i="6" s="1"/>
  <c r="V29" i="6"/>
  <c r="W43" i="6"/>
  <c r="W44" i="6" s="1"/>
  <c r="W23" i="6"/>
  <c r="X36" i="6"/>
  <c r="V29" i="5"/>
  <c r="V23" i="5"/>
  <c r="W36" i="5"/>
  <c r="W47" i="5"/>
  <c r="W52" i="5" s="1"/>
  <c r="V23" i="4"/>
  <c r="W29" i="4"/>
  <c r="W36" i="4"/>
  <c r="X47" i="4"/>
  <c r="X52" i="4" s="1"/>
  <c r="W43" i="4"/>
  <c r="W44" i="4" s="1"/>
  <c r="W53" i="4" s="1"/>
  <c r="AF7" i="4"/>
  <c r="AF12" i="4" s="1"/>
  <c r="AG11" i="4"/>
  <c r="AG51" i="4"/>
  <c r="W53" i="9" l="1"/>
  <c r="V52" i="2"/>
  <c r="V44" i="7"/>
  <c r="X36" i="10"/>
  <c r="X29" i="10"/>
  <c r="W23" i="10"/>
  <c r="W43" i="10"/>
  <c r="W44" i="10" s="1"/>
  <c r="W53" i="10" s="1"/>
  <c r="X47" i="10"/>
  <c r="X52" i="10" s="1"/>
  <c r="X36" i="9"/>
  <c r="X47" i="9"/>
  <c r="X52" i="9" s="1"/>
  <c r="X23" i="9"/>
  <c r="W29" i="9"/>
  <c r="X43" i="9"/>
  <c r="X44" i="9" s="1"/>
  <c r="W29" i="8"/>
  <c r="X43" i="8"/>
  <c r="X11" i="8"/>
  <c r="X12" i="8" s="1"/>
  <c r="W43" i="8"/>
  <c r="W44" i="8" s="1"/>
  <c r="W53" i="8" s="1"/>
  <c r="Y36" i="8"/>
  <c r="X47" i="8"/>
  <c r="X52" i="8" s="1"/>
  <c r="X36" i="7"/>
  <c r="W7" i="7"/>
  <c r="W12" i="7" s="1"/>
  <c r="X29" i="7"/>
  <c r="X23" i="7"/>
  <c r="W43" i="7"/>
  <c r="W51" i="7"/>
  <c r="W52" i="7" s="1"/>
  <c r="V53" i="7"/>
  <c r="X11" i="7"/>
  <c r="V44" i="2"/>
  <c r="U53" i="2"/>
  <c r="X7" i="2"/>
  <c r="W51" i="2"/>
  <c r="W43" i="2"/>
  <c r="W47" i="2"/>
  <c r="W36" i="2"/>
  <c r="W11" i="2"/>
  <c r="W12" i="2" s="1"/>
  <c r="X29" i="2"/>
  <c r="Z23" i="2"/>
  <c r="X23" i="6"/>
  <c r="Z14" i="6"/>
  <c r="AA14" i="6" s="1"/>
  <c r="Y36" i="6"/>
  <c r="W29" i="6"/>
  <c r="W47" i="6"/>
  <c r="W52" i="6" s="1"/>
  <c r="W53" i="6" s="1"/>
  <c r="X47" i="5"/>
  <c r="X52" i="5" s="1"/>
  <c r="W23" i="5"/>
  <c r="W29" i="5"/>
  <c r="Z31" i="5"/>
  <c r="AA31" i="5" s="1"/>
  <c r="X36" i="5"/>
  <c r="W43" i="5"/>
  <c r="W44" i="5" s="1"/>
  <c r="W53" i="5" s="1"/>
  <c r="Y47" i="4"/>
  <c r="Y52" i="4" s="1"/>
  <c r="X29" i="4"/>
  <c r="X36" i="4"/>
  <c r="W23" i="4"/>
  <c r="AH11" i="4"/>
  <c r="AG7" i="4"/>
  <c r="AG12" i="4" s="1"/>
  <c r="AH51" i="4"/>
  <c r="V53" i="2" l="1"/>
  <c r="X43" i="5"/>
  <c r="X44" i="5" s="1"/>
  <c r="X53" i="5" s="1"/>
  <c r="X53" i="9"/>
  <c r="W52" i="2"/>
  <c r="Y36" i="10"/>
  <c r="Y29" i="10"/>
  <c r="Y47" i="10"/>
  <c r="Y52" i="10" s="1"/>
  <c r="X23" i="10"/>
  <c r="X43" i="10"/>
  <c r="X44" i="10" s="1"/>
  <c r="X53" i="10" s="1"/>
  <c r="Y47" i="9"/>
  <c r="Y52" i="9" s="1"/>
  <c r="X29" i="9"/>
  <c r="Y43" i="9"/>
  <c r="Y44" i="9" s="1"/>
  <c r="Y36" i="9"/>
  <c r="Y23" i="9"/>
  <c r="Y47" i="8"/>
  <c r="Y52" i="8" s="1"/>
  <c r="Y11" i="8"/>
  <c r="Y12" i="8" s="1"/>
  <c r="Z36" i="8"/>
  <c r="X44" i="8"/>
  <c r="X53" i="8" s="1"/>
  <c r="X29" i="8"/>
  <c r="Y43" i="8"/>
  <c r="Y47" i="7"/>
  <c r="W44" i="7"/>
  <c r="W53" i="7" s="1"/>
  <c r="X43" i="7"/>
  <c r="Y29" i="7"/>
  <c r="Y11" i="7"/>
  <c r="Y23" i="7"/>
  <c r="X7" i="7"/>
  <c r="X12" i="7" s="1"/>
  <c r="X52" i="7"/>
  <c r="Y36" i="7"/>
  <c r="AA23" i="2"/>
  <c r="X11" i="2"/>
  <c r="X12" i="2" s="1"/>
  <c r="X36" i="2"/>
  <c r="W44" i="2"/>
  <c r="X47" i="2"/>
  <c r="X43" i="2"/>
  <c r="X51" i="2"/>
  <c r="Y7" i="2"/>
  <c r="Y29" i="2"/>
  <c r="X29" i="6"/>
  <c r="Y43" i="6"/>
  <c r="Y44" i="6" s="1"/>
  <c r="X47" i="6"/>
  <c r="X52" i="6" s="1"/>
  <c r="Z36" i="6"/>
  <c r="Y23" i="6"/>
  <c r="X43" i="6"/>
  <c r="X44" i="6" s="1"/>
  <c r="Y36" i="5"/>
  <c r="X29" i="5"/>
  <c r="X23" i="5"/>
  <c r="Y47" i="5"/>
  <c r="Y52" i="5" s="1"/>
  <c r="Y36" i="4"/>
  <c r="Y43" i="4"/>
  <c r="Y44" i="4" s="1"/>
  <c r="Y53" i="4" s="1"/>
  <c r="X23" i="4"/>
  <c r="X43" i="4"/>
  <c r="X44" i="4" s="1"/>
  <c r="X53" i="4" s="1"/>
  <c r="Y29" i="4"/>
  <c r="Z47" i="4"/>
  <c r="Z52" i="4" s="1"/>
  <c r="AI11" i="4"/>
  <c r="AH7" i="4"/>
  <c r="AH12" i="4" s="1"/>
  <c r="AI51" i="4"/>
  <c r="W53" i="2" l="1"/>
  <c r="Y43" i="5"/>
  <c r="Y44" i="5" s="1"/>
  <c r="Y53" i="5" s="1"/>
  <c r="X53" i="6"/>
  <c r="Y53" i="9"/>
  <c r="X44" i="7"/>
  <c r="X53" i="7" s="1"/>
  <c r="Z36" i="10"/>
  <c r="AB31" i="10"/>
  <c r="Z47" i="10"/>
  <c r="Z52" i="10" s="1"/>
  <c r="Z29" i="10"/>
  <c r="Y23" i="10"/>
  <c r="Z43" i="10"/>
  <c r="Z44" i="10" s="1"/>
  <c r="Y43" i="10"/>
  <c r="Y44" i="10" s="1"/>
  <c r="Y53" i="10" s="1"/>
  <c r="Z23" i="9"/>
  <c r="Y29" i="9"/>
  <c r="Z43" i="9"/>
  <c r="Z44" i="9" s="1"/>
  <c r="Z47" i="9"/>
  <c r="Z52" i="9" s="1"/>
  <c r="Z36" i="9"/>
  <c r="AB31" i="9"/>
  <c r="AC31" i="9" s="1"/>
  <c r="Y29" i="8"/>
  <c r="Z43" i="8"/>
  <c r="Z11" i="8"/>
  <c r="Z12" i="8" s="1"/>
  <c r="Y44" i="8"/>
  <c r="Y53" i="8" s="1"/>
  <c r="AA36" i="8"/>
  <c r="AC31" i="8"/>
  <c r="Z47" i="8"/>
  <c r="Z52" i="8" s="1"/>
  <c r="Z11" i="7"/>
  <c r="Y51" i="7"/>
  <c r="Y52" i="7" s="1"/>
  <c r="Z23" i="7"/>
  <c r="Z29" i="7"/>
  <c r="Y43" i="7"/>
  <c r="Z36" i="7"/>
  <c r="Y7" i="7"/>
  <c r="Y12" i="7" s="1"/>
  <c r="AA6" i="7"/>
  <c r="Z47" i="7"/>
  <c r="X44" i="2"/>
  <c r="Y51" i="2"/>
  <c r="Y43" i="2"/>
  <c r="Y47" i="2"/>
  <c r="AB23" i="2"/>
  <c r="X52" i="2"/>
  <c r="Y36" i="2"/>
  <c r="Y11" i="2"/>
  <c r="Y12" i="2" s="1"/>
  <c r="Z29" i="2"/>
  <c r="Z7" i="2"/>
  <c r="AB6" i="2"/>
  <c r="Y47" i="6"/>
  <c r="Y52" i="6" s="1"/>
  <c r="Y53" i="6" s="1"/>
  <c r="Z23" i="6"/>
  <c r="AA36" i="6"/>
  <c r="Y29" i="6"/>
  <c r="Z47" i="5"/>
  <c r="Z52" i="5" s="1"/>
  <c r="Y23" i="5"/>
  <c r="Z36" i="5"/>
  <c r="Y29" i="5"/>
  <c r="AA47" i="4"/>
  <c r="AA52" i="4" s="1"/>
  <c r="Z43" i="4"/>
  <c r="Z44" i="4" s="1"/>
  <c r="Z53" i="4" s="1"/>
  <c r="Y23" i="4"/>
  <c r="Z29" i="4"/>
  <c r="Z36" i="4"/>
  <c r="AI7" i="4"/>
  <c r="AI12" i="4" s="1"/>
  <c r="AJ11" i="4"/>
  <c r="AJ51" i="4"/>
  <c r="Z53" i="10" l="1"/>
  <c r="Z53" i="9"/>
  <c r="Y52" i="2"/>
  <c r="AA47" i="10"/>
  <c r="AA52" i="10" s="1"/>
  <c r="Z23" i="10"/>
  <c r="AA29" i="10"/>
  <c r="AA36" i="10"/>
  <c r="AA36" i="9"/>
  <c r="AA23" i="9"/>
  <c r="Z29" i="9"/>
  <c r="AA47" i="9"/>
  <c r="AA52" i="9" s="1"/>
  <c r="AA47" i="8"/>
  <c r="AA52" i="8" s="1"/>
  <c r="AA11" i="8"/>
  <c r="AA12" i="8" s="1"/>
  <c r="Z44" i="8"/>
  <c r="Z53" i="8" s="1"/>
  <c r="AB36" i="8"/>
  <c r="Z29" i="8"/>
  <c r="AA43" i="8"/>
  <c r="AA29" i="7"/>
  <c r="Z43" i="7"/>
  <c r="Z7" i="7"/>
  <c r="Z12" i="7" s="1"/>
  <c r="AA36" i="7"/>
  <c r="AA23" i="7"/>
  <c r="Y44" i="7"/>
  <c r="Y53" i="7" s="1"/>
  <c r="AA11" i="7"/>
  <c r="Z51" i="7"/>
  <c r="Z52" i="7" s="1"/>
  <c r="AA47" i="7"/>
  <c r="X53" i="2"/>
  <c r="Y44" i="2"/>
  <c r="Z36" i="2"/>
  <c r="Z51" i="2"/>
  <c r="AC23" i="2"/>
  <c r="Z47" i="2"/>
  <c r="AA7" i="2"/>
  <c r="AA29" i="2"/>
  <c r="Z43" i="2"/>
  <c r="Z11" i="2"/>
  <c r="Z12" i="2" s="1"/>
  <c r="AA23" i="6"/>
  <c r="Z29" i="6"/>
  <c r="AA43" i="6"/>
  <c r="AA44" i="6" s="1"/>
  <c r="AB36" i="6"/>
  <c r="Z43" i="6"/>
  <c r="Z44" i="6" s="1"/>
  <c r="Z47" i="6"/>
  <c r="Z52" i="6" s="1"/>
  <c r="AA36" i="5"/>
  <c r="Z29" i="5"/>
  <c r="Z43" i="5"/>
  <c r="Z44" i="5" s="1"/>
  <c r="Z53" i="5" s="1"/>
  <c r="AA43" i="5"/>
  <c r="AA44" i="5" s="1"/>
  <c r="Z23" i="5"/>
  <c r="AA47" i="5"/>
  <c r="AA52" i="5" s="1"/>
  <c r="Z23" i="4"/>
  <c r="AA43" i="4"/>
  <c r="AA44" i="4" s="1"/>
  <c r="AA53" i="4" s="1"/>
  <c r="AA36" i="4"/>
  <c r="AC31" i="4"/>
  <c r="AD31" i="4" s="1"/>
  <c r="AA29" i="4"/>
  <c r="AB47" i="4"/>
  <c r="AB52" i="4" s="1"/>
  <c r="AM51" i="5"/>
  <c r="AJ7" i="4"/>
  <c r="AJ12" i="4" s="1"/>
  <c r="AK11" i="4"/>
  <c r="AK51" i="4"/>
  <c r="Y53" i="2" l="1"/>
  <c r="AA53" i="5"/>
  <c r="Z52" i="2"/>
  <c r="Z44" i="7"/>
  <c r="Z53" i="7" s="1"/>
  <c r="AE14" i="10"/>
  <c r="AB36" i="10"/>
  <c r="AA23" i="10"/>
  <c r="AB43" i="10"/>
  <c r="AB44" i="10" s="1"/>
  <c r="AA43" i="10"/>
  <c r="AA44" i="10" s="1"/>
  <c r="AA53" i="10" s="1"/>
  <c r="AB47" i="10"/>
  <c r="AB52" i="10" s="1"/>
  <c r="AB29" i="10"/>
  <c r="AA29" i="9"/>
  <c r="AB43" i="9"/>
  <c r="AB44" i="9" s="1"/>
  <c r="AA43" i="9"/>
  <c r="AA44" i="9" s="1"/>
  <c r="AA53" i="9" s="1"/>
  <c r="AB47" i="9"/>
  <c r="AB52" i="9" s="1"/>
  <c r="AB23" i="9"/>
  <c r="AB36" i="9"/>
  <c r="AA44" i="8"/>
  <c r="AA53" i="8" s="1"/>
  <c r="AB11" i="8"/>
  <c r="AB12" i="8" s="1"/>
  <c r="AB47" i="8"/>
  <c r="AB52" i="8" s="1"/>
  <c r="AA29" i="8"/>
  <c r="AB43" i="8"/>
  <c r="AC36" i="8"/>
  <c r="AB11" i="7"/>
  <c r="AB36" i="7"/>
  <c r="AB47" i="7"/>
  <c r="AA43" i="7"/>
  <c r="AA7" i="7"/>
  <c r="AA12" i="7" s="1"/>
  <c r="AB23" i="7"/>
  <c r="AA51" i="7"/>
  <c r="AA52" i="7" s="1"/>
  <c r="AB29" i="7"/>
  <c r="Z44" i="2"/>
  <c r="Z53" i="2" s="1"/>
  <c r="AB29" i="2"/>
  <c r="AA47" i="2"/>
  <c r="AD23" i="2"/>
  <c r="AA36" i="2"/>
  <c r="AB7" i="2"/>
  <c r="AA51" i="2"/>
  <c r="AA11" i="2"/>
  <c r="AA12" i="2" s="1"/>
  <c r="AA43" i="2"/>
  <c r="AA47" i="6"/>
  <c r="AA52" i="6" s="1"/>
  <c r="AA53" i="6" s="1"/>
  <c r="AB23" i="6"/>
  <c r="Z53" i="6"/>
  <c r="AC36" i="6"/>
  <c r="AA29" i="6"/>
  <c r="AB43" i="6"/>
  <c r="AB44" i="6" s="1"/>
  <c r="AB36" i="5"/>
  <c r="AB47" i="5"/>
  <c r="AB52" i="5" s="1"/>
  <c r="AA23" i="5"/>
  <c r="AA29" i="5"/>
  <c r="AB36" i="4"/>
  <c r="AC47" i="4"/>
  <c r="AC52" i="4" s="1"/>
  <c r="AB29" i="4"/>
  <c r="AB43" i="4"/>
  <c r="AB44" i="4" s="1"/>
  <c r="AB53" i="4" s="1"/>
  <c r="AA23" i="4"/>
  <c r="AM7" i="9"/>
  <c r="AM51" i="10"/>
  <c r="AM51" i="9"/>
  <c r="AM7" i="8"/>
  <c r="AM51" i="8"/>
  <c r="AM51" i="6"/>
  <c r="AM7" i="5"/>
  <c r="AM11" i="5"/>
  <c r="AL51" i="4"/>
  <c r="AM51" i="4"/>
  <c r="AM11" i="4"/>
  <c r="AL11" i="4"/>
  <c r="AK7" i="4"/>
  <c r="AK12" i="4" s="1"/>
  <c r="AB53" i="9" l="1"/>
  <c r="AA44" i="7"/>
  <c r="AA53" i="7" s="1"/>
  <c r="AB53" i="10"/>
  <c r="AB23" i="10"/>
  <c r="AC43" i="10"/>
  <c r="AC44" i="10" s="1"/>
  <c r="AC36" i="10"/>
  <c r="AC29" i="10"/>
  <c r="AC47" i="10"/>
  <c r="AC52" i="10" s="1"/>
  <c r="AC23" i="9"/>
  <c r="AC47" i="9"/>
  <c r="AC52" i="9" s="1"/>
  <c r="AC36" i="9"/>
  <c r="AB29" i="9"/>
  <c r="AC43" i="9"/>
  <c r="AC44" i="9" s="1"/>
  <c r="AD36" i="8"/>
  <c r="AB29" i="8"/>
  <c r="AC47" i="8"/>
  <c r="AC52" i="8" s="1"/>
  <c r="AC11" i="8"/>
  <c r="AC12" i="8" s="1"/>
  <c r="AB44" i="8"/>
  <c r="AB53" i="8" s="1"/>
  <c r="AC23" i="7"/>
  <c r="AB7" i="7"/>
  <c r="AB12" i="7" s="1"/>
  <c r="AC47" i="7"/>
  <c r="AC36" i="7"/>
  <c r="AB51" i="7"/>
  <c r="AB52" i="7" s="1"/>
  <c r="AB43" i="7"/>
  <c r="AE28" i="7"/>
  <c r="AC29" i="7"/>
  <c r="AK31" i="7"/>
  <c r="AC11" i="7"/>
  <c r="AA44" i="2"/>
  <c r="AB51" i="2"/>
  <c r="AE23" i="2"/>
  <c r="AC29" i="2"/>
  <c r="AB36" i="2"/>
  <c r="AB47" i="2"/>
  <c r="AB43" i="2"/>
  <c r="AC7" i="2"/>
  <c r="AA52" i="2"/>
  <c r="AB11" i="2"/>
  <c r="AB12" i="2" s="1"/>
  <c r="AD36" i="6"/>
  <c r="AB29" i="6"/>
  <c r="AC43" i="6"/>
  <c r="AC44" i="6" s="1"/>
  <c r="AC23" i="6"/>
  <c r="AB47" i="6"/>
  <c r="AB52" i="6" s="1"/>
  <c r="AB53" i="6" s="1"/>
  <c r="AE14" i="6"/>
  <c r="AF14" i="6" s="1"/>
  <c r="AB29" i="5"/>
  <c r="AB23" i="5"/>
  <c r="AC47" i="5"/>
  <c r="AC52" i="5" s="1"/>
  <c r="AC36" i="5"/>
  <c r="AB43" i="5"/>
  <c r="AB44" i="5" s="1"/>
  <c r="AB53" i="5" s="1"/>
  <c r="AB23" i="4"/>
  <c r="AC29" i="4"/>
  <c r="AC36" i="4"/>
  <c r="AD47" i="4"/>
  <c r="AD52" i="4" s="1"/>
  <c r="AM7" i="10"/>
  <c r="AM11" i="9"/>
  <c r="AM12" i="9" s="1"/>
  <c r="AM11" i="10"/>
  <c r="AM23" i="8"/>
  <c r="AM11" i="6"/>
  <c r="AM7" i="6"/>
  <c r="AM12" i="5"/>
  <c r="AL7" i="4"/>
  <c r="AL12" i="4" s="1"/>
  <c r="AM7" i="4"/>
  <c r="AM12" i="4" s="1"/>
  <c r="AC43" i="5" l="1"/>
  <c r="AC44" i="5" s="1"/>
  <c r="AC53" i="9"/>
  <c r="AA53" i="2"/>
  <c r="AC53" i="10"/>
  <c r="AM12" i="6"/>
  <c r="AB52" i="2"/>
  <c r="AD47" i="10"/>
  <c r="AD52" i="10" s="1"/>
  <c r="AD36" i="10"/>
  <c r="AM12" i="10"/>
  <c r="AC23" i="10"/>
  <c r="AD29" i="10"/>
  <c r="AD47" i="9"/>
  <c r="AD52" i="9" s="1"/>
  <c r="AD23" i="9"/>
  <c r="AD36" i="9"/>
  <c r="AD43" i="9"/>
  <c r="AD44" i="9" s="1"/>
  <c r="AD53" i="9" s="1"/>
  <c r="AC29" i="9"/>
  <c r="AD47" i="8"/>
  <c r="AD52" i="8" s="1"/>
  <c r="AD11" i="8"/>
  <c r="AD12" i="8" s="1"/>
  <c r="AD43" i="8"/>
  <c r="AC29" i="8"/>
  <c r="AE36" i="8"/>
  <c r="AC43" i="8"/>
  <c r="AC44" i="8" s="1"/>
  <c r="AC53" i="8" s="1"/>
  <c r="AC43" i="7"/>
  <c r="AJ25" i="7"/>
  <c r="AC51" i="7"/>
  <c r="AC52" i="7" s="1"/>
  <c r="AC7" i="7"/>
  <c r="AC12" i="7" s="1"/>
  <c r="AE6" i="7"/>
  <c r="AB44" i="7"/>
  <c r="AB53" i="7" s="1"/>
  <c r="AD36" i="7"/>
  <c r="AD23" i="7"/>
  <c r="AD47" i="7"/>
  <c r="AD11" i="7"/>
  <c r="AD29" i="7"/>
  <c r="AB44" i="2"/>
  <c r="AD29" i="2"/>
  <c r="AC43" i="2"/>
  <c r="AC47" i="2"/>
  <c r="AC36" i="2"/>
  <c r="AC11" i="2"/>
  <c r="AC12" i="2" s="1"/>
  <c r="AD7" i="2"/>
  <c r="AF6" i="2"/>
  <c r="AC51" i="2"/>
  <c r="AF23" i="2"/>
  <c r="AD23" i="6"/>
  <c r="AD43" i="6"/>
  <c r="AD44" i="6" s="1"/>
  <c r="AC29" i="6"/>
  <c r="AC47" i="6"/>
  <c r="AC52" i="6" s="1"/>
  <c r="AC53" i="6" s="1"/>
  <c r="AE36" i="6"/>
  <c r="AD47" i="5"/>
  <c r="AD52" i="5" s="1"/>
  <c r="AD36" i="5"/>
  <c r="AC29" i="5"/>
  <c r="AC53" i="5"/>
  <c r="AC23" i="5"/>
  <c r="AE47" i="4"/>
  <c r="AE52" i="4" s="1"/>
  <c r="AD36" i="4"/>
  <c r="AC23" i="4"/>
  <c r="AD43" i="4"/>
  <c r="AD44" i="4" s="1"/>
  <c r="AD53" i="4" s="1"/>
  <c r="AD29" i="4"/>
  <c r="AC43" i="4"/>
  <c r="AC44" i="4" s="1"/>
  <c r="AC53" i="4" s="1"/>
  <c r="AB53" i="2" l="1"/>
  <c r="AD43" i="5"/>
  <c r="AD44" i="5" s="1"/>
  <c r="AD53" i="5" s="1"/>
  <c r="AC44" i="7"/>
  <c r="AD23" i="10"/>
  <c r="AD43" i="10"/>
  <c r="AD44" i="10" s="1"/>
  <c r="AD53" i="10" s="1"/>
  <c r="AE47" i="10"/>
  <c r="AE52" i="10" s="1"/>
  <c r="AE29" i="10"/>
  <c r="AE36" i="10"/>
  <c r="AE43" i="10"/>
  <c r="AE44" i="10" s="1"/>
  <c r="AE23" i="9"/>
  <c r="AE47" i="9"/>
  <c r="AE52" i="9" s="1"/>
  <c r="AD29" i="9"/>
  <c r="AE36" i="9"/>
  <c r="AE43" i="9"/>
  <c r="AE44" i="9" s="1"/>
  <c r="AE11" i="8"/>
  <c r="AE12" i="8" s="1"/>
  <c r="AD44" i="8"/>
  <c r="AD53" i="8" s="1"/>
  <c r="AF36" i="8"/>
  <c r="AD29" i="8"/>
  <c r="AE43" i="8"/>
  <c r="AE47" i="8"/>
  <c r="AE52" i="8" s="1"/>
  <c r="AE23" i="7"/>
  <c r="AE11" i="7"/>
  <c r="AC53" i="7"/>
  <c r="AD51" i="7"/>
  <c r="AD52" i="7" s="1"/>
  <c r="AE47" i="7"/>
  <c r="AD43" i="7"/>
  <c r="AE36" i="7"/>
  <c r="AD7" i="7"/>
  <c r="AD12" i="7" s="1"/>
  <c r="AE29" i="7"/>
  <c r="AC44" i="2"/>
  <c r="AD51" i="2"/>
  <c r="AD47" i="2"/>
  <c r="AD43" i="2"/>
  <c r="AE7" i="2"/>
  <c r="AD11" i="2"/>
  <c r="AD12" i="2" s="1"/>
  <c r="AC52" i="2"/>
  <c r="AD36" i="2"/>
  <c r="AG23" i="2"/>
  <c r="AE29" i="2"/>
  <c r="AD47" i="6"/>
  <c r="AD52" i="6" s="1"/>
  <c r="AD53" i="6" s="1"/>
  <c r="AE43" i="6"/>
  <c r="AE44" i="6" s="1"/>
  <c r="AD29" i="6"/>
  <c r="AH31" i="6"/>
  <c r="AF36" i="6"/>
  <c r="AE23" i="6"/>
  <c r="AD23" i="5"/>
  <c r="AE47" i="5"/>
  <c r="AE52" i="5" s="1"/>
  <c r="AD29" i="5"/>
  <c r="AE36" i="5"/>
  <c r="AD23" i="4"/>
  <c r="AE36" i="4"/>
  <c r="AE29" i="4"/>
  <c r="AF47" i="4"/>
  <c r="AF52" i="4" s="1"/>
  <c r="AE53" i="9" l="1"/>
  <c r="AE43" i="5"/>
  <c r="AE44" i="5" s="1"/>
  <c r="AE53" i="5" s="1"/>
  <c r="AE53" i="10"/>
  <c r="AD52" i="2"/>
  <c r="AF29" i="10"/>
  <c r="AE23" i="10"/>
  <c r="AH31" i="10"/>
  <c r="AF36" i="10"/>
  <c r="AF47" i="10"/>
  <c r="AF52" i="10" s="1"/>
  <c r="AF36" i="9"/>
  <c r="AF47" i="9"/>
  <c r="AF52" i="9" s="1"/>
  <c r="AF43" i="9"/>
  <c r="AF44" i="9" s="1"/>
  <c r="AE29" i="9"/>
  <c r="AF23" i="9"/>
  <c r="AF47" i="8"/>
  <c r="AF52" i="8" s="1"/>
  <c r="AI31" i="8"/>
  <c r="AG36" i="8"/>
  <c r="AF43" i="8"/>
  <c r="AE29" i="8"/>
  <c r="AF11" i="8"/>
  <c r="AF12" i="8" s="1"/>
  <c r="AE44" i="8"/>
  <c r="AE53" i="8" s="1"/>
  <c r="AF29" i="7"/>
  <c r="AE43" i="7"/>
  <c r="AF36" i="7"/>
  <c r="AF47" i="7"/>
  <c r="AD44" i="7"/>
  <c r="AD53" i="7" s="1"/>
  <c r="AE51" i="7"/>
  <c r="AE52" i="7" s="1"/>
  <c r="AF11" i="7"/>
  <c r="AE7" i="7"/>
  <c r="AE12" i="7" s="1"/>
  <c r="AF23" i="7"/>
  <c r="AC53" i="2"/>
  <c r="AD44" i="2"/>
  <c r="AD53" i="2" s="1"/>
  <c r="AE51" i="2"/>
  <c r="AE11" i="2"/>
  <c r="AE12" i="2" s="1"/>
  <c r="AE47" i="2"/>
  <c r="AF29" i="2"/>
  <c r="AH23" i="2"/>
  <c r="AF7" i="2"/>
  <c r="AE43" i="2"/>
  <c r="AE36" i="2"/>
  <c r="AG36" i="6"/>
  <c r="AF23" i="6"/>
  <c r="AE29" i="6"/>
  <c r="AE47" i="6"/>
  <c r="AE52" i="6" s="1"/>
  <c r="AE53" i="6" s="1"/>
  <c r="AF47" i="5"/>
  <c r="AF52" i="5" s="1"/>
  <c r="AF36" i="5"/>
  <c r="AE29" i="5"/>
  <c r="AE23" i="5"/>
  <c r="AG47" i="4"/>
  <c r="AG52" i="4" s="1"/>
  <c r="AF36" i="4"/>
  <c r="AE23" i="4"/>
  <c r="AF43" i="4"/>
  <c r="AF44" i="4" s="1"/>
  <c r="AF53" i="4" s="1"/>
  <c r="AF29" i="4"/>
  <c r="AE43" i="4"/>
  <c r="AE44" i="4" s="1"/>
  <c r="AE53" i="4" s="1"/>
  <c r="AF53" i="9" l="1"/>
  <c r="AE52" i="2"/>
  <c r="AF44" i="8"/>
  <c r="AF53" i="8" s="1"/>
  <c r="AE44" i="7"/>
  <c r="AE53" i="7" s="1"/>
  <c r="AG47" i="10"/>
  <c r="AG52" i="10" s="1"/>
  <c r="AF23" i="10"/>
  <c r="AF43" i="10"/>
  <c r="AF44" i="10" s="1"/>
  <c r="AF53" i="10" s="1"/>
  <c r="AG36" i="10"/>
  <c r="AG29" i="10"/>
  <c r="AG23" i="9"/>
  <c r="AG47" i="9"/>
  <c r="AG52" i="9" s="1"/>
  <c r="AF29" i="9"/>
  <c r="AG36" i="9"/>
  <c r="AG43" i="9"/>
  <c r="AG44" i="9" s="1"/>
  <c r="AG53" i="9" s="1"/>
  <c r="AH36" i="8"/>
  <c r="AG11" i="8"/>
  <c r="AG12" i="8" s="1"/>
  <c r="AG47" i="8"/>
  <c r="AG52" i="8" s="1"/>
  <c r="AG43" i="8"/>
  <c r="AF29" i="8"/>
  <c r="AG47" i="7"/>
  <c r="AF43" i="7"/>
  <c r="AF51" i="7"/>
  <c r="AF52" i="7" s="1"/>
  <c r="AG36" i="7"/>
  <c r="AG23" i="7"/>
  <c r="AF7" i="7"/>
  <c r="AF12" i="7" s="1"/>
  <c r="AH6" i="7"/>
  <c r="AG11" i="7"/>
  <c r="AG29" i="7"/>
  <c r="AE44" i="2"/>
  <c r="AF43" i="2"/>
  <c r="AG7" i="2"/>
  <c r="AI6" i="2"/>
  <c r="AG29" i="2"/>
  <c r="AI23" i="2"/>
  <c r="AF47" i="2"/>
  <c r="AF51" i="2"/>
  <c r="AF11" i="2"/>
  <c r="AF12" i="2" s="1"/>
  <c r="AF36" i="2"/>
  <c r="AF47" i="6"/>
  <c r="AF52" i="6" s="1"/>
  <c r="AG43" i="6"/>
  <c r="AG44" i="6" s="1"/>
  <c r="AF29" i="6"/>
  <c r="AG23" i="6"/>
  <c r="AF43" i="6"/>
  <c r="AF44" i="6" s="1"/>
  <c r="AH36" i="6"/>
  <c r="AF23" i="5"/>
  <c r="AF43" i="5"/>
  <c r="AF44" i="5" s="1"/>
  <c r="AF53" i="5" s="1"/>
  <c r="AG47" i="5"/>
  <c r="AG52" i="5" s="1"/>
  <c r="AF29" i="5"/>
  <c r="AG36" i="5"/>
  <c r="AG36" i="4"/>
  <c r="AI31" i="4"/>
  <c r="AG29" i="4"/>
  <c r="AF23" i="4"/>
  <c r="AH47" i="4"/>
  <c r="AH52" i="4" s="1"/>
  <c r="AG43" i="5" l="1"/>
  <c r="AG44" i="5" s="1"/>
  <c r="AE53" i="2"/>
  <c r="AF44" i="7"/>
  <c r="AF53" i="7" s="1"/>
  <c r="AF53" i="6"/>
  <c r="AG53" i="5"/>
  <c r="AF44" i="2"/>
  <c r="AH36" i="10"/>
  <c r="AG23" i="10"/>
  <c r="AG43" i="10"/>
  <c r="AG44" i="10" s="1"/>
  <c r="AG53" i="10" s="1"/>
  <c r="AH29" i="10"/>
  <c r="AH47" i="10"/>
  <c r="AH52" i="10" s="1"/>
  <c r="AH36" i="9"/>
  <c r="AH43" i="9"/>
  <c r="AH44" i="9" s="1"/>
  <c r="AG29" i="9"/>
  <c r="AH47" i="9"/>
  <c r="AH52" i="9" s="1"/>
  <c r="AH23" i="9"/>
  <c r="AG44" i="8"/>
  <c r="AG53" i="8" s="1"/>
  <c r="AH43" i="8"/>
  <c r="AG29" i="8"/>
  <c r="AH47" i="8"/>
  <c r="AH52" i="8" s="1"/>
  <c r="AH11" i="8"/>
  <c r="AH12" i="8" s="1"/>
  <c r="AI36" i="8"/>
  <c r="AG7" i="7"/>
  <c r="AG12" i="7" s="1"/>
  <c r="AH36" i="7"/>
  <c r="AG51" i="7"/>
  <c r="AG52" i="7" s="1"/>
  <c r="AH23" i="7"/>
  <c r="AH29" i="7"/>
  <c r="AG43" i="7"/>
  <c r="AH11" i="7"/>
  <c r="AH47" i="7"/>
  <c r="AG51" i="2"/>
  <c r="AG43" i="2"/>
  <c r="AF52" i="2"/>
  <c r="AJ23" i="2"/>
  <c r="AH29" i="2"/>
  <c r="AG36" i="2"/>
  <c r="AG11" i="2"/>
  <c r="AG12" i="2" s="1"/>
  <c r="AG47" i="2"/>
  <c r="AH7" i="2"/>
  <c r="AH43" i="6"/>
  <c r="AH44" i="6" s="1"/>
  <c r="AG29" i="6"/>
  <c r="AH23" i="6"/>
  <c r="AG47" i="6"/>
  <c r="AG52" i="6" s="1"/>
  <c r="AG53" i="6" s="1"/>
  <c r="AI36" i="6"/>
  <c r="AH36" i="5"/>
  <c r="AG23" i="5"/>
  <c r="AG29" i="5"/>
  <c r="AH47" i="5"/>
  <c r="AH52" i="5" s="1"/>
  <c r="AG23" i="4"/>
  <c r="AH43" i="4"/>
  <c r="AH44" i="4" s="1"/>
  <c r="AH53" i="4" s="1"/>
  <c r="AH29" i="4"/>
  <c r="AH36" i="4"/>
  <c r="AI47" i="4"/>
  <c r="AI52" i="4" s="1"/>
  <c r="AG43" i="4"/>
  <c r="AG44" i="4" s="1"/>
  <c r="AG53" i="4" s="1"/>
  <c r="AF53" i="2" l="1"/>
  <c r="AH53" i="9"/>
  <c r="AG52" i="2"/>
  <c r="AH23" i="10"/>
  <c r="AI47" i="10"/>
  <c r="AI52" i="10" s="1"/>
  <c r="AI36" i="10"/>
  <c r="AI29" i="10"/>
  <c r="AH43" i="10"/>
  <c r="AH44" i="10" s="1"/>
  <c r="AH53" i="10" s="1"/>
  <c r="AI47" i="9"/>
  <c r="AI52" i="9" s="1"/>
  <c r="AI23" i="9"/>
  <c r="AH29" i="9"/>
  <c r="AI43" i="9"/>
  <c r="AI44" i="9" s="1"/>
  <c r="AK31" i="9"/>
  <c r="AI36" i="9"/>
  <c r="AH44" i="8"/>
  <c r="AH53" i="8" s="1"/>
  <c r="AJ36" i="8"/>
  <c r="AI47" i="8"/>
  <c r="AI52" i="8" s="1"/>
  <c r="AI11" i="8"/>
  <c r="AI12" i="8" s="1"/>
  <c r="AH29" i="8"/>
  <c r="AI43" i="8"/>
  <c r="AH43" i="7"/>
  <c r="AI29" i="7"/>
  <c r="AH51" i="7"/>
  <c r="AH52" i="7" s="1"/>
  <c r="AG44" i="7"/>
  <c r="AG53" i="7" s="1"/>
  <c r="AI23" i="7"/>
  <c r="AI36" i="7"/>
  <c r="AI47" i="7"/>
  <c r="AI11" i="7"/>
  <c r="AH7" i="7"/>
  <c r="AH12" i="7" s="1"/>
  <c r="AG44" i="2"/>
  <c r="AH36" i="2"/>
  <c r="AI29" i="2"/>
  <c r="AK23" i="2"/>
  <c r="AH43" i="2"/>
  <c r="AH47" i="2"/>
  <c r="AH11" i="2"/>
  <c r="AH12" i="2" s="1"/>
  <c r="AI7" i="2"/>
  <c r="AH51" i="2"/>
  <c r="AH47" i="6"/>
  <c r="AH52" i="6" s="1"/>
  <c r="AH53" i="6" s="1"/>
  <c r="AJ36" i="6"/>
  <c r="AI23" i="6"/>
  <c r="AH29" i="6"/>
  <c r="AH23" i="5"/>
  <c r="AH29" i="5"/>
  <c r="AI47" i="5"/>
  <c r="AI52" i="5" s="1"/>
  <c r="AI36" i="5"/>
  <c r="AH43" i="5"/>
  <c r="AH44" i="5" s="1"/>
  <c r="AH53" i="5" s="1"/>
  <c r="AJ47" i="4"/>
  <c r="AJ52" i="4" s="1"/>
  <c r="AI36" i="4"/>
  <c r="AI29" i="4"/>
  <c r="AH23" i="4"/>
  <c r="AG53" i="2" l="1"/>
  <c r="AI43" i="5"/>
  <c r="AI44" i="5" s="1"/>
  <c r="AI53" i="5" s="1"/>
  <c r="AI53" i="9"/>
  <c r="AH44" i="7"/>
  <c r="AJ29" i="10"/>
  <c r="AM14" i="10"/>
  <c r="AJ36" i="10"/>
  <c r="AI23" i="10"/>
  <c r="AI43" i="10"/>
  <c r="AI44" i="10" s="1"/>
  <c r="AI53" i="10" s="1"/>
  <c r="AJ47" i="10"/>
  <c r="AJ52" i="10" s="1"/>
  <c r="AJ23" i="9"/>
  <c r="AJ36" i="9"/>
  <c r="AJ47" i="9"/>
  <c r="AJ52" i="9" s="1"/>
  <c r="AI29" i="9"/>
  <c r="AJ43" i="9"/>
  <c r="AJ44" i="9" s="1"/>
  <c r="AI44" i="8"/>
  <c r="AI53" i="8" s="1"/>
  <c r="AJ47" i="8"/>
  <c r="AJ52" i="8" s="1"/>
  <c r="AI29" i="8"/>
  <c r="AJ11" i="8"/>
  <c r="AJ12" i="8" s="1"/>
  <c r="AK36" i="8"/>
  <c r="AJ23" i="7"/>
  <c r="AJ36" i="7"/>
  <c r="AI7" i="7"/>
  <c r="AI12" i="7" s="1"/>
  <c r="AI43" i="7"/>
  <c r="AJ47" i="7"/>
  <c r="AI51" i="7"/>
  <c r="AI52" i="7" s="1"/>
  <c r="AJ29" i="7"/>
  <c r="AH53" i="7"/>
  <c r="AJ11" i="7"/>
  <c r="AH44" i="2"/>
  <c r="AH52" i="2"/>
  <c r="AJ7" i="2"/>
  <c r="AI11" i="2"/>
  <c r="AI12" i="2" s="1"/>
  <c r="AL23" i="2"/>
  <c r="AM23" i="2"/>
  <c r="AJ29" i="2"/>
  <c r="AI36" i="2"/>
  <c r="AI47" i="2"/>
  <c r="AI43" i="2"/>
  <c r="AI51" i="2"/>
  <c r="AI29" i="6"/>
  <c r="AJ43" i="6"/>
  <c r="AJ44" i="6" s="1"/>
  <c r="AJ23" i="6"/>
  <c r="AM31" i="6"/>
  <c r="AK36" i="6"/>
  <c r="AI47" i="6"/>
  <c r="AI52" i="6" s="1"/>
  <c r="AI43" i="6"/>
  <c r="AI44" i="6" s="1"/>
  <c r="AL14" i="6"/>
  <c r="AM14" i="6" s="1"/>
  <c r="AJ36" i="5"/>
  <c r="AJ47" i="5"/>
  <c r="AJ52" i="5" s="1"/>
  <c r="AI23" i="5"/>
  <c r="AI29" i="5"/>
  <c r="AI23" i="4"/>
  <c r="AJ43" i="4"/>
  <c r="AJ44" i="4" s="1"/>
  <c r="AJ53" i="4" s="1"/>
  <c r="AJ29" i="4"/>
  <c r="AJ36" i="4"/>
  <c r="AK47" i="4"/>
  <c r="AK52" i="4" s="1"/>
  <c r="AI43" i="4"/>
  <c r="AI44" i="4" s="1"/>
  <c r="AI53" i="4" s="1"/>
  <c r="AI52" i="2" l="1"/>
  <c r="AJ43" i="5"/>
  <c r="AJ44" i="5" s="1"/>
  <c r="AJ53" i="5" s="1"/>
  <c r="AJ53" i="9"/>
  <c r="AH53" i="2"/>
  <c r="AI53" i="6"/>
  <c r="AK29" i="10"/>
  <c r="AJ23" i="10"/>
  <c r="AK36" i="10"/>
  <c r="AK47" i="10"/>
  <c r="AK52" i="10" s="1"/>
  <c r="AJ43" i="10"/>
  <c r="AJ44" i="10" s="1"/>
  <c r="AJ53" i="10" s="1"/>
  <c r="AJ29" i="9"/>
  <c r="AK43" i="9"/>
  <c r="AK44" i="9" s="1"/>
  <c r="AK53" i="9" s="1"/>
  <c r="AK23" i="9"/>
  <c r="AK47" i="9"/>
  <c r="AK52" i="9" s="1"/>
  <c r="AK36" i="9"/>
  <c r="AL36" i="8"/>
  <c r="AM36" i="8"/>
  <c r="AK11" i="8"/>
  <c r="AK12" i="8" s="1"/>
  <c r="AJ29" i="8"/>
  <c r="AJ43" i="8"/>
  <c r="AJ44" i="8" s="1"/>
  <c r="AJ53" i="8" s="1"/>
  <c r="AK43" i="8"/>
  <c r="AK47" i="8"/>
  <c r="AK52" i="8" s="1"/>
  <c r="AK29" i="7"/>
  <c r="AJ43" i="7"/>
  <c r="AK36" i="7"/>
  <c r="AJ7" i="7"/>
  <c r="AJ12" i="7" s="1"/>
  <c r="AL6" i="7"/>
  <c r="AJ51" i="7"/>
  <c r="AJ52" i="7" s="1"/>
  <c r="AK47" i="7"/>
  <c r="AI44" i="7"/>
  <c r="AI53" i="7" s="1"/>
  <c r="AK11" i="7"/>
  <c r="AK23" i="7"/>
  <c r="AI44" i="2"/>
  <c r="AI53" i="2" s="1"/>
  <c r="AK29" i="2"/>
  <c r="AK7" i="2"/>
  <c r="AM6" i="2"/>
  <c r="AJ47" i="2"/>
  <c r="AJ36" i="2"/>
  <c r="AJ11" i="2"/>
  <c r="AJ12" i="2" s="1"/>
  <c r="AJ51" i="2"/>
  <c r="AJ43" i="2"/>
  <c r="AJ47" i="6"/>
  <c r="AJ52" i="6" s="1"/>
  <c r="AJ53" i="6" s="1"/>
  <c r="AK23" i="6"/>
  <c r="AJ29" i="6"/>
  <c r="AL36" i="6"/>
  <c r="AM36" i="6"/>
  <c r="AJ23" i="5"/>
  <c r="AJ29" i="5"/>
  <c r="AK47" i="5"/>
  <c r="AK52" i="5" s="1"/>
  <c r="AK36" i="5"/>
  <c r="AL47" i="4"/>
  <c r="AL52" i="4" s="1"/>
  <c r="AM47" i="4"/>
  <c r="AM52" i="4" s="1"/>
  <c r="AK36" i="4"/>
  <c r="AK29" i="4"/>
  <c r="AK43" i="4"/>
  <c r="AK44" i="4" s="1"/>
  <c r="AK53" i="4" s="1"/>
  <c r="AJ23" i="4"/>
  <c r="AK43" i="5" l="1"/>
  <c r="AK44" i="5" s="1"/>
  <c r="AK53" i="5" s="1"/>
  <c r="AJ44" i="7"/>
  <c r="AJ53" i="7" s="1"/>
  <c r="AL29" i="10"/>
  <c r="AM29" i="10"/>
  <c r="AK23" i="10"/>
  <c r="AL43" i="10"/>
  <c r="AL44" i="10" s="1"/>
  <c r="AK43" i="10"/>
  <c r="AK44" i="10" s="1"/>
  <c r="AK53" i="10" s="1"/>
  <c r="AL47" i="10"/>
  <c r="AL52" i="10" s="1"/>
  <c r="AM47" i="10"/>
  <c r="AM52" i="10" s="1"/>
  <c r="AL36" i="10"/>
  <c r="AM36" i="10"/>
  <c r="AL36" i="9"/>
  <c r="AK29" i="9"/>
  <c r="AL43" i="9"/>
  <c r="AL44" i="9" s="1"/>
  <c r="AL47" i="9"/>
  <c r="AL52" i="9" s="1"/>
  <c r="AM47" i="9"/>
  <c r="AM52" i="9" s="1"/>
  <c r="AL23" i="9"/>
  <c r="AM23" i="9"/>
  <c r="AL47" i="8"/>
  <c r="AL52" i="8" s="1"/>
  <c r="AM47" i="8"/>
  <c r="AM52" i="8" s="1"/>
  <c r="AK44" i="8"/>
  <c r="AK53" i="8" s="1"/>
  <c r="AL11" i="8"/>
  <c r="AL12" i="8" s="1"/>
  <c r="AM11" i="8"/>
  <c r="AM12" i="8" s="1"/>
  <c r="AK29" i="8"/>
  <c r="AK51" i="7"/>
  <c r="AK52" i="7" s="1"/>
  <c r="AK7" i="7"/>
  <c r="AK12" i="7" s="1"/>
  <c r="AM36" i="7"/>
  <c r="AL36" i="7"/>
  <c r="AL11" i="7"/>
  <c r="AM11" i="7"/>
  <c r="AK43" i="7"/>
  <c r="AL47" i="7"/>
  <c r="AM47" i="7"/>
  <c r="AL23" i="7"/>
  <c r="AM23" i="7"/>
  <c r="AM29" i="7"/>
  <c r="AL29" i="7"/>
  <c r="AJ44" i="2"/>
  <c r="AK11" i="2"/>
  <c r="AK12" i="2" s="1"/>
  <c r="AK51" i="2"/>
  <c r="AK36" i="2"/>
  <c r="AK47" i="2"/>
  <c r="AL7" i="2"/>
  <c r="AM7" i="2"/>
  <c r="AM29" i="2"/>
  <c r="AL29" i="2"/>
  <c r="AK43" i="2"/>
  <c r="AJ52" i="2"/>
  <c r="AK29" i="6"/>
  <c r="AL43" i="6"/>
  <c r="AL44" i="6" s="1"/>
  <c r="AK43" i="6"/>
  <c r="AK44" i="6" s="1"/>
  <c r="AL23" i="6"/>
  <c r="AM23" i="6"/>
  <c r="AK47" i="6"/>
  <c r="AK52" i="6" s="1"/>
  <c r="AL36" i="5"/>
  <c r="AM36" i="5"/>
  <c r="AL47" i="5"/>
  <c r="AL52" i="5" s="1"/>
  <c r="AK29" i="5"/>
  <c r="AK23" i="5"/>
  <c r="AM29" i="4"/>
  <c r="AL29" i="4"/>
  <c r="AM36" i="4"/>
  <c r="AL36" i="4"/>
  <c r="AL43" i="4"/>
  <c r="AL44" i="4" s="1"/>
  <c r="AL53" i="4" s="1"/>
  <c r="AK23" i="4"/>
  <c r="AJ53" i="2" l="1"/>
  <c r="AL53" i="9"/>
  <c r="AK52" i="2"/>
  <c r="AL53" i="10"/>
  <c r="AL23" i="10"/>
  <c r="AM23" i="10"/>
  <c r="AL29" i="9"/>
  <c r="AM29" i="9"/>
  <c r="AM36" i="9"/>
  <c r="AL29" i="8"/>
  <c r="AM29" i="8"/>
  <c r="AL43" i="8"/>
  <c r="AL44" i="8" s="1"/>
  <c r="AL53" i="8" s="1"/>
  <c r="AL51" i="7"/>
  <c r="AL52" i="7" s="1"/>
  <c r="AM51" i="7"/>
  <c r="AM52" i="7" s="1"/>
  <c r="AL43" i="7"/>
  <c r="AM43" i="7"/>
  <c r="AM7" i="7"/>
  <c r="AM12" i="7" s="1"/>
  <c r="AL7" i="7"/>
  <c r="AL12" i="7" s="1"/>
  <c r="AK44" i="7"/>
  <c r="AK53" i="7" s="1"/>
  <c r="AK44" i="2"/>
  <c r="AL36" i="2"/>
  <c r="AM36" i="2"/>
  <c r="AL43" i="2"/>
  <c r="AL47" i="2"/>
  <c r="AL51" i="2"/>
  <c r="AM51" i="2"/>
  <c r="AL11" i="2"/>
  <c r="AL12" i="2" s="1"/>
  <c r="AM11" i="2"/>
  <c r="AM12" i="2" s="1"/>
  <c r="AL47" i="6"/>
  <c r="AL52" i="6" s="1"/>
  <c r="AL53" i="6" s="1"/>
  <c r="AL29" i="6"/>
  <c r="AM29" i="6"/>
  <c r="AK53" i="6"/>
  <c r="AL23" i="5"/>
  <c r="AM23" i="5"/>
  <c r="AL29" i="5"/>
  <c r="AM29" i="5"/>
  <c r="AL43" i="5"/>
  <c r="AL44" i="5" s="1"/>
  <c r="AL53" i="5" s="1"/>
  <c r="AM47" i="5"/>
  <c r="AM52" i="5" s="1"/>
  <c r="AM23" i="4"/>
  <c r="AL23" i="4"/>
  <c r="AK53" i="2" l="1"/>
  <c r="AM43" i="2"/>
  <c r="AM44" i="2" s="1"/>
  <c r="AM43" i="9"/>
  <c r="AM44" i="9" s="1"/>
  <c r="AM53" i="9" s="1"/>
  <c r="AM43" i="4"/>
  <c r="AM44" i="4" s="1"/>
  <c r="AM53" i="4" s="1"/>
  <c r="AL44" i="7"/>
  <c r="AL53" i="7" s="1"/>
  <c r="AM44" i="7"/>
  <c r="AM53" i="7" s="1"/>
  <c r="AM43" i="10"/>
  <c r="AM44" i="10" s="1"/>
  <c r="AM53" i="10" s="1"/>
  <c r="AM43" i="8"/>
  <c r="AM44" i="8" s="1"/>
  <c r="AM53" i="8" s="1"/>
  <c r="AL44" i="2"/>
  <c r="AM47" i="2"/>
  <c r="AM52" i="2" s="1"/>
  <c r="AL52" i="2"/>
  <c r="AM47" i="6"/>
  <c r="AM52" i="6" s="1"/>
  <c r="AM43" i="6"/>
  <c r="AM44" i="6" s="1"/>
  <c r="AM43" i="5"/>
  <c r="AM44" i="5" s="1"/>
  <c r="AM53" i="5" s="1"/>
  <c r="AL53" i="2" l="1"/>
  <c r="AM53" i="2"/>
  <c r="AM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1AC52F-55AD-42B8-8BB0-ED5DD13D4AA5}" name="Abfrage - Actuals" description="Verbindung mit der Abfrage 'Actuals' in der Arbeitsmappe." type="100" refreshedVersion="8" minRefreshableVersion="5">
    <extLst>
      <ext xmlns:x15="http://schemas.microsoft.com/office/spreadsheetml/2010/11/main" uri="{DE250136-89BD-433C-8126-D09CA5730AF9}">
        <x15:connection id="cacc3575-cac7-4bf4-9e4d-382508861858"/>
      </ext>
    </extLst>
  </connection>
  <connection id="2" xr16:uid="{EBD2927A-10D3-4C4A-A95B-B31DD2BE311F}" name="Abfrage - Actuals (2)" description="Verbindung mit der Abfrage 'Actuals (2)' in der Arbeitsmappe." type="100" refreshedVersion="8" minRefreshableVersion="5">
    <extLst>
      <ext xmlns:x15="http://schemas.microsoft.com/office/spreadsheetml/2010/11/main" uri="{DE250136-89BD-433C-8126-D09CA5730AF9}">
        <x15:connection id="b0de9b14-13a6-4cf6-b93f-36d503ca8119"/>
      </ext>
    </extLst>
  </connection>
  <connection id="3" xr16:uid="{40FA1307-509B-4BC5-9D36-3A3FB959B675}" name="Abfrage - Budget" description="Verbindung mit der Abfrage 'Budget' in der Arbeitsmappe." type="100" refreshedVersion="8" minRefreshableVersion="5">
    <extLst>
      <ext xmlns:x15="http://schemas.microsoft.com/office/spreadsheetml/2010/11/main" uri="{DE250136-89BD-433C-8126-D09CA5730AF9}">
        <x15:connection id="f40ebda5-213d-4be2-9ad3-5d61084688b7"/>
      </ext>
    </extLst>
  </connection>
  <connection id="4" xr16:uid="{30CC10AD-66D9-4A6A-971F-F4EEFA5E3BED}" keepAlive="1" name="Abfrage - CS" description="Verbindung mit der Abfrage 'CS' in der Arbeitsmappe." type="5" refreshedVersion="0" background="1">
    <dbPr connection="Provider=Microsoft.Mashup.OleDb.1;Data Source=$Workbook$;Location=CS;Extended Properties=&quot;&quot;" command="SELECT * FROM [CS]"/>
  </connection>
  <connection id="5" xr16:uid="{8E33000A-ADA1-4B0D-9AA9-EDCE5892793C}" keepAlive="1" name="Abfrage - CS (2)" description="Verbindung mit der Abfrage 'CS (2)' in der Arbeitsmappe." type="5" refreshedVersion="0" background="1">
    <dbPr connection="Provider=Microsoft.Mashup.OleDb.1;Data Source=$Workbook$;Location=&quot;CS (2)&quot;;Extended Properties=&quot;&quot;" command="SELECT * FROM [CS (2)]"/>
  </connection>
  <connection id="6" xr16:uid="{3C19F112-4B14-4DBD-B6CB-A9EA12F1A525}" keepAlive="1" name="Abfrage - CS_B" description="Verbindung mit der Abfrage 'CS_B' in der Arbeitsmappe." type="5" refreshedVersion="0" background="1">
    <dbPr connection="Provider=Microsoft.Mashup.OleDb.1;Data Source=$Workbook$;Location=CS_B;Extended Properties=&quot;&quot;" command="SELECT * FROM [CS_B]"/>
  </connection>
  <connection id="7" xr16:uid="{F58BA53A-AB6E-4EE1-B443-67E7874F31A8}" keepAlive="1" name="Abfrage - GA" description="Verbindung mit der Abfrage 'GA' in der Arbeitsmappe." type="5" refreshedVersion="0" background="1">
    <dbPr connection="Provider=Microsoft.Mashup.OleDb.1;Data Source=$Workbook$;Location=GA;Extended Properties=&quot;&quot;" command="SELECT * FROM [GA]"/>
  </connection>
  <connection id="8" xr16:uid="{CD0C2A56-6186-4282-8A95-4602BA25E89D}" keepAlive="1" name="Abfrage - GA (2)" description="Verbindung mit der Abfrage 'GA (2)' in der Arbeitsmappe." type="5" refreshedVersion="0" background="1">
    <dbPr connection="Provider=Microsoft.Mashup.OleDb.1;Data Source=$Workbook$;Location=&quot;GA (2)&quot;;Extended Properties=&quot;&quot;" command="SELECT * FROM [GA (2)]"/>
  </connection>
  <connection id="9" xr16:uid="{A87A648E-2F1D-4D0A-9ACA-9249C56E5672}" keepAlive="1" name="Abfrage - GA_B" description="Verbindung mit der Abfrage 'GA_B' in der Arbeitsmappe." type="5" refreshedVersion="0" background="1">
    <dbPr connection="Provider=Microsoft.Mashup.OleDb.1;Data Source=$Workbook$;Location=GA_B;Extended Properties=&quot;&quot;" command="SELECT * FROM [GA_B]"/>
  </connection>
  <connection id="10" xr16:uid="{DC597CE5-C67E-41E0-AFC8-172F239F436B}" keepAlive="1" name="Abfrage - RD" description="Verbindung mit der Abfrage 'RD' in der Arbeitsmappe." type="5" refreshedVersion="0" background="1">
    <dbPr connection="Provider=Microsoft.Mashup.OleDb.1;Data Source=$Workbook$;Location=RD;Extended Properties=&quot;&quot;" command="SELECT * FROM [RD]"/>
  </connection>
  <connection id="11" xr16:uid="{5E3FF47A-8213-4857-B8A8-B754E415B9FC}" keepAlive="1" name="Abfrage - RD (2)" description="Verbindung mit der Abfrage 'RD (2)' in der Arbeitsmappe." type="5" refreshedVersion="0" background="1">
    <dbPr connection="Provider=Microsoft.Mashup.OleDb.1;Data Source=$Workbook$;Location=&quot;RD (2)&quot;;Extended Properties=&quot;&quot;" command="SELECT * FROM [RD (2)]"/>
  </connection>
  <connection id="12" xr16:uid="{0DD462A1-B91A-4A16-BC2E-76ADD487E249}" keepAlive="1" name="Abfrage - RD_B" description="Verbindung mit der Abfrage 'RD_B' in der Arbeitsmappe." type="5" refreshedVersion="0" background="1">
    <dbPr connection="Provider=Microsoft.Mashup.OleDb.1;Data Source=$Workbook$;Location=RD_B;Extended Properties=&quot;&quot;" command="SELECT * FROM [RD_B]"/>
  </connection>
  <connection id="13" xr16:uid="{BBAAD884-81B7-4886-B704-70E544BC973F}" keepAlive="1" name="Abfrage - SM" description="Verbindung mit der Abfrage 'SM' in der Arbeitsmappe." type="5" refreshedVersion="0" background="1">
    <dbPr connection="Provider=Microsoft.Mashup.OleDb.1;Data Source=$Workbook$;Location=SM;Extended Properties=&quot;&quot;" command="SELECT * FROM [SM]"/>
  </connection>
  <connection id="14" xr16:uid="{5A4452C5-1839-4B23-AFAF-2E06B4D24DCC}" keepAlive="1" name="Abfrage - SM (2)" description="Verbindung mit der Abfrage 'SM (2)' in der Arbeitsmappe." type="5" refreshedVersion="0" background="1">
    <dbPr connection="Provider=Microsoft.Mashup.OleDb.1;Data Source=$Workbook$;Location=&quot;SM (2)&quot;;Extended Properties=&quot;&quot;" command="SELECT * FROM [SM (2)]"/>
  </connection>
  <connection id="15" xr16:uid="{E9E64EF4-199A-47EA-BC1A-3C396AF31981}" keepAlive="1" name="Abfrage - SM_B" description="Verbindung mit der Abfrage 'SM_B' in der Arbeitsmappe." type="5" refreshedVersion="0" background="1">
    <dbPr connection="Provider=Microsoft.Mashup.OleDb.1;Data Source=$Workbook$;Location=SM_B;Extended Properties=&quot;&quot;" command="SELECT * FROM [SM_B]"/>
  </connection>
  <connection id="16" xr16:uid="{9A463562-33E6-4B2C-A8D2-0238E41E0E1E}" keepAlive="1" name="ThisWorkbookDataModel" description="Datenmodel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7" xr16:uid="{3A04AA96-BA18-427B-8387-99E84D722A79}" name="Verbindung" type="104" refreshedVersion="0" background="1">
    <extLst>
      <ext xmlns:x15="http://schemas.microsoft.com/office/spreadsheetml/2010/11/main" uri="{DE250136-89BD-433C-8126-D09CA5730AF9}">
        <x15:connection id="Calendar"/>
      </ext>
    </extLst>
  </connection>
  <connection id="18" xr16:uid="{8BA86042-7A7E-4E56-AAFB-5AB34F19B528}" name="WorksheetConnection_The Ultimate Dashboard_Worksheet(1).xlsx!DatePeriod" type="102" refreshedVersion="8" minRefreshableVersion="5">
    <extLst>
      <ext xmlns:x15="http://schemas.microsoft.com/office/spreadsheetml/2010/11/main" uri="{DE250136-89BD-433C-8126-D09CA5730AF9}">
        <x15:connection id="DatePeriod">
          <x15:rangePr sourceName="_xlcn.WorksheetConnection_TheUltimateDashboard_Worksheet1.xlsxDatePeriod1"/>
        </x15:connection>
      </ext>
    </extLst>
  </connection>
  <connection id="19" xr16:uid="{8BA86042-7A7E-4E56-AAFB-5AB34F19B528}" name="WorksheetConnection_The Ultimate Dashboard_Worksheet(1).xlsx!DatePeriod1" type="102" refreshedVersion="8" minRefreshableVersion="5">
    <extLst>
      <ext xmlns:x15="http://schemas.microsoft.com/office/spreadsheetml/2010/11/main" uri="{DE250136-89BD-433C-8126-D09CA5730AF9}">
        <x15:connection id="DatePeriod-c184e7d4-172d-4c0a-9a3d-4974029ca508">
          <x15:rangePr sourceName="_xlcn.WorksheetConnection_TheUltimateDashboard_Worksheet1.xlsxDatePeriod11"/>
        </x15:connection>
      </ext>
    </extLst>
  </connection>
  <connection id="20" xr16:uid="{352CE805-55AE-4390-A3EB-FAD4EA624E3E}" name="WorksheetConnection_The Ultimate Dashboard_Worksheet(1).xlsx!Departments" type="102" refreshedVersion="8" minRefreshableVersion="5">
    <extLst>
      <ext xmlns:x15="http://schemas.microsoft.com/office/spreadsheetml/2010/11/main" uri="{DE250136-89BD-433C-8126-D09CA5730AF9}">
        <x15:connection id="Departments">
          <x15:rangePr sourceName="_xlcn.WorksheetConnection_TheUltimateDashboard_Worksheet1.xlsxDepartments1"/>
        </x15:connection>
      </ext>
    </extLst>
  </connection>
  <connection id="21" xr16:uid="{7C8DF7F4-9963-4FC8-97FF-F386E1FFC823}" name="WorksheetConnection_The Ultimate Dashboard_Worksheet(1).xlsx!Lookup" type="102" refreshedVersion="8" minRefreshableVersion="5">
    <extLst>
      <ext xmlns:x15="http://schemas.microsoft.com/office/spreadsheetml/2010/11/main" uri="{DE250136-89BD-433C-8126-D09CA5730AF9}">
        <x15:connection id="Lookup">
          <x15:rangePr sourceName="_xlcn.WorksheetConnection_TheUltimateDashboard_Worksheet1.xlsxLookup1"/>
        </x15:connection>
      </ext>
    </extLst>
  </connection>
  <connection id="22" xr16:uid="{7C8DF7F4-9963-4FC8-97FF-F386E1FFC823}" name="WorksheetConnection_The Ultimate Dashboard_Worksheet(1).xlsx!Lookup1" type="102" refreshedVersion="8" minRefreshableVersion="5">
    <extLst>
      <ext xmlns:x15="http://schemas.microsoft.com/office/spreadsheetml/2010/11/main" uri="{DE250136-89BD-433C-8126-D09CA5730AF9}">
        <x15:connection id="Lookup-1a8054e2-3032-408a-8195-a9c600d084d0">
          <x15:rangePr sourceName="_xlcn.WorksheetConnection_TheUltimateDashboard_Worksheet1.xlsxLookup11"/>
        </x15:connection>
      </ext>
    </extLst>
  </connection>
  <connection id="23" xr16:uid="{674FDEA9-292D-47FF-B683-D351FEF482A8}" name="WorksheetConnection_The Ultimate Dashboard_Worksheet(1).xlsx!Period" type="102" refreshedVersion="8" minRefreshableVersion="5">
    <extLst>
      <ext xmlns:x15="http://schemas.microsoft.com/office/spreadsheetml/2010/11/main" uri="{DE250136-89BD-433C-8126-D09CA5730AF9}">
        <x15:connection id="Period">
          <x15:rangePr sourceName="_xlcn.WorksheetConnection_TheUltimateDashboard_Worksheet1.xlsxPeriod1"/>
        </x15:connection>
      </ext>
    </extLst>
  </connection>
  <connection id="24" xr16:uid="{674FDEA9-292D-47FF-B683-D351FEF482A8}" name="WorksheetConnection_The Ultimate Dashboard_Worksheet(1).xlsx!Period1" type="102" refreshedVersion="8" minRefreshableVersion="5">
    <extLst>
      <ext xmlns:x15="http://schemas.microsoft.com/office/spreadsheetml/2010/11/main" uri="{DE250136-89BD-433C-8126-D09CA5730AF9}">
        <x15:connection id="Period-b5f1b4a4-15ea-4ccc-8808-c9c2653b5168">
          <x15:rangePr sourceName="_xlcn.WorksheetConnection_TheUltimateDashboard_Worksheet1.xlsxPeriod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Lookup].[Section].&amp;[Expenses]}"/>
  </metadataStrings>
  <mdxMetadata count="1">
    <mdx n="0" f="s">
      <ms ns="1" c="0"/>
    </mdx>
  </mdxMetadata>
  <valueMetadata count="1">
    <bk>
      <rc t="1" v="0"/>
    </bk>
  </valueMetadata>
</metadata>
</file>

<file path=xl/sharedStrings.xml><?xml version="1.0" encoding="utf-8"?>
<sst xmlns="http://schemas.openxmlformats.org/spreadsheetml/2006/main" count="1383" uniqueCount="164">
  <si>
    <t>FINANCIAL DASHBOARD</t>
  </si>
  <si>
    <t>BY DEPARTMENT</t>
  </si>
  <si>
    <t>BY COST TYPE</t>
  </si>
  <si>
    <t>vs BUDGET</t>
  </si>
  <si>
    <t>Budget</t>
  </si>
  <si>
    <t>Actual</t>
  </si>
  <si>
    <t>▲</t>
  </si>
  <si>
    <t>%</t>
  </si>
  <si>
    <t>BY COST</t>
  </si>
  <si>
    <t>Customer Support</t>
  </si>
  <si>
    <t>Advertising</t>
  </si>
  <si>
    <t>General &amp; Administrative</t>
  </si>
  <si>
    <t>Other G&amp;A</t>
  </si>
  <si>
    <t>Research &amp; Development</t>
  </si>
  <si>
    <t>Payroll</t>
  </si>
  <si>
    <t>Sales &amp; Marketing</t>
  </si>
  <si>
    <t>Professional Fees</t>
  </si>
  <si>
    <t>TOTAL</t>
  </si>
  <si>
    <t>vs PRIOR PERIOD</t>
  </si>
  <si>
    <t>Prior Period</t>
  </si>
  <si>
    <t>vs PRIOR YEAR</t>
  </si>
  <si>
    <t>Prior Year</t>
  </si>
  <si>
    <t>Income Statement</t>
  </si>
  <si>
    <t>Your CFO Guy</t>
  </si>
  <si>
    <t>General &amp; Admnistrative</t>
  </si>
  <si>
    <t>Revenue</t>
  </si>
  <si>
    <t>Sales</t>
  </si>
  <si>
    <t>Total Revenue</t>
  </si>
  <si>
    <t>Cost of Goods Sold</t>
  </si>
  <si>
    <t>Web Domain &amp; Hosting Fees</t>
  </si>
  <si>
    <t>Merchant Account Fees</t>
  </si>
  <si>
    <t>Total Cost of Goods Sold</t>
  </si>
  <si>
    <t>Gross Profit</t>
  </si>
  <si>
    <t>Expenses</t>
  </si>
  <si>
    <t>Advertising &amp; Marketing</t>
  </si>
  <si>
    <t>Bank Charges &amp; Fees</t>
  </si>
  <si>
    <t>Conferences &amp; Events</t>
  </si>
  <si>
    <t>Software &amp; Apps</t>
  </si>
  <si>
    <t>Insurance</t>
  </si>
  <si>
    <t>Office Expenses</t>
  </si>
  <si>
    <t>Office Supplies</t>
  </si>
  <si>
    <t>Rent &amp; Lease</t>
  </si>
  <si>
    <t>Utilities</t>
  </si>
  <si>
    <t>Total Office Expenses</t>
  </si>
  <si>
    <t>Professional Services</t>
  </si>
  <si>
    <t>Accounting Fees</t>
  </si>
  <si>
    <t>Consulting Fees</t>
  </si>
  <si>
    <t>Legal Fees</t>
  </si>
  <si>
    <t>Recruiting Fees</t>
  </si>
  <si>
    <t>Total Professional Services</t>
  </si>
  <si>
    <t>Payroll Expenses</t>
  </si>
  <si>
    <t>Salary &amp; Wages</t>
  </si>
  <si>
    <t>Payroll Taxes</t>
  </si>
  <si>
    <t>Health Insurance</t>
  </si>
  <si>
    <t>Payroll Processing Fees</t>
  </si>
  <si>
    <t>Commissions Expense</t>
  </si>
  <si>
    <t>Total Payroll Expenses</t>
  </si>
  <si>
    <t>Taxes &amp; Licenses</t>
  </si>
  <si>
    <t>Travel, Meals &amp; Entertainment</t>
  </si>
  <si>
    <t>Lodging</t>
  </si>
  <si>
    <t>Meals &amp; Entertainment</t>
  </si>
  <si>
    <t>Travel</t>
  </si>
  <si>
    <t>Total Travel, Meals &amp; Entertainment</t>
  </si>
  <si>
    <t>Total Expenses</t>
  </si>
  <si>
    <t>Net Operating Income</t>
  </si>
  <si>
    <t>Other Income</t>
  </si>
  <si>
    <t>Interest Income</t>
  </si>
  <si>
    <t>Total Other Income</t>
  </si>
  <si>
    <t>Other Expenses</t>
  </si>
  <si>
    <t>Depreciation Expense</t>
  </si>
  <si>
    <t>Interest Expense</t>
  </si>
  <si>
    <t>Total Other Expenses</t>
  </si>
  <si>
    <t>Net Other Income</t>
  </si>
  <si>
    <t>Net Income</t>
  </si>
  <si>
    <t>Value Row</t>
  </si>
  <si>
    <t>Summation Row</t>
  </si>
  <si>
    <t>Account</t>
  </si>
  <si>
    <t>Section</t>
  </si>
  <si>
    <t>Summary Grouping</t>
  </si>
  <si>
    <t>Departments</t>
  </si>
  <si>
    <t>Period</t>
  </si>
  <si>
    <t>YTD</t>
  </si>
  <si>
    <t>Current Month</t>
  </si>
  <si>
    <t>Trailing 3 Months</t>
  </si>
  <si>
    <t>Trailing 6 Months</t>
  </si>
  <si>
    <t>Trailing 12 Months</t>
  </si>
  <si>
    <t>EBITDA</t>
  </si>
  <si>
    <t>Date</t>
  </si>
  <si>
    <t>2023 Start</t>
  </si>
  <si>
    <t>2023 End</t>
  </si>
  <si>
    <t>2024 Start</t>
  </si>
  <si>
    <t>2024 End</t>
  </si>
  <si>
    <t>2025 Start</t>
  </si>
  <si>
    <t>2025 End</t>
  </si>
  <si>
    <t>Current Month Start</t>
  </si>
  <si>
    <t>Current Month End</t>
  </si>
  <si>
    <t>Trailing 3 Mo Start</t>
  </si>
  <si>
    <t>Trailing 6 Mo Start</t>
  </si>
  <si>
    <t>Trailing 6 Mo End</t>
  </si>
  <si>
    <t>Trailing 12 Mo Start</t>
  </si>
  <si>
    <t>Trailing 12 Mo End</t>
  </si>
  <si>
    <t>YTD Start</t>
  </si>
  <si>
    <t>YTD End</t>
  </si>
  <si>
    <t>Metric</t>
  </si>
  <si>
    <t>Amount</t>
  </si>
  <si>
    <t>Trailing 3 Mo End</t>
  </si>
  <si>
    <t>Date Period</t>
  </si>
  <si>
    <t>Prior Period Current Month Start</t>
  </si>
  <si>
    <t>Prior Period Current Month End</t>
  </si>
  <si>
    <t>Prior Period Trailing 3 Mo Start</t>
  </si>
  <si>
    <t>Prior Period Trailing 3 Mo End</t>
  </si>
  <si>
    <t>Prior Period Trailing 6 Mo Start</t>
  </si>
  <si>
    <t>Prior Period Trailing 6 Mo End</t>
  </si>
  <si>
    <t>Prior Period Trailing 12 Mo Start</t>
  </si>
  <si>
    <t>Prior Period Trailing 12 Mo End</t>
  </si>
  <si>
    <t>Prior Period YTD Start</t>
  </si>
  <si>
    <t>Prior Period YTD End</t>
  </si>
  <si>
    <t>Prior Year Current Month Start</t>
  </si>
  <si>
    <t>Prior Year Current Month End</t>
  </si>
  <si>
    <t>Prior Year Trailing 3 Mo Start</t>
  </si>
  <si>
    <t>Prior Year Trailing 3 Mo End</t>
  </si>
  <si>
    <t>Prior Year Trailing 6 Mo Start</t>
  </si>
  <si>
    <t>Prior Year Trailing 6 Mo End</t>
  </si>
  <si>
    <t>Prior Year Trailing 12 Mo Start</t>
  </si>
  <si>
    <t>Prior Year Trailing 12 Mo End</t>
  </si>
  <si>
    <t>Prior Year YTD Start</t>
  </si>
  <si>
    <t>Prior Year YTD End</t>
  </si>
  <si>
    <t>Zeilenbeschriftungen</t>
  </si>
  <si>
    <t>Gesamtergebnis</t>
  </si>
  <si>
    <t>Spaltenbeschriftungen</t>
  </si>
  <si>
    <t>Gross Margin</t>
  </si>
  <si>
    <t>Revenue &amp; Gross Margin</t>
  </si>
  <si>
    <t>Actuals_Selected</t>
  </si>
  <si>
    <t>Budgets_Selected</t>
  </si>
  <si>
    <t>BvA</t>
  </si>
  <si>
    <t>PPvA</t>
  </si>
  <si>
    <t>PYvA</t>
  </si>
  <si>
    <t>EBITDDA</t>
  </si>
  <si>
    <t>vs Budget</t>
  </si>
  <si>
    <t>vs Prior Period</t>
  </si>
  <si>
    <t>vs Prior Year</t>
  </si>
  <si>
    <t>A+</t>
  </si>
  <si>
    <t>A-</t>
  </si>
  <si>
    <t>B+</t>
  </si>
  <si>
    <t>B-</t>
  </si>
  <si>
    <t>Text</t>
  </si>
  <si>
    <t>Var to Prior Period ($)</t>
  </si>
  <si>
    <t>Var to Prior Period (%)</t>
  </si>
  <si>
    <t>Var to Prior Year ($)</t>
  </si>
  <si>
    <t>Var to Prior Year (%)</t>
  </si>
  <si>
    <t>Var to Budget Income ($)</t>
  </si>
  <si>
    <t>Var to Budget (%)</t>
  </si>
  <si>
    <t>Jun-24</t>
  </si>
  <si>
    <t>Jul-24</t>
  </si>
  <si>
    <t>Aug-24</t>
  </si>
  <si>
    <t>Sep-24</t>
  </si>
  <si>
    <t>Okt-24</t>
  </si>
  <si>
    <t>Nov-24</t>
  </si>
  <si>
    <t>Dez-24</t>
  </si>
  <si>
    <t>Jan-25</t>
  </si>
  <si>
    <t>Feb-25</t>
  </si>
  <si>
    <t>Mrz-25</t>
  </si>
  <si>
    <t>Apr-25</t>
  </si>
  <si>
    <t>Mai-25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</si>
</sst>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_(&quot;$&quot;* #,##0_);_(&quot;$&quot;* \(#,##0\);_(&quot;$&quot;* &quot;-&quot;_);_(@_)"/>
    <numFmt numFmtId="165" formatCode="_(&quot;$&quot;* #,##0.00_);_(&quot;$&quot;* \(#,##0.00\);_(&quot;$&quot;* &quot;-&quot;??_);_(@_)"/>
    <numFmt numFmtId="166" formatCode="_(* #,##0.00_);_(* \(#,##0.00\);_(* &quot;-&quot;??_);_(@_)"/>
    <numFmt numFmtId="167" formatCode="_(&quot;$&quot;* #,##0_);_(&quot;$&quot;* \(#,##0\);_(&quot;$&quot;* &quot;-&quot;??_);_(@_)"/>
    <numFmt numFmtId="168" formatCode="&quot;$&quot;* #,##0\ _€"/>
    <numFmt numFmtId="169" formatCode="_(* #,##0_);_(* \(#,##0\);_(* &quot;-&quot;??_);_(@_)"/>
    <numFmt numFmtId="170" formatCode="0.0\ %;\-0.0\ %;0.0\ %"/>
    <numFmt numFmtId="171" formatCode="#,##0;\-#,##0;\-"/>
    <numFmt numFmtId="172" formatCode="#,##0\(\▲\);#,##0\(\▼\)"/>
    <numFmt numFmtId="173" formatCode="#,##0;\(#,##0\);\-"/>
  </numFmts>
  <fonts count="26"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2"/>
      <color theme="1"/>
      <name val="Arial"/>
      <family val="2"/>
    </font>
    <font>
      <sz val="11"/>
      <color rgb="FF9C0006"/>
      <name val="Aptos Narrow"/>
      <family val="2"/>
      <scheme val="minor"/>
    </font>
    <font>
      <b/>
      <sz val="11"/>
      <color theme="2"/>
      <name val="Aptos Narrow"/>
      <family val="2"/>
      <scheme val="minor"/>
    </font>
    <font>
      <sz val="11"/>
      <color rgb="FF38434D"/>
      <name val="Aptos Narrow"/>
      <family val="2"/>
      <scheme val="minor"/>
    </font>
    <font>
      <b/>
      <sz val="24"/>
      <color theme="0"/>
      <name val="Arial"/>
      <family val="2"/>
    </font>
    <font>
      <sz val="11"/>
      <color theme="1"/>
      <name val="Arial"/>
      <family val="2"/>
    </font>
    <font>
      <sz val="11"/>
      <color rgb="FF00A896"/>
      <name val="Arial"/>
      <family val="2"/>
    </font>
    <font>
      <b/>
      <sz val="11"/>
      <color rgb="FF38434D"/>
      <name val="Aptos Narrow"/>
      <family val="2"/>
      <scheme val="minor"/>
    </font>
    <font>
      <b/>
      <sz val="12"/>
      <color theme="0"/>
      <name val="Aptos Narrow"/>
      <family val="2"/>
      <scheme val="minor"/>
    </font>
    <font>
      <sz val="16"/>
      <color rgb="FF2F3E46"/>
      <name val="Arial"/>
      <family val="2"/>
    </font>
    <font>
      <b/>
      <sz val="18"/>
      <color rgb="FF2F3E46"/>
      <name val="Arial"/>
      <family val="2"/>
    </font>
    <font>
      <sz val="12"/>
      <color rgb="FF2F3E46"/>
      <name val="Arial"/>
      <family val="2"/>
    </font>
    <font>
      <sz val="11"/>
      <color rgb="FF2F3E46"/>
      <name val="Arial"/>
      <family val="2"/>
    </font>
    <font>
      <b/>
      <sz val="12"/>
      <color rgb="FF2F3E46"/>
      <name val="Arial"/>
      <family val="2"/>
    </font>
    <font>
      <sz val="18"/>
      <color rgb="FF2F3E46"/>
      <name val="Arial"/>
      <family val="2"/>
    </font>
    <font>
      <b/>
      <sz val="11"/>
      <color rgb="FF2F3E46"/>
      <name val="Arial"/>
      <family val="2"/>
    </font>
  </fonts>
  <fills count="13">
    <fill>
      <patternFill patternType="none"/>
    </fill>
    <fill>
      <patternFill patternType="gray125"/>
    </fill>
    <fill>
      <patternFill patternType="solid">
        <fgColor theme="0" tint="-4.9989318521683403E-2"/>
        <bgColor indexed="64"/>
      </patternFill>
    </fill>
    <fill>
      <patternFill patternType="solid">
        <fgColor rgb="FFFDFCED"/>
        <bgColor indexed="64"/>
      </patternFill>
    </fill>
    <fill>
      <patternFill patternType="solid">
        <fgColor theme="6"/>
      </patternFill>
    </fill>
    <fill>
      <patternFill patternType="solid">
        <fgColor rgb="FFFFD9DE"/>
        <bgColor indexed="64"/>
      </patternFill>
    </fill>
    <fill>
      <patternFill patternType="solid">
        <fgColor theme="1"/>
        <bgColor indexed="64"/>
      </patternFill>
    </fill>
    <fill>
      <patternFill patternType="solid">
        <fgColor theme="0"/>
        <bgColor indexed="64"/>
      </patternFill>
    </fill>
    <fill>
      <patternFill patternType="solid">
        <fgColor rgb="FF2F3E46"/>
        <bgColor indexed="64"/>
      </patternFill>
    </fill>
    <fill>
      <patternFill patternType="solid">
        <fgColor theme="0" tint="-0.14999847407452621"/>
        <bgColor indexed="64"/>
      </patternFill>
    </fill>
    <fill>
      <patternFill patternType="solid">
        <fgColor rgb="FFDBE3D5"/>
        <bgColor indexed="64"/>
      </patternFill>
    </fill>
    <fill>
      <patternFill patternType="solid">
        <fgColor theme="4" tint="0.79998168889431442"/>
        <bgColor theme="4" tint="0.79998168889431442"/>
      </patternFill>
    </fill>
    <fill>
      <patternFill patternType="solid">
        <fgColor theme="4"/>
        <bgColor theme="4"/>
      </patternFill>
    </fill>
  </fills>
  <borders count="14">
    <border>
      <left/>
      <right/>
      <top/>
      <bottom/>
      <diagonal/>
    </border>
    <border>
      <left/>
      <right/>
      <top style="thin">
        <color indexed="64"/>
      </top>
      <bottom/>
      <diagonal/>
    </border>
    <border>
      <left/>
      <right/>
      <top/>
      <bottom style="thin">
        <color theme="0" tint="-0.14999847407452621"/>
      </bottom>
      <diagonal/>
    </border>
    <border>
      <left style="thin">
        <color rgb="FF7F7F7F"/>
      </left>
      <right style="thin">
        <color rgb="FF7F7F7F"/>
      </right>
      <top style="thin">
        <color rgb="FF7F7F7F"/>
      </top>
      <bottom style="thin">
        <color rgb="FF7F7F7F"/>
      </bottom>
      <diagonal/>
    </border>
    <border>
      <left/>
      <right/>
      <top/>
      <bottom style="double">
        <color theme="1"/>
      </bottom>
      <diagonal/>
    </border>
    <border>
      <left/>
      <right/>
      <top/>
      <bottom style="thin">
        <color theme="4"/>
      </bottom>
      <diagonal/>
    </border>
    <border>
      <left/>
      <right style="thin">
        <color rgb="FF2F3E46"/>
      </right>
      <top/>
      <bottom/>
      <diagonal/>
    </border>
    <border>
      <left/>
      <right/>
      <top/>
      <bottom style="thin">
        <color theme="0" tint="-0.34998626667073579"/>
      </bottom>
      <diagonal/>
    </border>
    <border>
      <left/>
      <right style="thin">
        <color rgb="FF2F3E46"/>
      </right>
      <top/>
      <bottom style="thin">
        <color theme="0" tint="-0.34998626667073579"/>
      </bottom>
      <diagonal/>
    </border>
    <border>
      <left style="thin">
        <color rgb="FF2F3E46"/>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rgb="FF2F3E46"/>
      </left>
      <right/>
      <top/>
      <bottom/>
      <diagonal/>
    </border>
    <border>
      <left style="thin">
        <color rgb="FF2F3E46"/>
      </left>
      <right/>
      <top/>
      <bottom style="thin">
        <color theme="0" tint="-0.34998626667073579"/>
      </bottom>
      <diagonal/>
    </border>
    <border>
      <left/>
      <right/>
      <top style="thin">
        <color theme="4" tint="0.39997558519241921"/>
      </top>
      <bottom/>
      <diagonal/>
    </border>
  </borders>
  <cellStyleXfs count="12">
    <xf numFmtId="0" fontId="0" fillId="0" borderId="0"/>
    <xf numFmtId="166" fontId="1" fillId="0" borderId="0" applyFont="0" applyFill="0" applyBorder="0" applyAlignment="0" applyProtection="0"/>
    <xf numFmtId="165" fontId="1" fillId="0" borderId="0" applyFont="0" applyFill="0" applyBorder="0" applyAlignment="0" applyProtection="0"/>
    <xf numFmtId="0" fontId="10" fillId="3" borderId="0" applyNumberFormat="0" applyBorder="0" applyAlignment="0" applyProtection="0"/>
    <xf numFmtId="0" fontId="11" fillId="5" borderId="0" applyNumberFormat="0" applyBorder="0" applyAlignment="0" applyProtection="0"/>
    <xf numFmtId="0" fontId="13" fillId="2" borderId="3" applyNumberFormat="0" applyAlignment="0" applyProtection="0"/>
    <xf numFmtId="0" fontId="12" fillId="6" borderId="3" applyNumberFormat="0" applyAlignment="0" applyProtection="0"/>
    <xf numFmtId="49" fontId="1" fillId="0" borderId="4" applyFill="0" applyAlignment="0" applyProtection="0"/>
    <xf numFmtId="0" fontId="10" fillId="0" borderId="5" applyNumberFormat="0" applyFill="0" applyAlignment="0" applyProtection="0"/>
    <xf numFmtId="0" fontId="1" fillId="4" borderId="0" applyNumberFormat="0" applyBorder="0" applyAlignment="0" applyProtection="0"/>
    <xf numFmtId="0" fontId="5" fillId="0" borderId="0"/>
    <xf numFmtId="9" fontId="1" fillId="0" borderId="0" applyFont="0" applyFill="0" applyBorder="0" applyAlignment="0" applyProtection="0"/>
  </cellStyleXfs>
  <cellXfs count="116">
    <xf numFmtId="0" fontId="0" fillId="0" borderId="0" xfId="0"/>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7"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7" fontId="2" fillId="0" borderId="0" xfId="0" applyNumberFormat="1" applyFont="1"/>
    <xf numFmtId="168" fontId="2" fillId="0" borderId="0" xfId="0" applyNumberFormat="1" applyFont="1"/>
    <xf numFmtId="167" fontId="2" fillId="0" borderId="0" xfId="2" quotePrefix="1" applyNumberFormat="1" applyFont="1" applyFill="1" applyBorder="1" applyProtection="1"/>
    <xf numFmtId="167" fontId="0" fillId="0" borderId="0" xfId="0" applyNumberFormat="1"/>
    <xf numFmtId="169" fontId="4" fillId="0" borderId="0" xfId="1" quotePrefix="1" applyNumberFormat="1" applyFont="1" applyFill="1" applyBorder="1" applyProtection="1"/>
    <xf numFmtId="167" fontId="3" fillId="0" borderId="0" xfId="2" quotePrefix="1" applyNumberFormat="1" applyFont="1" applyFill="1" applyBorder="1" applyProtection="1"/>
    <xf numFmtId="167" fontId="1" fillId="0" borderId="0" xfId="2" quotePrefix="1" applyNumberFormat="1" applyFont="1" applyFill="1" applyBorder="1" applyProtection="1"/>
    <xf numFmtId="167" fontId="3" fillId="0" borderId="0" xfId="0" applyNumberFormat="1" applyFont="1"/>
    <xf numFmtId="168" fontId="3" fillId="0" borderId="0" xfId="0" applyNumberFormat="1" applyFont="1"/>
    <xf numFmtId="167" fontId="3" fillId="0" borderId="1" xfId="2" quotePrefix="1" applyNumberFormat="1" applyFont="1" applyFill="1" applyBorder="1" applyProtection="1"/>
    <xf numFmtId="1" fontId="0" fillId="0" borderId="0" xfId="2" applyNumberFormat="1" applyFont="1" applyFill="1" applyProtection="1"/>
    <xf numFmtId="164" fontId="0" fillId="0" borderId="0" xfId="2" applyNumberFormat="1" applyFont="1" applyFill="1" applyProtection="1"/>
    <xf numFmtId="0" fontId="2" fillId="0" borderId="0" xfId="0" applyFont="1" applyAlignment="1">
      <alignment horizontal="left" indent="1"/>
    </xf>
    <xf numFmtId="169" fontId="6" fillId="0" borderId="0" xfId="1" quotePrefix="1" applyNumberFormat="1" applyFont="1" applyFill="1" applyBorder="1" applyProtection="1"/>
    <xf numFmtId="0" fontId="6" fillId="0" borderId="0" xfId="0" applyFont="1" applyAlignment="1">
      <alignment horizontal="left" indent="1"/>
    </xf>
    <xf numFmtId="168" fontId="6" fillId="0" borderId="0" xfId="0" applyNumberFormat="1" applyFont="1"/>
    <xf numFmtId="167" fontId="6" fillId="0" borderId="0" xfId="0" applyNumberFormat="1" applyFont="1"/>
    <xf numFmtId="169" fontId="7" fillId="0" borderId="0" xfId="1" quotePrefix="1" applyNumberFormat="1" applyFont="1" applyFill="1" applyBorder="1" applyProtection="1"/>
    <xf numFmtId="167" fontId="7" fillId="0" borderId="0" xfId="0" applyNumberFormat="1" applyFont="1"/>
    <xf numFmtId="0" fontId="14" fillId="8" borderId="0" xfId="0" applyFont="1" applyFill="1" applyAlignment="1">
      <alignment vertical="center"/>
    </xf>
    <xf numFmtId="0" fontId="16" fillId="8" borderId="0" xfId="0" applyFont="1" applyFill="1"/>
    <xf numFmtId="0" fontId="15" fillId="9" borderId="0" xfId="0" applyFont="1" applyFill="1"/>
    <xf numFmtId="0" fontId="15" fillId="9" borderId="0" xfId="0" applyFont="1" applyFill="1" applyAlignment="1">
      <alignment vertical="center"/>
    </xf>
    <xf numFmtId="0" fontId="2" fillId="0" borderId="0" xfId="0" applyFont="1"/>
    <xf numFmtId="14" fontId="0" fillId="0" borderId="0" xfId="0" applyNumberFormat="1"/>
    <xf numFmtId="0" fontId="13" fillId="11" borderId="13" xfId="0" applyFont="1" applyFill="1" applyBorder="1"/>
    <xf numFmtId="0" fontId="0" fillId="0" borderId="13" xfId="0" applyBorder="1"/>
    <xf numFmtId="0" fontId="0" fillId="11" borderId="13" xfId="0" applyFill="1" applyBorder="1"/>
    <xf numFmtId="0" fontId="13" fillId="0" borderId="13" xfId="0" applyFont="1" applyBorder="1" applyAlignment="1">
      <alignment horizontal="left"/>
    </xf>
    <xf numFmtId="0" fontId="13" fillId="0" borderId="13" xfId="0" applyFont="1" applyBorder="1"/>
    <xf numFmtId="0" fontId="18" fillId="12" borderId="0" xfId="0" applyFont="1" applyFill="1" applyAlignment="1">
      <alignment horizontal="left"/>
    </xf>
    <xf numFmtId="0" fontId="17" fillId="12" borderId="0" xfId="0" applyFont="1" applyFill="1" applyAlignment="1">
      <alignment horizontal="left"/>
    </xf>
    <xf numFmtId="0" fontId="17" fillId="12" borderId="0" xfId="0" applyFont="1" applyFill="1"/>
    <xf numFmtId="0" fontId="13" fillId="11" borderId="13" xfId="0" applyFont="1" applyFill="1" applyBorder="1" applyAlignment="1">
      <alignment horizontal="left"/>
    </xf>
    <xf numFmtId="14" fontId="2" fillId="0" borderId="0" xfId="0" applyNumberFormat="1" applyFont="1"/>
    <xf numFmtId="1" fontId="0" fillId="0" borderId="0" xfId="0" applyNumberFormat="1"/>
    <xf numFmtId="0" fontId="0" fillId="0" borderId="0" xfId="0" pivotButton="1"/>
    <xf numFmtId="3" fontId="0" fillId="0" borderId="0" xfId="0" applyNumberFormat="1"/>
    <xf numFmtId="170" fontId="0" fillId="0" borderId="0" xfId="0" applyNumberFormat="1"/>
    <xf numFmtId="171" fontId="0" fillId="0" borderId="0" xfId="0" applyNumberFormat="1"/>
    <xf numFmtId="37" fontId="0" fillId="0" borderId="0" xfId="0" applyNumberFormat="1"/>
    <xf numFmtId="0" fontId="20" fillId="10" borderId="7" xfId="0" applyFont="1" applyFill="1" applyBorder="1" applyAlignment="1">
      <alignment horizontal="left" vertical="center" indent="2"/>
    </xf>
    <xf numFmtId="0" fontId="0" fillId="0" borderId="0" xfId="0" applyAlignment="1">
      <alignment horizontal="center"/>
    </xf>
    <xf numFmtId="171" fontId="0" fillId="0" borderId="0" xfId="0" applyNumberFormat="1" applyAlignment="1">
      <alignment horizontal="center"/>
    </xf>
    <xf numFmtId="0" fontId="2" fillId="0" borderId="0" xfId="0" applyFont="1" applyAlignment="1">
      <alignment horizontal="center"/>
    </xf>
    <xf numFmtId="9" fontId="0" fillId="0" borderId="0" xfId="11" applyFont="1" applyAlignment="1">
      <alignment horizontal="center"/>
    </xf>
    <xf numFmtId="170" fontId="0" fillId="0" borderId="0" xfId="0" applyNumberFormat="1" applyAlignment="1">
      <alignment horizontal="center"/>
    </xf>
    <xf numFmtId="173" fontId="0" fillId="0" borderId="0" xfId="0" applyNumberFormat="1"/>
    <xf numFmtId="173" fontId="19" fillId="7" borderId="0" xfId="0" applyNumberFormat="1" applyFont="1" applyFill="1" applyAlignment="1">
      <alignment horizontal="center" vertical="center"/>
    </xf>
    <xf numFmtId="172" fontId="21" fillId="7" borderId="0" xfId="0" applyNumberFormat="1" applyFont="1" applyFill="1" applyAlignment="1">
      <alignment horizontal="center" vertical="center"/>
    </xf>
    <xf numFmtId="0" fontId="22" fillId="8" borderId="0" xfId="0" applyFont="1" applyFill="1"/>
    <xf numFmtId="0" fontId="22" fillId="10" borderId="7" xfId="0" applyFont="1" applyFill="1" applyBorder="1"/>
    <xf numFmtId="0" fontId="22" fillId="10" borderId="8" xfId="0" applyFont="1" applyFill="1" applyBorder="1"/>
    <xf numFmtId="0" fontId="20" fillId="10" borderId="7" xfId="0" applyFont="1" applyFill="1" applyBorder="1" applyAlignment="1">
      <alignment vertical="center" indent="1"/>
    </xf>
    <xf numFmtId="0" fontId="20" fillId="10" borderId="8" xfId="0" applyFont="1" applyFill="1" applyBorder="1" applyAlignment="1">
      <alignment vertical="center" indent="1"/>
    </xf>
    <xf numFmtId="0" fontId="22" fillId="7" borderId="0" xfId="0" applyFont="1" applyFill="1"/>
    <xf numFmtId="0" fontId="22" fillId="7" borderId="6" xfId="0" applyFont="1" applyFill="1" applyBorder="1"/>
    <xf numFmtId="0" fontId="22" fillId="8" borderId="6" xfId="0" applyFont="1" applyFill="1" applyBorder="1"/>
    <xf numFmtId="0" fontId="20" fillId="10" borderId="7" xfId="0" applyFont="1" applyFill="1" applyBorder="1" applyAlignment="1">
      <alignment vertical="center"/>
    </xf>
    <xf numFmtId="0" fontId="22" fillId="10" borderId="7" xfId="0" applyFont="1" applyFill="1" applyBorder="1" applyAlignment="1">
      <alignment vertical="center"/>
    </xf>
    <xf numFmtId="0" fontId="22" fillId="10" borderId="8" xfId="0" applyFont="1" applyFill="1" applyBorder="1" applyAlignment="1">
      <alignment vertical="center"/>
    </xf>
    <xf numFmtId="0" fontId="21" fillId="10" borderId="7" xfId="0" applyFont="1" applyFill="1" applyBorder="1" applyAlignment="1">
      <alignment horizontal="left" vertical="center" indent="2"/>
    </xf>
    <xf numFmtId="0" fontId="23" fillId="10" borderId="7" xfId="0" applyFont="1" applyFill="1" applyBorder="1" applyAlignment="1">
      <alignment horizontal="center" vertical="center"/>
    </xf>
    <xf numFmtId="0" fontId="23" fillId="10" borderId="8" xfId="0" applyFont="1" applyFill="1" applyBorder="1" applyAlignment="1">
      <alignment horizontal="center" vertical="center"/>
    </xf>
    <xf numFmtId="0" fontId="22" fillId="7" borderId="0" xfId="0" applyFont="1" applyFill="1" applyAlignment="1">
      <alignment horizontal="center" vertical="center"/>
    </xf>
    <xf numFmtId="0" fontId="22" fillId="7" borderId="6" xfId="0" applyFont="1" applyFill="1" applyBorder="1" applyAlignment="1">
      <alignment horizontal="center" vertical="center"/>
    </xf>
    <xf numFmtId="37" fontId="22" fillId="7" borderId="7" xfId="0" applyNumberFormat="1" applyFont="1" applyFill="1" applyBorder="1" applyAlignment="1">
      <alignment vertical="center"/>
    </xf>
    <xf numFmtId="9" fontId="22" fillId="7" borderId="7" xfId="11" applyFont="1" applyFill="1" applyBorder="1" applyAlignment="1">
      <alignment vertical="center"/>
    </xf>
    <xf numFmtId="0" fontId="23" fillId="7" borderId="0" xfId="0" applyFont="1" applyFill="1" applyAlignment="1">
      <alignment horizontal="center" vertical="center"/>
    </xf>
    <xf numFmtId="173" fontId="22" fillId="7" borderId="0" xfId="0" applyNumberFormat="1" applyFont="1" applyFill="1" applyAlignment="1">
      <alignment horizontal="center" vertical="center"/>
    </xf>
    <xf numFmtId="173" fontId="24" fillId="7" borderId="0" xfId="0" applyNumberFormat="1" applyFont="1" applyFill="1" applyAlignment="1">
      <alignment horizontal="center" vertical="center"/>
    </xf>
    <xf numFmtId="173" fontId="22" fillId="7" borderId="6" xfId="0" applyNumberFormat="1" applyFont="1" applyFill="1" applyBorder="1" applyAlignment="1">
      <alignment horizontal="center" vertical="center"/>
    </xf>
    <xf numFmtId="0" fontId="24" fillId="7" borderId="0" xfId="0" applyFont="1" applyFill="1" applyAlignment="1">
      <alignment horizontal="center" vertical="center"/>
    </xf>
    <xf numFmtId="0" fontId="22" fillId="8" borderId="0" xfId="0" applyFont="1" applyFill="1" applyAlignment="1">
      <alignment horizontal="center" vertical="center"/>
    </xf>
    <xf numFmtId="0" fontId="22" fillId="8" borderId="6" xfId="0" applyFont="1" applyFill="1" applyBorder="1" applyAlignment="1">
      <alignment horizontal="center" vertical="center"/>
    </xf>
    <xf numFmtId="0" fontId="22" fillId="8" borderId="0" xfId="0" applyFont="1" applyFill="1" applyAlignment="1">
      <alignment vertical="center"/>
    </xf>
    <xf numFmtId="0" fontId="22" fillId="8" borderId="6" xfId="0" applyFont="1" applyFill="1" applyBorder="1" applyAlignment="1">
      <alignment vertical="center"/>
    </xf>
    <xf numFmtId="0" fontId="20" fillId="10" borderId="7" xfId="0" applyFont="1" applyFill="1" applyBorder="1" applyAlignment="1">
      <alignment horizontal="center" vertical="center"/>
    </xf>
    <xf numFmtId="0" fontId="22" fillId="10" borderId="7" xfId="0" applyFont="1" applyFill="1" applyBorder="1" applyAlignment="1">
      <alignment horizontal="center" vertical="center"/>
    </xf>
    <xf numFmtId="0" fontId="22" fillId="10" borderId="8" xfId="0" applyFont="1" applyFill="1" applyBorder="1" applyAlignment="1">
      <alignment horizontal="center" vertical="center"/>
    </xf>
    <xf numFmtId="3" fontId="22" fillId="7" borderId="7" xfId="0" applyNumberFormat="1" applyFont="1" applyFill="1" applyBorder="1" applyAlignment="1">
      <alignment vertical="center"/>
    </xf>
    <xf numFmtId="0" fontId="21" fillId="7" borderId="0" xfId="0" applyFont="1" applyFill="1" applyAlignment="1">
      <alignment horizontal="center" vertical="center"/>
    </xf>
    <xf numFmtId="0" fontId="21" fillId="7" borderId="6" xfId="0" applyFont="1" applyFill="1" applyBorder="1" applyAlignment="1">
      <alignment horizontal="center" vertical="center"/>
    </xf>
    <xf numFmtId="37" fontId="22" fillId="7" borderId="7" xfId="0" applyNumberFormat="1" applyFont="1" applyFill="1" applyBorder="1" applyAlignment="1">
      <alignment horizontal="right" vertical="center"/>
    </xf>
    <xf numFmtId="9" fontId="22" fillId="7" borderId="7" xfId="11" applyFont="1" applyFill="1" applyBorder="1" applyAlignment="1">
      <alignment horizontal="right" vertical="center"/>
    </xf>
    <xf numFmtId="3" fontId="22" fillId="7" borderId="7" xfId="0" applyNumberFormat="1" applyFont="1" applyFill="1" applyBorder="1" applyAlignment="1">
      <alignment horizontal="right" vertical="center"/>
    </xf>
    <xf numFmtId="171" fontId="16" fillId="8" borderId="0" xfId="0" applyNumberFormat="1" applyFont="1" applyFill="1"/>
    <xf numFmtId="171" fontId="20" fillId="10" borderId="7" xfId="0" applyNumberFormat="1" applyFont="1" applyFill="1" applyBorder="1" applyAlignment="1">
      <alignment vertical="center" indent="1"/>
    </xf>
    <xf numFmtId="171" fontId="22" fillId="7" borderId="0" xfId="0" applyNumberFormat="1" applyFont="1" applyFill="1"/>
    <xf numFmtId="171" fontId="22" fillId="8" borderId="0" xfId="0" applyNumberFormat="1" applyFont="1" applyFill="1"/>
    <xf numFmtId="171" fontId="23" fillId="10" borderId="7" xfId="0" applyNumberFormat="1" applyFont="1" applyFill="1" applyBorder="1" applyAlignment="1">
      <alignment horizontal="center" vertical="center"/>
    </xf>
    <xf numFmtId="171" fontId="22" fillId="7" borderId="7" xfId="0" applyNumberFormat="1" applyFont="1" applyFill="1" applyBorder="1" applyAlignment="1">
      <alignment horizontal="right" vertical="center"/>
    </xf>
    <xf numFmtId="171" fontId="22" fillId="8" borderId="0" xfId="0" applyNumberFormat="1" applyFont="1" applyFill="1" applyAlignment="1">
      <alignment vertical="center"/>
    </xf>
    <xf numFmtId="171" fontId="22" fillId="7" borderId="7" xfId="0" applyNumberFormat="1" applyFont="1" applyFill="1" applyBorder="1" applyAlignment="1">
      <alignment vertical="center"/>
    </xf>
    <xf numFmtId="171" fontId="15" fillId="9" borderId="0" xfId="0" applyNumberFormat="1" applyFont="1" applyFill="1"/>
    <xf numFmtId="171" fontId="22" fillId="10" borderId="7" xfId="0" applyNumberFormat="1" applyFont="1" applyFill="1" applyBorder="1"/>
    <xf numFmtId="0" fontId="22" fillId="7" borderId="7" xfId="0" applyFont="1" applyFill="1" applyBorder="1" applyAlignment="1">
      <alignment horizontal="left" vertical="center" indent="2"/>
    </xf>
    <xf numFmtId="0" fontId="22" fillId="7" borderId="10" xfId="0" applyFont="1" applyFill="1" applyBorder="1" applyAlignment="1">
      <alignment horizontal="left" vertical="center" indent="2"/>
    </xf>
    <xf numFmtId="0" fontId="25" fillId="7" borderId="0" xfId="0" applyFont="1" applyFill="1" applyAlignment="1">
      <alignment horizontal="left" vertical="center" indent="2"/>
    </xf>
    <xf numFmtId="0" fontId="22" fillId="7" borderId="9" xfId="0" applyFont="1" applyFill="1" applyBorder="1" applyAlignment="1">
      <alignment horizontal="left" vertical="center" indent="2"/>
    </xf>
    <xf numFmtId="0" fontId="22" fillId="7" borderId="12" xfId="0" applyFont="1" applyFill="1" applyBorder="1" applyAlignment="1">
      <alignment horizontal="left" vertical="center" indent="2"/>
    </xf>
    <xf numFmtId="0" fontId="25" fillId="7" borderId="11" xfId="0" applyFont="1" applyFill="1" applyBorder="1" applyAlignment="1">
      <alignment horizontal="left" vertical="center" indent="2"/>
    </xf>
  </cellXfs>
  <cellStyles count="12">
    <cellStyle name="Akzent3" xfId="9" builtinId="37" customBuiltin="1"/>
    <cellStyle name="Berechnung" xfId="6" builtinId="22" customBuiltin="1"/>
    <cellStyle name="Eingabe" xfId="5" builtinId="20" customBuiltin="1"/>
    <cellStyle name="Ergebnis" xfId="8" builtinId="25" customBuiltin="1"/>
    <cellStyle name="Komma" xfId="1" builtinId="3"/>
    <cellStyle name="Normal 2 3" xfId="10" xr:uid="{0C5D9347-97B6-4E30-93DA-71E0934428BB}"/>
    <cellStyle name="Prozent" xfId="11" builtinId="5"/>
    <cellStyle name="Schlecht" xfId="4" builtinId="27" customBuiltin="1"/>
    <cellStyle name="Standard" xfId="0" builtinId="0"/>
    <cellStyle name="Überschrift" xfId="3" builtinId="15" customBuiltin="1"/>
    <cellStyle name="Verknüpfte Zelle" xfId="7" builtinId="24" customBuiltin="1"/>
    <cellStyle name="Währung" xfId="2" builtinId="4"/>
  </cellStyles>
  <dxfs count="12">
    <dxf>
      <font>
        <color rgb="FFC00000"/>
      </font>
    </dxf>
    <dxf>
      <font>
        <color rgb="FF9C0006"/>
      </font>
      <fill>
        <patternFill patternType="none">
          <bgColor auto="1"/>
        </patternFill>
      </fill>
    </dxf>
    <dxf>
      <numFmt numFmtId="19" formatCode="dd/mm/yyyy"/>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1"/>
    </tableStyle>
    <tableStyle name="Slicer Style 2" pivot="0" table="0" count="0" xr9:uid="{9F175CA9-D9FF-4933-9691-71D3C999565D}"/>
    <tableStyle name="Slicer Style 3" pivot="0" table="0" count="1" xr9:uid="{FAC9B109-D018-4BB3-B314-FD48429B58E0}">
      <tableStyleElement type="wholeTable" dxfId="10"/>
    </tableStyle>
    <tableStyle name="Slicer Style 4" pivot="0" table="0" count="1" xr9:uid="{2E614238-AAE7-4472-B018-CE878F5923DD}"/>
    <tableStyle name="SlicerStyleLight1 2" pivot="0" table="0" count="10" xr9:uid="{F5A93412-DD9C-4FA1-BC34-2A18CD5E0447}">
      <tableStyleElement type="wholeTable" dxfId="9"/>
      <tableStyleElement type="headerRow" dxfId="8"/>
    </tableStyle>
  </tableStyles>
  <colors>
    <mruColors>
      <color rgb="FF52796F"/>
      <color rgb="FF2F3E46"/>
      <color rgb="FFF0F3BD"/>
      <color rgb="FFE3E6E1"/>
      <color rgb="FF84A98C"/>
      <color rgb="FFCAD2C5"/>
      <color rgb="FFDBE3D5"/>
      <color rgb="FF354F52"/>
      <color rgb="FF05668D"/>
      <color rgb="FF02C39A"/>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81.xml"/><Relationship Id="rId21" Type="http://schemas.openxmlformats.org/officeDocument/2006/relationships/pivotCacheDefinition" Target="pivotCache/pivotCacheDefinition9.xml"/><Relationship Id="rId42" Type="http://schemas.openxmlformats.org/officeDocument/2006/relationships/customXml" Target="../customXml/item6.xml"/><Relationship Id="rId63" Type="http://schemas.openxmlformats.org/officeDocument/2006/relationships/customXml" Target="../customXml/item27.xml"/><Relationship Id="rId84" Type="http://schemas.openxmlformats.org/officeDocument/2006/relationships/customXml" Target="../customXml/item48.xml"/><Relationship Id="rId138" Type="http://schemas.openxmlformats.org/officeDocument/2006/relationships/customXml" Target="../customXml/item102.xml"/><Relationship Id="rId159" Type="http://schemas.openxmlformats.org/officeDocument/2006/relationships/customXml" Target="../customXml/item123.xml"/><Relationship Id="rId170" Type="http://schemas.openxmlformats.org/officeDocument/2006/relationships/customXml" Target="../customXml/item134.xml"/><Relationship Id="rId191" Type="http://schemas.openxmlformats.org/officeDocument/2006/relationships/customXml" Target="../customXml/item155.xml"/><Relationship Id="rId205" Type="http://schemas.openxmlformats.org/officeDocument/2006/relationships/customXml" Target="../customXml/item169.xml"/><Relationship Id="rId226" Type="http://schemas.openxmlformats.org/officeDocument/2006/relationships/customXml" Target="../customXml/item190.xml"/><Relationship Id="rId247" Type="http://schemas.openxmlformats.org/officeDocument/2006/relationships/customXml" Target="../customXml/item211.xml"/><Relationship Id="rId107" Type="http://schemas.openxmlformats.org/officeDocument/2006/relationships/customXml" Target="../customXml/item71.xml"/><Relationship Id="rId11" Type="http://schemas.openxmlformats.org/officeDocument/2006/relationships/worksheet" Target="worksheets/sheet11.xml"/><Relationship Id="rId32" Type="http://schemas.openxmlformats.org/officeDocument/2006/relationships/sharedStrings" Target="sharedStrings.xml"/><Relationship Id="rId53" Type="http://schemas.openxmlformats.org/officeDocument/2006/relationships/customXml" Target="../customXml/item17.xml"/><Relationship Id="rId74" Type="http://schemas.openxmlformats.org/officeDocument/2006/relationships/customXml" Target="../customXml/item38.xml"/><Relationship Id="rId128" Type="http://schemas.openxmlformats.org/officeDocument/2006/relationships/customXml" Target="../customXml/item92.xml"/><Relationship Id="rId149" Type="http://schemas.openxmlformats.org/officeDocument/2006/relationships/customXml" Target="../customXml/item113.xml"/><Relationship Id="rId5" Type="http://schemas.openxmlformats.org/officeDocument/2006/relationships/worksheet" Target="worksheets/sheet5.xml"/><Relationship Id="rId95" Type="http://schemas.openxmlformats.org/officeDocument/2006/relationships/customXml" Target="../customXml/item59.xml"/><Relationship Id="rId160" Type="http://schemas.openxmlformats.org/officeDocument/2006/relationships/customXml" Target="../customXml/item124.xml"/><Relationship Id="rId181" Type="http://schemas.openxmlformats.org/officeDocument/2006/relationships/customXml" Target="../customXml/item145.xml"/><Relationship Id="rId216" Type="http://schemas.openxmlformats.org/officeDocument/2006/relationships/customXml" Target="../customXml/item180.xml"/><Relationship Id="rId237" Type="http://schemas.openxmlformats.org/officeDocument/2006/relationships/customXml" Target="../customXml/item201.xml"/><Relationship Id="rId258" Type="http://schemas.openxmlformats.org/officeDocument/2006/relationships/customXml" Target="../customXml/item222.xml"/><Relationship Id="rId22" Type="http://schemas.openxmlformats.org/officeDocument/2006/relationships/pivotCacheDefinition" Target="pivotCache/pivotCacheDefinition10.xml"/><Relationship Id="rId43" Type="http://schemas.openxmlformats.org/officeDocument/2006/relationships/customXml" Target="../customXml/item7.xml"/><Relationship Id="rId64" Type="http://schemas.openxmlformats.org/officeDocument/2006/relationships/customXml" Target="../customXml/item28.xml"/><Relationship Id="rId118" Type="http://schemas.openxmlformats.org/officeDocument/2006/relationships/customXml" Target="../customXml/item82.xml"/><Relationship Id="rId139" Type="http://schemas.openxmlformats.org/officeDocument/2006/relationships/customXml" Target="../customXml/item103.xml"/><Relationship Id="rId85" Type="http://schemas.openxmlformats.org/officeDocument/2006/relationships/customXml" Target="../customXml/item49.xml"/><Relationship Id="rId150" Type="http://schemas.openxmlformats.org/officeDocument/2006/relationships/customXml" Target="../customXml/item114.xml"/><Relationship Id="rId171" Type="http://schemas.openxmlformats.org/officeDocument/2006/relationships/customXml" Target="../customXml/item135.xml"/><Relationship Id="rId192" Type="http://schemas.openxmlformats.org/officeDocument/2006/relationships/customXml" Target="../customXml/item156.xml"/><Relationship Id="rId206" Type="http://schemas.openxmlformats.org/officeDocument/2006/relationships/customXml" Target="../customXml/item170.xml"/><Relationship Id="rId227" Type="http://schemas.openxmlformats.org/officeDocument/2006/relationships/customXml" Target="../customXml/item191.xml"/><Relationship Id="rId248" Type="http://schemas.openxmlformats.org/officeDocument/2006/relationships/customXml" Target="../customXml/item212.xml"/><Relationship Id="rId12" Type="http://schemas.openxmlformats.org/officeDocument/2006/relationships/externalLink" Target="externalLinks/externalLink1.xml"/><Relationship Id="rId33" Type="http://schemas.openxmlformats.org/officeDocument/2006/relationships/sheetMetadata" Target="metadata.xml"/><Relationship Id="rId108" Type="http://schemas.openxmlformats.org/officeDocument/2006/relationships/customXml" Target="../customXml/item72.xml"/><Relationship Id="rId129" Type="http://schemas.openxmlformats.org/officeDocument/2006/relationships/customXml" Target="../customXml/item93.xml"/><Relationship Id="rId54" Type="http://schemas.openxmlformats.org/officeDocument/2006/relationships/customXml" Target="../customXml/item18.xml"/><Relationship Id="rId75" Type="http://schemas.openxmlformats.org/officeDocument/2006/relationships/customXml" Target="../customXml/item39.xml"/><Relationship Id="rId96" Type="http://schemas.openxmlformats.org/officeDocument/2006/relationships/customXml" Target="../customXml/item60.xml"/><Relationship Id="rId140" Type="http://schemas.openxmlformats.org/officeDocument/2006/relationships/customXml" Target="../customXml/item104.xml"/><Relationship Id="rId161" Type="http://schemas.openxmlformats.org/officeDocument/2006/relationships/customXml" Target="../customXml/item125.xml"/><Relationship Id="rId182" Type="http://schemas.openxmlformats.org/officeDocument/2006/relationships/customXml" Target="../customXml/item146.xml"/><Relationship Id="rId217" Type="http://schemas.openxmlformats.org/officeDocument/2006/relationships/customXml" Target="../customXml/item181.xml"/><Relationship Id="rId6" Type="http://schemas.openxmlformats.org/officeDocument/2006/relationships/worksheet" Target="worksheets/sheet6.xml"/><Relationship Id="rId238" Type="http://schemas.openxmlformats.org/officeDocument/2006/relationships/customXml" Target="../customXml/item202.xml"/><Relationship Id="rId259" Type="http://schemas.openxmlformats.org/officeDocument/2006/relationships/customXml" Target="../customXml/item223.xml"/><Relationship Id="rId23" Type="http://schemas.openxmlformats.org/officeDocument/2006/relationships/pivotCacheDefinition" Target="pivotCache/pivotCacheDefinition11.xml"/><Relationship Id="rId119" Type="http://schemas.openxmlformats.org/officeDocument/2006/relationships/customXml" Target="../customXml/item83.xml"/><Relationship Id="rId44" Type="http://schemas.openxmlformats.org/officeDocument/2006/relationships/customXml" Target="../customXml/item8.xml"/><Relationship Id="rId65" Type="http://schemas.openxmlformats.org/officeDocument/2006/relationships/customXml" Target="../customXml/item29.xml"/><Relationship Id="rId86" Type="http://schemas.openxmlformats.org/officeDocument/2006/relationships/customXml" Target="../customXml/item50.xml"/><Relationship Id="rId130" Type="http://schemas.openxmlformats.org/officeDocument/2006/relationships/customXml" Target="../customXml/item94.xml"/><Relationship Id="rId151" Type="http://schemas.openxmlformats.org/officeDocument/2006/relationships/customXml" Target="../customXml/item115.xml"/><Relationship Id="rId172" Type="http://schemas.openxmlformats.org/officeDocument/2006/relationships/customXml" Target="../customXml/item136.xml"/><Relationship Id="rId193" Type="http://schemas.openxmlformats.org/officeDocument/2006/relationships/customXml" Target="../customXml/item157.xml"/><Relationship Id="rId207" Type="http://schemas.openxmlformats.org/officeDocument/2006/relationships/customXml" Target="../customXml/item171.xml"/><Relationship Id="rId228" Type="http://schemas.openxmlformats.org/officeDocument/2006/relationships/customXml" Target="../customXml/item192.xml"/><Relationship Id="rId249" Type="http://schemas.openxmlformats.org/officeDocument/2006/relationships/customXml" Target="../customXml/item213.xml"/><Relationship Id="rId13" Type="http://schemas.openxmlformats.org/officeDocument/2006/relationships/pivotCacheDefinition" Target="pivotCache/pivotCacheDefinition1.xml"/><Relationship Id="rId109" Type="http://schemas.openxmlformats.org/officeDocument/2006/relationships/customXml" Target="../customXml/item73.xml"/><Relationship Id="rId260" Type="http://schemas.openxmlformats.org/officeDocument/2006/relationships/customXml" Target="../customXml/item224.xml"/><Relationship Id="rId34" Type="http://schemas.openxmlformats.org/officeDocument/2006/relationships/powerPivotData" Target="model/item.data"/><Relationship Id="rId55" Type="http://schemas.openxmlformats.org/officeDocument/2006/relationships/customXml" Target="../customXml/item19.xml"/><Relationship Id="rId76" Type="http://schemas.openxmlformats.org/officeDocument/2006/relationships/customXml" Target="../customXml/item40.xml"/><Relationship Id="rId97" Type="http://schemas.openxmlformats.org/officeDocument/2006/relationships/customXml" Target="../customXml/item61.xml"/><Relationship Id="rId120" Type="http://schemas.openxmlformats.org/officeDocument/2006/relationships/customXml" Target="../customXml/item84.xml"/><Relationship Id="rId141" Type="http://schemas.openxmlformats.org/officeDocument/2006/relationships/customXml" Target="../customXml/item105.xml"/><Relationship Id="rId7" Type="http://schemas.openxmlformats.org/officeDocument/2006/relationships/worksheet" Target="worksheets/sheet7.xml"/><Relationship Id="rId162" Type="http://schemas.openxmlformats.org/officeDocument/2006/relationships/customXml" Target="../customXml/item126.xml"/><Relationship Id="rId183" Type="http://schemas.openxmlformats.org/officeDocument/2006/relationships/customXml" Target="../customXml/item147.xml"/><Relationship Id="rId218" Type="http://schemas.openxmlformats.org/officeDocument/2006/relationships/customXml" Target="../customXml/item182.xml"/><Relationship Id="rId239" Type="http://schemas.openxmlformats.org/officeDocument/2006/relationships/customXml" Target="../customXml/item203.xml"/><Relationship Id="rId250" Type="http://schemas.openxmlformats.org/officeDocument/2006/relationships/customXml" Target="../customXml/item214.xml"/><Relationship Id="rId24" Type="http://schemas.openxmlformats.org/officeDocument/2006/relationships/pivotCacheDefinition" Target="pivotCache/pivotCacheDefinition12.xml"/><Relationship Id="rId45" Type="http://schemas.openxmlformats.org/officeDocument/2006/relationships/customXml" Target="../customXml/item9.xml"/><Relationship Id="rId66" Type="http://schemas.openxmlformats.org/officeDocument/2006/relationships/customXml" Target="../customXml/item30.xml"/><Relationship Id="rId87" Type="http://schemas.openxmlformats.org/officeDocument/2006/relationships/customXml" Target="../customXml/item51.xml"/><Relationship Id="rId110" Type="http://schemas.openxmlformats.org/officeDocument/2006/relationships/customXml" Target="../customXml/item74.xml"/><Relationship Id="rId131" Type="http://schemas.openxmlformats.org/officeDocument/2006/relationships/customXml" Target="../customXml/item95.xml"/><Relationship Id="rId152" Type="http://schemas.openxmlformats.org/officeDocument/2006/relationships/customXml" Target="../customXml/item116.xml"/><Relationship Id="rId173" Type="http://schemas.openxmlformats.org/officeDocument/2006/relationships/customXml" Target="../customXml/item137.xml"/><Relationship Id="rId194" Type="http://schemas.openxmlformats.org/officeDocument/2006/relationships/customXml" Target="../customXml/item158.xml"/><Relationship Id="rId208" Type="http://schemas.openxmlformats.org/officeDocument/2006/relationships/customXml" Target="../customXml/item172.xml"/><Relationship Id="rId229" Type="http://schemas.openxmlformats.org/officeDocument/2006/relationships/customXml" Target="../customXml/item193.xml"/><Relationship Id="rId240" Type="http://schemas.openxmlformats.org/officeDocument/2006/relationships/customXml" Target="../customXml/item204.xml"/><Relationship Id="rId14" Type="http://schemas.openxmlformats.org/officeDocument/2006/relationships/pivotCacheDefinition" Target="pivotCache/pivotCacheDefinition2.xml"/><Relationship Id="rId35" Type="http://schemas.microsoft.com/office/2017/10/relationships/person" Target="persons/person.xml"/><Relationship Id="rId56" Type="http://schemas.openxmlformats.org/officeDocument/2006/relationships/customXml" Target="../customXml/item20.xml"/><Relationship Id="rId77" Type="http://schemas.openxmlformats.org/officeDocument/2006/relationships/customXml" Target="../customXml/item41.xml"/><Relationship Id="rId100" Type="http://schemas.openxmlformats.org/officeDocument/2006/relationships/customXml" Target="../customXml/item64.xml"/><Relationship Id="rId8" Type="http://schemas.openxmlformats.org/officeDocument/2006/relationships/worksheet" Target="worksheets/sheet8.xml"/><Relationship Id="rId98" Type="http://schemas.openxmlformats.org/officeDocument/2006/relationships/customXml" Target="../customXml/item62.xml"/><Relationship Id="rId121" Type="http://schemas.openxmlformats.org/officeDocument/2006/relationships/customXml" Target="../customXml/item85.xml"/><Relationship Id="rId142" Type="http://schemas.openxmlformats.org/officeDocument/2006/relationships/customXml" Target="../customXml/item106.xml"/><Relationship Id="rId163" Type="http://schemas.openxmlformats.org/officeDocument/2006/relationships/customXml" Target="../customXml/item127.xml"/><Relationship Id="rId184" Type="http://schemas.openxmlformats.org/officeDocument/2006/relationships/customXml" Target="../customXml/item148.xml"/><Relationship Id="rId219" Type="http://schemas.openxmlformats.org/officeDocument/2006/relationships/customXml" Target="../customXml/item183.xml"/><Relationship Id="rId230" Type="http://schemas.openxmlformats.org/officeDocument/2006/relationships/customXml" Target="../customXml/item194.xml"/><Relationship Id="rId251" Type="http://schemas.openxmlformats.org/officeDocument/2006/relationships/customXml" Target="../customXml/item215.xml"/><Relationship Id="rId25" Type="http://schemas.openxmlformats.org/officeDocument/2006/relationships/pivotCacheDefinition" Target="pivotCache/pivotCacheDefinition13.xml"/><Relationship Id="rId46" Type="http://schemas.openxmlformats.org/officeDocument/2006/relationships/customXml" Target="../customXml/item10.xml"/><Relationship Id="rId67" Type="http://schemas.openxmlformats.org/officeDocument/2006/relationships/customXml" Target="../customXml/item31.xml"/><Relationship Id="rId88" Type="http://schemas.openxmlformats.org/officeDocument/2006/relationships/customXml" Target="../customXml/item52.xml"/><Relationship Id="rId111" Type="http://schemas.openxmlformats.org/officeDocument/2006/relationships/customXml" Target="../customXml/item75.xml"/><Relationship Id="rId132" Type="http://schemas.openxmlformats.org/officeDocument/2006/relationships/customXml" Target="../customXml/item96.xml"/><Relationship Id="rId153" Type="http://schemas.openxmlformats.org/officeDocument/2006/relationships/customXml" Target="../customXml/item117.xml"/><Relationship Id="rId174" Type="http://schemas.openxmlformats.org/officeDocument/2006/relationships/customXml" Target="../customXml/item138.xml"/><Relationship Id="rId195" Type="http://schemas.openxmlformats.org/officeDocument/2006/relationships/customXml" Target="../customXml/item159.xml"/><Relationship Id="rId209" Type="http://schemas.openxmlformats.org/officeDocument/2006/relationships/customXml" Target="../customXml/item173.xml"/><Relationship Id="rId220" Type="http://schemas.openxmlformats.org/officeDocument/2006/relationships/customXml" Target="../customXml/item184.xml"/><Relationship Id="rId241" Type="http://schemas.openxmlformats.org/officeDocument/2006/relationships/customXml" Target="../customXml/item205.xml"/><Relationship Id="rId15" Type="http://schemas.openxmlformats.org/officeDocument/2006/relationships/pivotCacheDefinition" Target="pivotCache/pivotCacheDefinition3.xml"/><Relationship Id="rId36" Type="http://schemas.openxmlformats.org/officeDocument/2006/relationships/calcChain" Target="calcChain.xml"/><Relationship Id="rId57" Type="http://schemas.openxmlformats.org/officeDocument/2006/relationships/customXml" Target="../customXml/item21.xml"/><Relationship Id="rId78" Type="http://schemas.openxmlformats.org/officeDocument/2006/relationships/customXml" Target="../customXml/item42.xml"/><Relationship Id="rId99" Type="http://schemas.openxmlformats.org/officeDocument/2006/relationships/customXml" Target="../customXml/item63.xml"/><Relationship Id="rId101" Type="http://schemas.openxmlformats.org/officeDocument/2006/relationships/customXml" Target="../customXml/item65.xml"/><Relationship Id="rId122" Type="http://schemas.openxmlformats.org/officeDocument/2006/relationships/customXml" Target="../customXml/item86.xml"/><Relationship Id="rId143" Type="http://schemas.openxmlformats.org/officeDocument/2006/relationships/customXml" Target="../customXml/item107.xml"/><Relationship Id="rId164" Type="http://schemas.openxmlformats.org/officeDocument/2006/relationships/customXml" Target="../customXml/item128.xml"/><Relationship Id="rId185" Type="http://schemas.openxmlformats.org/officeDocument/2006/relationships/customXml" Target="../customXml/item149.xml"/><Relationship Id="rId9" Type="http://schemas.openxmlformats.org/officeDocument/2006/relationships/worksheet" Target="worksheets/sheet9.xml"/><Relationship Id="rId210" Type="http://schemas.openxmlformats.org/officeDocument/2006/relationships/customXml" Target="../customXml/item174.xml"/><Relationship Id="rId26" Type="http://schemas.openxmlformats.org/officeDocument/2006/relationships/pivotCacheDefinition" Target="pivotCache/pivotCacheDefinition14.xml"/><Relationship Id="rId231" Type="http://schemas.openxmlformats.org/officeDocument/2006/relationships/customXml" Target="../customXml/item195.xml"/><Relationship Id="rId252" Type="http://schemas.openxmlformats.org/officeDocument/2006/relationships/customXml" Target="../customXml/item216.xml"/><Relationship Id="rId47" Type="http://schemas.openxmlformats.org/officeDocument/2006/relationships/customXml" Target="../customXml/item11.xml"/><Relationship Id="rId68" Type="http://schemas.openxmlformats.org/officeDocument/2006/relationships/customXml" Target="../customXml/item32.xml"/><Relationship Id="rId89" Type="http://schemas.openxmlformats.org/officeDocument/2006/relationships/customXml" Target="../customXml/item53.xml"/><Relationship Id="rId112" Type="http://schemas.openxmlformats.org/officeDocument/2006/relationships/customXml" Target="../customXml/item76.xml"/><Relationship Id="rId133" Type="http://schemas.openxmlformats.org/officeDocument/2006/relationships/customXml" Target="../customXml/item97.xml"/><Relationship Id="rId154" Type="http://schemas.openxmlformats.org/officeDocument/2006/relationships/customXml" Target="../customXml/item118.xml"/><Relationship Id="rId175" Type="http://schemas.openxmlformats.org/officeDocument/2006/relationships/customXml" Target="../customXml/item139.xml"/><Relationship Id="rId196" Type="http://schemas.openxmlformats.org/officeDocument/2006/relationships/customXml" Target="../customXml/item160.xml"/><Relationship Id="rId200" Type="http://schemas.openxmlformats.org/officeDocument/2006/relationships/customXml" Target="../customXml/item164.xml"/><Relationship Id="rId16" Type="http://schemas.openxmlformats.org/officeDocument/2006/relationships/pivotCacheDefinition" Target="pivotCache/pivotCacheDefinition4.xml"/><Relationship Id="rId221" Type="http://schemas.openxmlformats.org/officeDocument/2006/relationships/customXml" Target="../customXml/item185.xml"/><Relationship Id="rId242" Type="http://schemas.openxmlformats.org/officeDocument/2006/relationships/customXml" Target="../customXml/item206.xml"/><Relationship Id="rId37" Type="http://schemas.openxmlformats.org/officeDocument/2006/relationships/customXml" Target="../customXml/item1.xml"/><Relationship Id="rId58" Type="http://schemas.openxmlformats.org/officeDocument/2006/relationships/customXml" Target="../customXml/item22.xml"/><Relationship Id="rId79" Type="http://schemas.openxmlformats.org/officeDocument/2006/relationships/customXml" Target="../customXml/item43.xml"/><Relationship Id="rId102" Type="http://schemas.openxmlformats.org/officeDocument/2006/relationships/customXml" Target="../customXml/item66.xml"/><Relationship Id="rId123" Type="http://schemas.openxmlformats.org/officeDocument/2006/relationships/customXml" Target="../customXml/item87.xml"/><Relationship Id="rId144" Type="http://schemas.openxmlformats.org/officeDocument/2006/relationships/customXml" Target="../customXml/item108.xml"/><Relationship Id="rId90" Type="http://schemas.openxmlformats.org/officeDocument/2006/relationships/customXml" Target="../customXml/item54.xml"/><Relationship Id="rId165" Type="http://schemas.openxmlformats.org/officeDocument/2006/relationships/customXml" Target="../customXml/item129.xml"/><Relationship Id="rId186" Type="http://schemas.openxmlformats.org/officeDocument/2006/relationships/customXml" Target="../customXml/item150.xml"/><Relationship Id="rId211" Type="http://schemas.openxmlformats.org/officeDocument/2006/relationships/customXml" Target="../customXml/item175.xml"/><Relationship Id="rId232" Type="http://schemas.openxmlformats.org/officeDocument/2006/relationships/customXml" Target="../customXml/item196.xml"/><Relationship Id="rId253" Type="http://schemas.openxmlformats.org/officeDocument/2006/relationships/customXml" Target="../customXml/item217.xml"/><Relationship Id="rId27" Type="http://schemas.openxmlformats.org/officeDocument/2006/relationships/pivotCacheDefinition" Target="pivotCache/pivotCacheDefinition15.xml"/><Relationship Id="rId48" Type="http://schemas.openxmlformats.org/officeDocument/2006/relationships/customXml" Target="../customXml/item12.xml"/><Relationship Id="rId69" Type="http://schemas.openxmlformats.org/officeDocument/2006/relationships/customXml" Target="../customXml/item33.xml"/><Relationship Id="rId113" Type="http://schemas.openxmlformats.org/officeDocument/2006/relationships/customXml" Target="../customXml/item77.xml"/><Relationship Id="rId134" Type="http://schemas.openxmlformats.org/officeDocument/2006/relationships/customXml" Target="../customXml/item98.xml"/><Relationship Id="rId80" Type="http://schemas.openxmlformats.org/officeDocument/2006/relationships/customXml" Target="../customXml/item44.xml"/><Relationship Id="rId155" Type="http://schemas.openxmlformats.org/officeDocument/2006/relationships/customXml" Target="../customXml/item119.xml"/><Relationship Id="rId176" Type="http://schemas.openxmlformats.org/officeDocument/2006/relationships/customXml" Target="../customXml/item140.xml"/><Relationship Id="rId197" Type="http://schemas.openxmlformats.org/officeDocument/2006/relationships/customXml" Target="../customXml/item161.xml"/><Relationship Id="rId201" Type="http://schemas.openxmlformats.org/officeDocument/2006/relationships/customXml" Target="../customXml/item165.xml"/><Relationship Id="rId222" Type="http://schemas.openxmlformats.org/officeDocument/2006/relationships/customXml" Target="../customXml/item186.xml"/><Relationship Id="rId243" Type="http://schemas.openxmlformats.org/officeDocument/2006/relationships/customXml" Target="../customXml/item207.xml"/><Relationship Id="rId17" Type="http://schemas.openxmlformats.org/officeDocument/2006/relationships/pivotCacheDefinition" Target="pivotCache/pivotCacheDefinition5.xml"/><Relationship Id="rId38" Type="http://schemas.openxmlformats.org/officeDocument/2006/relationships/customXml" Target="../customXml/item2.xml"/><Relationship Id="rId59" Type="http://schemas.openxmlformats.org/officeDocument/2006/relationships/customXml" Target="../customXml/item23.xml"/><Relationship Id="rId103" Type="http://schemas.openxmlformats.org/officeDocument/2006/relationships/customXml" Target="../customXml/item67.xml"/><Relationship Id="rId124" Type="http://schemas.openxmlformats.org/officeDocument/2006/relationships/customXml" Target="../customXml/item88.xml"/><Relationship Id="rId70" Type="http://schemas.openxmlformats.org/officeDocument/2006/relationships/customXml" Target="../customXml/item34.xml"/><Relationship Id="rId91" Type="http://schemas.openxmlformats.org/officeDocument/2006/relationships/customXml" Target="../customXml/item55.xml"/><Relationship Id="rId145" Type="http://schemas.openxmlformats.org/officeDocument/2006/relationships/customXml" Target="../customXml/item109.xml"/><Relationship Id="rId166" Type="http://schemas.openxmlformats.org/officeDocument/2006/relationships/customXml" Target="../customXml/item130.xml"/><Relationship Id="rId187" Type="http://schemas.openxmlformats.org/officeDocument/2006/relationships/customXml" Target="../customXml/item151.xml"/><Relationship Id="rId1" Type="http://schemas.openxmlformats.org/officeDocument/2006/relationships/worksheet" Target="worksheets/sheet1.xml"/><Relationship Id="rId212" Type="http://schemas.openxmlformats.org/officeDocument/2006/relationships/customXml" Target="../customXml/item176.xml"/><Relationship Id="rId233" Type="http://schemas.openxmlformats.org/officeDocument/2006/relationships/customXml" Target="../customXml/item197.xml"/><Relationship Id="rId254" Type="http://schemas.openxmlformats.org/officeDocument/2006/relationships/customXml" Target="../customXml/item218.xml"/><Relationship Id="rId28" Type="http://schemas.microsoft.com/office/2007/relationships/slicerCache" Target="slicerCaches/slicerCache1.xml"/><Relationship Id="rId49" Type="http://schemas.openxmlformats.org/officeDocument/2006/relationships/customXml" Target="../customXml/item13.xml"/><Relationship Id="rId114" Type="http://schemas.openxmlformats.org/officeDocument/2006/relationships/customXml" Target="../customXml/item78.xml"/><Relationship Id="rId60" Type="http://schemas.openxmlformats.org/officeDocument/2006/relationships/customXml" Target="../customXml/item24.xml"/><Relationship Id="rId81" Type="http://schemas.openxmlformats.org/officeDocument/2006/relationships/customXml" Target="../customXml/item45.xml"/><Relationship Id="rId135" Type="http://schemas.openxmlformats.org/officeDocument/2006/relationships/customXml" Target="../customXml/item99.xml"/><Relationship Id="rId156" Type="http://schemas.openxmlformats.org/officeDocument/2006/relationships/customXml" Target="../customXml/item120.xml"/><Relationship Id="rId177" Type="http://schemas.openxmlformats.org/officeDocument/2006/relationships/customXml" Target="../customXml/item141.xml"/><Relationship Id="rId198" Type="http://schemas.openxmlformats.org/officeDocument/2006/relationships/customXml" Target="../customXml/item162.xml"/><Relationship Id="rId202" Type="http://schemas.openxmlformats.org/officeDocument/2006/relationships/customXml" Target="../customXml/item166.xml"/><Relationship Id="rId223" Type="http://schemas.openxmlformats.org/officeDocument/2006/relationships/customXml" Target="../customXml/item187.xml"/><Relationship Id="rId244" Type="http://schemas.openxmlformats.org/officeDocument/2006/relationships/customXml" Target="../customXml/item208.xml"/><Relationship Id="rId18" Type="http://schemas.openxmlformats.org/officeDocument/2006/relationships/pivotCacheDefinition" Target="pivotCache/pivotCacheDefinition6.xml"/><Relationship Id="rId39" Type="http://schemas.openxmlformats.org/officeDocument/2006/relationships/customXml" Target="../customXml/item3.xml"/><Relationship Id="rId50" Type="http://schemas.openxmlformats.org/officeDocument/2006/relationships/customXml" Target="../customXml/item14.xml"/><Relationship Id="rId104" Type="http://schemas.openxmlformats.org/officeDocument/2006/relationships/customXml" Target="../customXml/item68.xml"/><Relationship Id="rId125" Type="http://schemas.openxmlformats.org/officeDocument/2006/relationships/customXml" Target="../customXml/item89.xml"/><Relationship Id="rId146" Type="http://schemas.openxmlformats.org/officeDocument/2006/relationships/customXml" Target="../customXml/item110.xml"/><Relationship Id="rId167" Type="http://schemas.openxmlformats.org/officeDocument/2006/relationships/customXml" Target="../customXml/item131.xml"/><Relationship Id="rId188" Type="http://schemas.openxmlformats.org/officeDocument/2006/relationships/customXml" Target="../customXml/item152.xml"/><Relationship Id="rId71" Type="http://schemas.openxmlformats.org/officeDocument/2006/relationships/customXml" Target="../customXml/item35.xml"/><Relationship Id="rId92" Type="http://schemas.openxmlformats.org/officeDocument/2006/relationships/customXml" Target="../customXml/item56.xml"/><Relationship Id="rId213" Type="http://schemas.openxmlformats.org/officeDocument/2006/relationships/customXml" Target="../customXml/item177.xml"/><Relationship Id="rId234" Type="http://schemas.openxmlformats.org/officeDocument/2006/relationships/customXml" Target="../customXml/item198.xml"/><Relationship Id="rId2" Type="http://schemas.openxmlformats.org/officeDocument/2006/relationships/worksheet" Target="worksheets/sheet2.xml"/><Relationship Id="rId29" Type="http://schemas.openxmlformats.org/officeDocument/2006/relationships/theme" Target="theme/theme1.xml"/><Relationship Id="rId255" Type="http://schemas.openxmlformats.org/officeDocument/2006/relationships/customXml" Target="../customXml/item219.xml"/><Relationship Id="rId40" Type="http://schemas.openxmlformats.org/officeDocument/2006/relationships/customXml" Target="../customXml/item4.xml"/><Relationship Id="rId115" Type="http://schemas.openxmlformats.org/officeDocument/2006/relationships/customXml" Target="../customXml/item79.xml"/><Relationship Id="rId136" Type="http://schemas.openxmlformats.org/officeDocument/2006/relationships/customXml" Target="../customXml/item100.xml"/><Relationship Id="rId157" Type="http://schemas.openxmlformats.org/officeDocument/2006/relationships/customXml" Target="../customXml/item121.xml"/><Relationship Id="rId178" Type="http://schemas.openxmlformats.org/officeDocument/2006/relationships/customXml" Target="../customXml/item142.xml"/><Relationship Id="rId61" Type="http://schemas.openxmlformats.org/officeDocument/2006/relationships/customXml" Target="../customXml/item25.xml"/><Relationship Id="rId82" Type="http://schemas.openxmlformats.org/officeDocument/2006/relationships/customXml" Target="../customXml/item46.xml"/><Relationship Id="rId199" Type="http://schemas.openxmlformats.org/officeDocument/2006/relationships/customXml" Target="../customXml/item163.xml"/><Relationship Id="rId203" Type="http://schemas.openxmlformats.org/officeDocument/2006/relationships/customXml" Target="../customXml/item167.xml"/><Relationship Id="rId19" Type="http://schemas.openxmlformats.org/officeDocument/2006/relationships/pivotCacheDefinition" Target="pivotCache/pivotCacheDefinition7.xml"/><Relationship Id="rId224" Type="http://schemas.openxmlformats.org/officeDocument/2006/relationships/customXml" Target="../customXml/item188.xml"/><Relationship Id="rId245" Type="http://schemas.openxmlformats.org/officeDocument/2006/relationships/customXml" Target="../customXml/item209.xml"/><Relationship Id="rId30" Type="http://schemas.openxmlformats.org/officeDocument/2006/relationships/connections" Target="connections.xml"/><Relationship Id="rId105" Type="http://schemas.openxmlformats.org/officeDocument/2006/relationships/customXml" Target="../customXml/item69.xml"/><Relationship Id="rId126" Type="http://schemas.openxmlformats.org/officeDocument/2006/relationships/customXml" Target="../customXml/item90.xml"/><Relationship Id="rId147" Type="http://schemas.openxmlformats.org/officeDocument/2006/relationships/customXml" Target="../customXml/item111.xml"/><Relationship Id="rId168" Type="http://schemas.openxmlformats.org/officeDocument/2006/relationships/customXml" Target="../customXml/item132.xml"/><Relationship Id="rId51" Type="http://schemas.openxmlformats.org/officeDocument/2006/relationships/customXml" Target="../customXml/item15.xml"/><Relationship Id="rId72" Type="http://schemas.openxmlformats.org/officeDocument/2006/relationships/customXml" Target="../customXml/item36.xml"/><Relationship Id="rId93" Type="http://schemas.openxmlformats.org/officeDocument/2006/relationships/customXml" Target="../customXml/item57.xml"/><Relationship Id="rId189" Type="http://schemas.openxmlformats.org/officeDocument/2006/relationships/customXml" Target="../customXml/item153.xml"/><Relationship Id="rId3" Type="http://schemas.openxmlformats.org/officeDocument/2006/relationships/worksheet" Target="worksheets/sheet3.xml"/><Relationship Id="rId214" Type="http://schemas.openxmlformats.org/officeDocument/2006/relationships/customXml" Target="../customXml/item178.xml"/><Relationship Id="rId235" Type="http://schemas.openxmlformats.org/officeDocument/2006/relationships/customXml" Target="../customXml/item199.xml"/><Relationship Id="rId256" Type="http://schemas.openxmlformats.org/officeDocument/2006/relationships/customXml" Target="../customXml/item220.xml"/><Relationship Id="rId116" Type="http://schemas.openxmlformats.org/officeDocument/2006/relationships/customXml" Target="../customXml/item80.xml"/><Relationship Id="rId137" Type="http://schemas.openxmlformats.org/officeDocument/2006/relationships/customXml" Target="../customXml/item101.xml"/><Relationship Id="rId158" Type="http://schemas.openxmlformats.org/officeDocument/2006/relationships/customXml" Target="../customXml/item122.xml"/><Relationship Id="rId20" Type="http://schemas.openxmlformats.org/officeDocument/2006/relationships/pivotCacheDefinition" Target="pivotCache/pivotCacheDefinition8.xml"/><Relationship Id="rId41" Type="http://schemas.openxmlformats.org/officeDocument/2006/relationships/customXml" Target="../customXml/item5.xml"/><Relationship Id="rId62" Type="http://schemas.openxmlformats.org/officeDocument/2006/relationships/customXml" Target="../customXml/item26.xml"/><Relationship Id="rId83" Type="http://schemas.openxmlformats.org/officeDocument/2006/relationships/customXml" Target="../customXml/item47.xml"/><Relationship Id="rId179" Type="http://schemas.openxmlformats.org/officeDocument/2006/relationships/customXml" Target="../customXml/item143.xml"/><Relationship Id="rId190" Type="http://schemas.openxmlformats.org/officeDocument/2006/relationships/customXml" Target="../customXml/item154.xml"/><Relationship Id="rId204" Type="http://schemas.openxmlformats.org/officeDocument/2006/relationships/customXml" Target="../customXml/item168.xml"/><Relationship Id="rId225" Type="http://schemas.openxmlformats.org/officeDocument/2006/relationships/customXml" Target="../customXml/item189.xml"/><Relationship Id="rId246" Type="http://schemas.openxmlformats.org/officeDocument/2006/relationships/customXml" Target="../customXml/item210.xml"/><Relationship Id="rId106" Type="http://schemas.openxmlformats.org/officeDocument/2006/relationships/customXml" Target="../customXml/item70.xml"/><Relationship Id="rId127" Type="http://schemas.openxmlformats.org/officeDocument/2006/relationships/customXml" Target="../customXml/item91.xml"/><Relationship Id="rId10" Type="http://schemas.openxmlformats.org/officeDocument/2006/relationships/worksheet" Target="worksheets/sheet10.xml"/><Relationship Id="rId31" Type="http://schemas.openxmlformats.org/officeDocument/2006/relationships/styles" Target="styles.xml"/><Relationship Id="rId52" Type="http://schemas.openxmlformats.org/officeDocument/2006/relationships/customXml" Target="../customXml/item16.xml"/><Relationship Id="rId73" Type="http://schemas.openxmlformats.org/officeDocument/2006/relationships/customXml" Target="../customXml/item37.xml"/><Relationship Id="rId94" Type="http://schemas.openxmlformats.org/officeDocument/2006/relationships/customXml" Target="../customXml/item58.xml"/><Relationship Id="rId148" Type="http://schemas.openxmlformats.org/officeDocument/2006/relationships/customXml" Target="../customXml/item112.xml"/><Relationship Id="rId169" Type="http://schemas.openxmlformats.org/officeDocument/2006/relationships/customXml" Target="../customXml/item133.xml"/><Relationship Id="rId4" Type="http://schemas.openxmlformats.org/officeDocument/2006/relationships/worksheet" Target="worksheets/sheet4.xml"/><Relationship Id="rId180" Type="http://schemas.openxmlformats.org/officeDocument/2006/relationships/customXml" Target="../customXml/item144.xml"/><Relationship Id="rId215" Type="http://schemas.openxmlformats.org/officeDocument/2006/relationships/customXml" Target="../customXml/item179.xml"/><Relationship Id="rId236" Type="http://schemas.openxmlformats.org/officeDocument/2006/relationships/customXml" Target="../customXml/item200.xml"/><Relationship Id="rId257" Type="http://schemas.openxmlformats.org/officeDocument/2006/relationships/customXml" Target="../customXml/item2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Dashboard.xlsx]Data!Revenue &amp; Gross Margin</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F3E46"/>
          </a:solidFill>
          <a:ln>
            <a:noFill/>
          </a:ln>
          <a:effectLst/>
        </c:spPr>
      </c:pivotFmt>
    </c:pivotFmts>
    <c:plotArea>
      <c:layout/>
      <c:barChart>
        <c:barDir val="col"/>
        <c:grouping val="clustered"/>
        <c:varyColors val="0"/>
        <c:ser>
          <c:idx val="0"/>
          <c:order val="0"/>
          <c:tx>
            <c:strRef>
              <c:f>Data!$B$9</c:f>
              <c:strCache>
                <c:ptCount val="1"/>
                <c:pt idx="0">
                  <c:v>Revenue</c:v>
                </c:pt>
              </c:strCache>
            </c:strRef>
          </c:tx>
          <c:spPr>
            <a:solidFill>
              <a:srgbClr val="2F3E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Data!$A$10:$A$22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Data!$B$10:$B$22</c:f>
              <c:numCache>
                <c:formatCode>#,##0</c:formatCode>
                <c:ptCount val="12"/>
                <c:pt idx="0">
                  <c:v>115302.80625879722</c:v>
                </c:pt>
                <c:pt idx="1">
                  <c:v>118761.89044656114</c:v>
                </c:pt>
                <c:pt idx="2">
                  <c:v>115199.03373316431</c:v>
                </c:pt>
                <c:pt idx="3">
                  <c:v>111743.06272116938</c:v>
                </c:pt>
                <c:pt idx="4">
                  <c:v>115095.35460280447</c:v>
                </c:pt>
                <c:pt idx="5">
                  <c:v>118548.2152408886</c:v>
                </c:pt>
                <c:pt idx="6">
                  <c:v>122104.66169811526</c:v>
                </c:pt>
                <c:pt idx="7">
                  <c:v>118441.5218471718</c:v>
                </c:pt>
                <c:pt idx="8">
                  <c:v>121994.76750258695</c:v>
                </c:pt>
                <c:pt idx="9">
                  <c:v>125654.61052766457</c:v>
                </c:pt>
                <c:pt idx="10">
                  <c:v>129424.24884349451</c:v>
                </c:pt>
                <c:pt idx="11">
                  <c:v>125541.52137818967</c:v>
                </c:pt>
              </c:numCache>
            </c:numRef>
          </c:val>
          <c:extLst>
            <c:ext xmlns:c16="http://schemas.microsoft.com/office/drawing/2014/chart" uri="{C3380CC4-5D6E-409C-BE32-E72D297353CC}">
              <c16:uniqueId val="{00000002-806A-484F-9CE0-D683412B327B}"/>
            </c:ext>
          </c:extLst>
        </c:ser>
        <c:ser>
          <c:idx val="1"/>
          <c:order val="1"/>
          <c:tx>
            <c:strRef>
              <c:f>Data!$C$9</c:f>
              <c:strCache>
                <c:ptCount val="1"/>
                <c:pt idx="0">
                  <c:v>Gross Margin</c:v>
                </c:pt>
              </c:strCache>
            </c:strRef>
          </c:tx>
          <c:spPr>
            <a:solidFill>
              <a:schemeClr val="accent2"/>
            </a:solidFill>
            <a:ln w="25400">
              <a:noFill/>
            </a:ln>
            <a:effectLst/>
          </c:spPr>
          <c:invertIfNegative val="0"/>
          <c:cat>
            <c:strRef>
              <c:f>Data!$A$10:$A$22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Data!$C$10:$C$22</c:f>
              <c:numCache>
                <c:formatCode>0.0\ %;\-0.0\ %;0.0\ %</c:formatCode>
                <c:ptCount val="12"/>
                <c:pt idx="0">
                  <c:v>0.79904087756188646</c:v>
                </c:pt>
                <c:pt idx="1">
                  <c:v>0.85829608283308279</c:v>
                </c:pt>
                <c:pt idx="2">
                  <c:v>0.76672751661483607</c:v>
                </c:pt>
                <c:pt idx="3">
                  <c:v>0.85494873018177286</c:v>
                </c:pt>
                <c:pt idx="4">
                  <c:v>0.88392582834946609</c:v>
                </c:pt>
                <c:pt idx="5">
                  <c:v>0.80283340891690558</c:v>
                </c:pt>
                <c:pt idx="6">
                  <c:v>0.83166674738698654</c:v>
                </c:pt>
                <c:pt idx="7">
                  <c:v>0.84920971353163421</c:v>
                </c:pt>
                <c:pt idx="8">
                  <c:v>0.76779678144155106</c:v>
                </c:pt>
                <c:pt idx="9">
                  <c:v>0.78628782484049153</c:v>
                </c:pt>
                <c:pt idx="10">
                  <c:v>0.67467631779081616</c:v>
                </c:pt>
                <c:pt idx="11">
                  <c:v>0.67128242223700796</c:v>
                </c:pt>
              </c:numCache>
            </c:numRef>
          </c:val>
          <c:extLst>
            <c:ext xmlns:c16="http://schemas.microsoft.com/office/drawing/2014/chart" uri="{C3380CC4-5D6E-409C-BE32-E72D297353CC}">
              <c16:uniqueId val="{00000003-806A-484F-9CE0-D683412B327B}"/>
            </c:ext>
          </c:extLst>
        </c:ser>
        <c:dLbls>
          <c:showLegendKey val="0"/>
          <c:showVal val="0"/>
          <c:showCatName val="0"/>
          <c:showSerName val="0"/>
          <c:showPercent val="0"/>
          <c:showBubbleSize val="0"/>
        </c:dLbls>
        <c:gapWidth val="219"/>
        <c:overlap val="-27"/>
        <c:axId val="587778320"/>
        <c:axId val="587778800"/>
      </c:barChart>
      <c:catAx>
        <c:axId val="58777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F3E46"/>
                </a:solidFill>
                <a:latin typeface="+mn-lt"/>
                <a:ea typeface="+mn-ea"/>
                <a:cs typeface="+mn-cs"/>
              </a:defRPr>
            </a:pPr>
            <a:endParaRPr lang="de-DE"/>
          </a:p>
        </c:txPr>
        <c:crossAx val="587778800"/>
        <c:crosses val="autoZero"/>
        <c:auto val="1"/>
        <c:lblAlgn val="ctr"/>
        <c:lblOffset val="100"/>
        <c:noMultiLvlLbl val="0"/>
      </c:catAx>
      <c:valAx>
        <c:axId val="587778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2F3E46"/>
                </a:solidFill>
                <a:latin typeface="+mn-lt"/>
                <a:ea typeface="+mn-ea"/>
                <a:cs typeface="+mn-cs"/>
              </a:defRPr>
            </a:pPr>
            <a:endParaRPr lang="de-DE"/>
          </a:p>
        </c:txPr>
        <c:crossAx val="58777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2F3E46"/>
          </a:solidFill>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Dashboard.xlsx]Data!Expenses_Dept_Period</c:name>
    <c:fmtId val="3"/>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CAD2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279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84A9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3E46"/>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226983016109084E-2"/>
          <c:y val="0.24713977131514642"/>
          <c:w val="0.57227780502893133"/>
          <c:h val="0.57149112199027552"/>
        </c:manualLayout>
      </c:layout>
      <c:barChart>
        <c:barDir val="col"/>
        <c:grouping val="percentStacked"/>
        <c:varyColors val="0"/>
        <c:ser>
          <c:idx val="0"/>
          <c:order val="0"/>
          <c:tx>
            <c:strRef>
              <c:f>Data!$F$9:$F$10</c:f>
              <c:strCache>
                <c:ptCount val="1"/>
                <c:pt idx="0">
                  <c:v>Customer Support</c:v>
                </c:pt>
              </c:strCache>
            </c:strRef>
          </c:tx>
          <c:spPr>
            <a:solidFill>
              <a:srgbClr val="CAD2C5"/>
            </a:solidFill>
            <a:ln>
              <a:noFill/>
            </a:ln>
            <a:effectLst/>
          </c:spPr>
          <c:invertIfNegative val="0"/>
          <c:cat>
            <c:strRef>
              <c:f>Data!$E$11:$E$22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Data!$F$11:$F$22</c:f>
              <c:numCache>
                <c:formatCode>#,##0;\-#,##0;\-</c:formatCode>
                <c:ptCount val="12"/>
                <c:pt idx="0">
                  <c:v>12023.518620775505</c:v>
                </c:pt>
                <c:pt idx="1">
                  <c:v>11894.970766132357</c:v>
                </c:pt>
                <c:pt idx="2">
                  <c:v>12251.819889116328</c:v>
                </c:pt>
                <c:pt idx="3">
                  <c:v>12619.374485789818</c:v>
                </c:pt>
                <c:pt idx="4">
                  <c:v>12632.607716303912</c:v>
                </c:pt>
                <c:pt idx="5">
                  <c:v>12268.277323852715</c:v>
                </c:pt>
                <c:pt idx="6">
                  <c:v>12261.712260179256</c:v>
                </c:pt>
                <c:pt idx="7">
                  <c:v>12284.108795255632</c:v>
                </c:pt>
                <c:pt idx="8">
                  <c:v>12261.005678721382</c:v>
                </c:pt>
                <c:pt idx="9">
                  <c:v>12560.932549544288</c:v>
                </c:pt>
                <c:pt idx="10">
                  <c:v>12937.760526030614</c:v>
                </c:pt>
                <c:pt idx="11">
                  <c:v>13048.062304080984</c:v>
                </c:pt>
              </c:numCache>
            </c:numRef>
          </c:val>
          <c:extLst>
            <c:ext xmlns:c16="http://schemas.microsoft.com/office/drawing/2014/chart" uri="{C3380CC4-5D6E-409C-BE32-E72D297353CC}">
              <c16:uniqueId val="{0000000C-25E7-4BBF-BBDC-CAAB230147A8}"/>
            </c:ext>
          </c:extLst>
        </c:ser>
        <c:ser>
          <c:idx val="1"/>
          <c:order val="1"/>
          <c:tx>
            <c:strRef>
              <c:f>Data!$G$9:$G$10</c:f>
              <c:strCache>
                <c:ptCount val="1"/>
                <c:pt idx="0">
                  <c:v>General &amp; Administrative</c:v>
                </c:pt>
              </c:strCache>
            </c:strRef>
          </c:tx>
          <c:spPr>
            <a:solidFill>
              <a:srgbClr val="52796F"/>
            </a:solidFill>
            <a:ln>
              <a:noFill/>
            </a:ln>
            <a:effectLst/>
          </c:spPr>
          <c:invertIfNegative val="0"/>
          <c:cat>
            <c:strRef>
              <c:f>Data!$E$11:$E$22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Data!$G$11:$G$22</c:f>
              <c:numCache>
                <c:formatCode>#,##0;\-#,##0;\-</c:formatCode>
                <c:ptCount val="12"/>
                <c:pt idx="0">
                  <c:v>31632.257204842495</c:v>
                </c:pt>
                <c:pt idx="1">
                  <c:v>32838.838861917866</c:v>
                </c:pt>
                <c:pt idx="2">
                  <c:v>34094.709676089311</c:v>
                </c:pt>
                <c:pt idx="3">
                  <c:v>33412.815482567523</c:v>
                </c:pt>
                <c:pt idx="4">
                  <c:v>34041.889936105057</c:v>
                </c:pt>
                <c:pt idx="5">
                  <c:v>34756.150578634668</c:v>
                </c:pt>
                <c:pt idx="6">
                  <c:v>33779.331407246937</c:v>
                </c:pt>
                <c:pt idx="7">
                  <c:v>35063.768967627708</c:v>
                </c:pt>
                <c:pt idx="8">
                  <c:v>33960.72740327553</c:v>
                </c:pt>
                <c:pt idx="9">
                  <c:v>34671.088505040869</c:v>
                </c:pt>
                <c:pt idx="10">
                  <c:v>33652.236125090356</c:v>
                </c:pt>
                <c:pt idx="11">
                  <c:v>34473.278900889258</c:v>
                </c:pt>
              </c:numCache>
            </c:numRef>
          </c:val>
          <c:extLst>
            <c:ext xmlns:c16="http://schemas.microsoft.com/office/drawing/2014/chart" uri="{C3380CC4-5D6E-409C-BE32-E72D297353CC}">
              <c16:uniqueId val="{0000000D-25E7-4BBF-BBDC-CAAB230147A8}"/>
            </c:ext>
          </c:extLst>
        </c:ser>
        <c:ser>
          <c:idx val="2"/>
          <c:order val="2"/>
          <c:tx>
            <c:strRef>
              <c:f>Data!$H$9:$H$10</c:f>
              <c:strCache>
                <c:ptCount val="1"/>
                <c:pt idx="0">
                  <c:v>Research &amp; Development</c:v>
                </c:pt>
              </c:strCache>
            </c:strRef>
          </c:tx>
          <c:spPr>
            <a:solidFill>
              <a:srgbClr val="84A98C"/>
            </a:solidFill>
            <a:ln>
              <a:noFill/>
            </a:ln>
            <a:effectLst/>
          </c:spPr>
          <c:invertIfNegative val="0"/>
          <c:cat>
            <c:strRef>
              <c:f>Data!$E$11:$E$22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Data!$H$11:$H$22</c:f>
              <c:numCache>
                <c:formatCode>#,##0;\-#,##0;\-</c:formatCode>
                <c:ptCount val="12"/>
                <c:pt idx="0">
                  <c:v>23128.108775404224</c:v>
                </c:pt>
                <c:pt idx="1">
                  <c:v>21769.636886875916</c:v>
                </c:pt>
                <c:pt idx="2">
                  <c:v>22422.725993482192</c:v>
                </c:pt>
                <c:pt idx="3">
                  <c:v>23095.407773286661</c:v>
                </c:pt>
                <c:pt idx="4">
                  <c:v>23516.567964248505</c:v>
                </c:pt>
                <c:pt idx="5">
                  <c:v>24222.065003175961</c:v>
                </c:pt>
                <c:pt idx="6">
                  <c:v>24616.367415971006</c:v>
                </c:pt>
                <c:pt idx="7">
                  <c:v>25354.858438450141</c:v>
                </c:pt>
                <c:pt idx="8">
                  <c:v>23642.783191670154</c:v>
                </c:pt>
                <c:pt idx="9">
                  <c:v>22367.103675060986</c:v>
                </c:pt>
                <c:pt idx="10">
                  <c:v>22711.256369208888</c:v>
                </c:pt>
                <c:pt idx="11">
                  <c:v>23392.594060285151</c:v>
                </c:pt>
              </c:numCache>
            </c:numRef>
          </c:val>
          <c:extLst>
            <c:ext xmlns:c16="http://schemas.microsoft.com/office/drawing/2014/chart" uri="{C3380CC4-5D6E-409C-BE32-E72D297353CC}">
              <c16:uniqueId val="{0000000E-25E7-4BBF-BBDC-CAAB230147A8}"/>
            </c:ext>
          </c:extLst>
        </c:ser>
        <c:ser>
          <c:idx val="3"/>
          <c:order val="3"/>
          <c:tx>
            <c:strRef>
              <c:f>Data!$I$9:$I$10</c:f>
              <c:strCache>
                <c:ptCount val="1"/>
                <c:pt idx="0">
                  <c:v>Sales &amp; Marketing</c:v>
                </c:pt>
              </c:strCache>
            </c:strRef>
          </c:tx>
          <c:spPr>
            <a:solidFill>
              <a:srgbClr val="2F3E46"/>
            </a:solidFill>
            <a:ln>
              <a:noFill/>
            </a:ln>
            <a:effectLst/>
          </c:spPr>
          <c:invertIfNegative val="0"/>
          <c:cat>
            <c:strRef>
              <c:f>Data!$E$11:$E$22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Data!$I$11:$I$22</c:f>
              <c:numCache>
                <c:formatCode>#,##0;\-#,##0;\-</c:formatCode>
                <c:ptCount val="12"/>
                <c:pt idx="0">
                  <c:v>35273.847168260814</c:v>
                </c:pt>
                <c:pt idx="1">
                  <c:v>36332.062583308631</c:v>
                </c:pt>
                <c:pt idx="2">
                  <c:v>32251.101487757747</c:v>
                </c:pt>
                <c:pt idx="3">
                  <c:v>32042.492079250555</c:v>
                </c:pt>
                <c:pt idx="4">
                  <c:v>33003.766841628072</c:v>
                </c:pt>
                <c:pt idx="5">
                  <c:v>31886.790375003955</c:v>
                </c:pt>
                <c:pt idx="6">
                  <c:v>31209.315594442724</c:v>
                </c:pt>
                <c:pt idx="7">
                  <c:v>31818.882410318252</c:v>
                </c:pt>
                <c:pt idx="8">
                  <c:v>31891.324722341862</c:v>
                </c:pt>
                <c:pt idx="9">
                  <c:v>32318.789967840552</c:v>
                </c:pt>
                <c:pt idx="10">
                  <c:v>31770.59223197246</c:v>
                </c:pt>
                <c:pt idx="11">
                  <c:v>31240.964881794564</c:v>
                </c:pt>
              </c:numCache>
            </c:numRef>
          </c:val>
          <c:extLst>
            <c:ext xmlns:c16="http://schemas.microsoft.com/office/drawing/2014/chart" uri="{C3380CC4-5D6E-409C-BE32-E72D297353CC}">
              <c16:uniqueId val="{0000000F-25E7-4BBF-BBDC-CAAB230147A8}"/>
            </c:ext>
          </c:extLst>
        </c:ser>
        <c:dLbls>
          <c:showLegendKey val="0"/>
          <c:showVal val="0"/>
          <c:showCatName val="0"/>
          <c:showSerName val="0"/>
          <c:showPercent val="0"/>
          <c:showBubbleSize val="0"/>
        </c:dLbls>
        <c:gapWidth val="150"/>
        <c:overlap val="100"/>
        <c:axId val="1461139664"/>
        <c:axId val="1461141104"/>
      </c:barChart>
      <c:catAx>
        <c:axId val="146113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F3E46"/>
                </a:solidFill>
                <a:latin typeface="+mn-lt"/>
                <a:ea typeface="+mn-ea"/>
                <a:cs typeface="+mn-cs"/>
              </a:defRPr>
            </a:pPr>
            <a:endParaRPr lang="de-DE"/>
          </a:p>
        </c:txPr>
        <c:crossAx val="1461141104"/>
        <c:crosses val="autoZero"/>
        <c:auto val="1"/>
        <c:lblAlgn val="ctr"/>
        <c:lblOffset val="100"/>
        <c:noMultiLvlLbl val="0"/>
      </c:catAx>
      <c:valAx>
        <c:axId val="1461141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2F3E46"/>
                </a:solidFill>
                <a:latin typeface="+mn-lt"/>
                <a:ea typeface="+mn-ea"/>
                <a:cs typeface="+mn-cs"/>
              </a:defRPr>
            </a:pPr>
            <a:endParaRPr lang="de-DE"/>
          </a:p>
        </c:txPr>
        <c:crossAx val="1461139664"/>
        <c:crosses val="autoZero"/>
        <c:crossBetween val="between"/>
      </c:valAx>
      <c:spPr>
        <a:noFill/>
        <a:ln>
          <a:noFill/>
        </a:ln>
        <a:effectLst/>
      </c:spPr>
    </c:plotArea>
    <c:legend>
      <c:legendPos val="t"/>
      <c:layout>
        <c:manualLayout>
          <c:xMode val="edge"/>
          <c:yMode val="edge"/>
          <c:x val="0.12552757796593775"/>
          <c:y val="3.1775685345654406E-2"/>
          <c:w val="0.52044643658836598"/>
          <c:h val="0.18358840062383761"/>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2F3E46"/>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2F3E46"/>
          </a:solidFill>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2F3E4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AD2C5"/>
          </a:solidFill>
          <a:ln w="19050">
            <a:solidFill>
              <a:schemeClr val="lt1"/>
            </a:solidFill>
          </a:ln>
          <a:effectLst/>
        </c:spPr>
      </c:pivotFmt>
      <c:pivotFmt>
        <c:idx val="8"/>
        <c:spPr>
          <a:solidFill>
            <a:srgbClr val="52796F"/>
          </a:solidFill>
          <a:ln w="19050">
            <a:solidFill>
              <a:schemeClr val="lt1"/>
            </a:solidFill>
          </a:ln>
          <a:effectLst/>
        </c:spPr>
      </c:pivotFmt>
      <c:pivotFmt>
        <c:idx val="9"/>
        <c:spPr>
          <a:solidFill>
            <a:srgbClr val="84A98C"/>
          </a:solidFill>
          <a:ln w="19050">
            <a:solidFill>
              <a:schemeClr val="lt1"/>
            </a:solidFill>
          </a:ln>
          <a:effectLst/>
        </c:spPr>
      </c:pivotFmt>
      <c:pivotFmt>
        <c:idx val="10"/>
        <c:spPr>
          <a:solidFill>
            <a:srgbClr val="2F3E46"/>
          </a:solidFill>
          <a:ln w="19050">
            <a:solidFill>
              <a:schemeClr val="lt1"/>
            </a:solidFill>
          </a:ln>
          <a:effectLst/>
        </c:spPr>
      </c:pivotFmt>
    </c:pivotFmts>
    <c:plotArea>
      <c:layout>
        <c:manualLayout>
          <c:layoutTarget val="inner"/>
          <c:xMode val="edge"/>
          <c:yMode val="edge"/>
          <c:x val="7.7611111111111117E-2"/>
          <c:y val="9.1722222222222219E-2"/>
          <c:w val="0.84477777777777774"/>
          <c:h val="0.84477777777777774"/>
        </c:manualLayout>
      </c:layout>
      <c:pieChart>
        <c:varyColors val="1"/>
        <c:ser>
          <c:idx val="0"/>
          <c:order val="0"/>
          <c:tx>
            <c:strRef>
              <c:f>Data!$F$27</c:f>
              <c:strCache>
                <c:ptCount val="1"/>
                <c:pt idx="0">
                  <c:v>Ergebnis</c:v>
                </c:pt>
              </c:strCache>
            </c:strRef>
          </c:tx>
          <c:spPr>
            <a:solidFill>
              <a:srgbClr val="2F3E46"/>
            </a:solidFill>
          </c:spPr>
          <c:dPt>
            <c:idx val="0"/>
            <c:bubble3D val="0"/>
            <c:spPr>
              <a:solidFill>
                <a:srgbClr val="CAD2C5"/>
              </a:solidFill>
              <a:ln w="19050">
                <a:solidFill>
                  <a:schemeClr val="lt1"/>
                </a:solidFill>
              </a:ln>
              <a:effectLst/>
            </c:spPr>
            <c:extLst>
              <c:ext xmlns:c16="http://schemas.microsoft.com/office/drawing/2014/chart" uri="{C3380CC4-5D6E-409C-BE32-E72D297353CC}">
                <c16:uniqueId val="{00000001-71E3-4C5D-B42F-5D47F0E783F3}"/>
              </c:ext>
            </c:extLst>
          </c:dPt>
          <c:dPt>
            <c:idx val="1"/>
            <c:bubble3D val="0"/>
            <c:spPr>
              <a:solidFill>
                <a:srgbClr val="52796F"/>
              </a:solidFill>
              <a:ln w="19050">
                <a:solidFill>
                  <a:schemeClr val="lt1"/>
                </a:solidFill>
              </a:ln>
              <a:effectLst/>
            </c:spPr>
            <c:extLst>
              <c:ext xmlns:c16="http://schemas.microsoft.com/office/drawing/2014/chart" uri="{C3380CC4-5D6E-409C-BE32-E72D297353CC}">
                <c16:uniqueId val="{00000003-71E3-4C5D-B42F-5D47F0E783F3}"/>
              </c:ext>
            </c:extLst>
          </c:dPt>
          <c:dPt>
            <c:idx val="2"/>
            <c:bubble3D val="0"/>
            <c:spPr>
              <a:solidFill>
                <a:srgbClr val="84A98C"/>
              </a:solidFill>
              <a:ln w="19050">
                <a:solidFill>
                  <a:schemeClr val="lt1"/>
                </a:solidFill>
              </a:ln>
              <a:effectLst/>
            </c:spPr>
            <c:extLst>
              <c:ext xmlns:c16="http://schemas.microsoft.com/office/drawing/2014/chart" uri="{C3380CC4-5D6E-409C-BE32-E72D297353CC}">
                <c16:uniqueId val="{00000005-71E3-4C5D-B42F-5D47F0E783F3}"/>
              </c:ext>
            </c:extLst>
          </c:dPt>
          <c:dPt>
            <c:idx val="3"/>
            <c:bubble3D val="0"/>
            <c:spPr>
              <a:solidFill>
                <a:srgbClr val="2F3E46"/>
              </a:solidFill>
              <a:ln w="19050">
                <a:solidFill>
                  <a:schemeClr val="lt1"/>
                </a:solidFill>
              </a:ln>
              <a:effectLst/>
            </c:spPr>
            <c:extLst>
              <c:ext xmlns:c16="http://schemas.microsoft.com/office/drawing/2014/chart" uri="{C3380CC4-5D6E-409C-BE32-E72D297353CC}">
                <c16:uniqueId val="{00000007-71E3-4C5D-B42F-5D47F0E783F3}"/>
              </c:ext>
            </c:extLst>
          </c:dPt>
          <c:cat>
            <c:strRef>
              <c:f>Data!$E$28:$E$32</c:f>
              <c:strCache>
                <c:ptCount val="4"/>
                <c:pt idx="0">
                  <c:v>Customer Support</c:v>
                </c:pt>
                <c:pt idx="1">
                  <c:v>General &amp; Administrative</c:v>
                </c:pt>
                <c:pt idx="2">
                  <c:v>Research &amp; Development</c:v>
                </c:pt>
                <c:pt idx="3">
                  <c:v>Sales &amp; Marketing</c:v>
                </c:pt>
              </c:strCache>
            </c:strRef>
          </c:cat>
          <c:val>
            <c:numRef>
              <c:f>Data!$F$28:$F$32</c:f>
              <c:numCache>
                <c:formatCode>#,##0;\-#,##0;\-</c:formatCode>
                <c:ptCount val="4"/>
                <c:pt idx="0">
                  <c:v>149044.15091578284</c:v>
                </c:pt>
                <c:pt idx="1">
                  <c:v>406377.09304932784</c:v>
                </c:pt>
                <c:pt idx="2">
                  <c:v>280239.47554711963</c:v>
                </c:pt>
                <c:pt idx="3">
                  <c:v>391039.93034392048</c:v>
                </c:pt>
              </c:numCache>
            </c:numRef>
          </c:val>
          <c:extLst>
            <c:ext xmlns:c16="http://schemas.microsoft.com/office/drawing/2014/chart" uri="{C3380CC4-5D6E-409C-BE32-E72D297353CC}">
              <c16:uniqueId val="{00000009-F773-4666-823B-B76841A8955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Dashboard.xlsx]Data!Expenses_Group_Period</c:name>
    <c:fmtId val="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de-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CAD2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2796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84A9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2F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33781011499171E-2"/>
          <c:y val="0.23733083746609132"/>
          <c:w val="0.55039868704600992"/>
          <c:h val="0.5382601899306475"/>
        </c:manualLayout>
      </c:layout>
      <c:barChart>
        <c:barDir val="col"/>
        <c:grouping val="percentStacked"/>
        <c:varyColors val="0"/>
        <c:ser>
          <c:idx val="0"/>
          <c:order val="0"/>
          <c:tx>
            <c:strRef>
              <c:f>Data!$S$9:$S$10</c:f>
              <c:strCache>
                <c:ptCount val="1"/>
                <c:pt idx="0">
                  <c:v>Advertising</c:v>
                </c:pt>
              </c:strCache>
            </c:strRef>
          </c:tx>
          <c:spPr>
            <a:solidFill>
              <a:srgbClr val="CAD2C5"/>
            </a:solidFill>
            <a:ln>
              <a:noFill/>
            </a:ln>
            <a:effectLst/>
          </c:spPr>
          <c:invertIfNegative val="0"/>
          <c:cat>
            <c:strRef>
              <c:f>Data!$R$11:$R$22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Data!$S$11:$S$22</c:f>
              <c:numCache>
                <c:formatCode>#,##0;\-#,##0;\-</c:formatCode>
                <c:ptCount val="12"/>
                <c:pt idx="0">
                  <c:v>16401.450126074356</c:v>
                </c:pt>
                <c:pt idx="1">
                  <c:v>16822.569064192194</c:v>
                </c:pt>
                <c:pt idx="2">
                  <c:v>16696.001856192448</c:v>
                </c:pt>
                <c:pt idx="3">
                  <c:v>16544.446047727837</c:v>
                </c:pt>
                <c:pt idx="4">
                  <c:v>16972.670686046178</c:v>
                </c:pt>
                <c:pt idx="5">
                  <c:v>15498.436000701864</c:v>
                </c:pt>
                <c:pt idx="6">
                  <c:v>14253.124387410255</c:v>
                </c:pt>
                <c:pt idx="7">
                  <c:v>14695.650614526821</c:v>
                </c:pt>
                <c:pt idx="8">
                  <c:v>14396.980448587292</c:v>
                </c:pt>
                <c:pt idx="9">
                  <c:v>14246.931265742358</c:v>
                </c:pt>
                <c:pt idx="10">
                  <c:v>13077.437931891032</c:v>
                </c:pt>
                <c:pt idx="11">
                  <c:v>12195.175258216324</c:v>
                </c:pt>
              </c:numCache>
            </c:numRef>
          </c:val>
          <c:extLst>
            <c:ext xmlns:c16="http://schemas.microsoft.com/office/drawing/2014/chart" uri="{C3380CC4-5D6E-409C-BE32-E72D297353CC}">
              <c16:uniqueId val="{00000004-3A5E-4C85-BB56-8D8A89EB0E48}"/>
            </c:ext>
          </c:extLst>
        </c:ser>
        <c:ser>
          <c:idx val="1"/>
          <c:order val="1"/>
          <c:tx>
            <c:strRef>
              <c:f>Data!$T$9:$T$10</c:f>
              <c:strCache>
                <c:ptCount val="1"/>
                <c:pt idx="0">
                  <c:v>Other G&amp;A</c:v>
                </c:pt>
              </c:strCache>
            </c:strRef>
          </c:tx>
          <c:spPr>
            <a:solidFill>
              <a:srgbClr val="52796F"/>
            </a:solidFill>
            <a:ln>
              <a:noFill/>
            </a:ln>
            <a:effectLst/>
          </c:spPr>
          <c:invertIfNegative val="0"/>
          <c:cat>
            <c:strRef>
              <c:f>Data!$R$11:$R$22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Data!$T$11:$T$22</c:f>
              <c:numCache>
                <c:formatCode>#,##0;\-#,##0;\-</c:formatCode>
                <c:ptCount val="12"/>
                <c:pt idx="0">
                  <c:v>31067.125406550505</c:v>
                </c:pt>
                <c:pt idx="1">
                  <c:v>32172.833540030737</c:v>
                </c:pt>
                <c:pt idx="2">
                  <c:v>32951.276205901428</c:v>
                </c:pt>
                <c:pt idx="3">
                  <c:v>32735.772467637176</c:v>
                </c:pt>
                <c:pt idx="4">
                  <c:v>33633.811682883032</c:v>
                </c:pt>
                <c:pt idx="5">
                  <c:v>34839.877520995695</c:v>
                </c:pt>
                <c:pt idx="6">
                  <c:v>34959.127561984642</c:v>
                </c:pt>
                <c:pt idx="7">
                  <c:v>35538.499884924749</c:v>
                </c:pt>
                <c:pt idx="8">
                  <c:v>34379.033843088793</c:v>
                </c:pt>
                <c:pt idx="9">
                  <c:v>35031.468007029092</c:v>
                </c:pt>
                <c:pt idx="10">
                  <c:v>34842.949748030172</c:v>
                </c:pt>
                <c:pt idx="11">
                  <c:v>35626.992907407563</c:v>
                </c:pt>
              </c:numCache>
            </c:numRef>
          </c:val>
          <c:extLst>
            <c:ext xmlns:c16="http://schemas.microsoft.com/office/drawing/2014/chart" uri="{C3380CC4-5D6E-409C-BE32-E72D297353CC}">
              <c16:uniqueId val="{00000005-3A5E-4C85-BB56-8D8A89EB0E48}"/>
            </c:ext>
          </c:extLst>
        </c:ser>
        <c:ser>
          <c:idx val="2"/>
          <c:order val="2"/>
          <c:tx>
            <c:strRef>
              <c:f>Data!$U$9:$U$10</c:f>
              <c:strCache>
                <c:ptCount val="1"/>
                <c:pt idx="0">
                  <c:v>Payroll</c:v>
                </c:pt>
              </c:strCache>
            </c:strRef>
          </c:tx>
          <c:spPr>
            <a:solidFill>
              <a:srgbClr val="84A98C"/>
            </a:solidFill>
            <a:ln>
              <a:noFill/>
            </a:ln>
            <a:effectLst/>
          </c:spPr>
          <c:invertIfNegative val="0"/>
          <c:cat>
            <c:strRef>
              <c:f>Data!$R$11:$R$22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Data!$U$11:$U$22</c:f>
              <c:numCache>
                <c:formatCode>#,##0;\-#,##0;\-</c:formatCode>
                <c:ptCount val="12"/>
                <c:pt idx="0">
                  <c:v>39060.712424119287</c:v>
                </c:pt>
                <c:pt idx="1">
                  <c:v>37857.273268431556</c:v>
                </c:pt>
                <c:pt idx="2">
                  <c:v>34922.453941365464</c:v>
                </c:pt>
                <c:pt idx="3">
                  <c:v>35415.541118793895</c:v>
                </c:pt>
                <c:pt idx="4">
                  <c:v>35914.630074865592</c:v>
                </c:pt>
                <c:pt idx="5">
                  <c:v>36078.104053261457</c:v>
                </c:pt>
                <c:pt idx="6">
                  <c:v>36255.721268516114</c:v>
                </c:pt>
                <c:pt idx="7">
                  <c:v>37408.669551696039</c:v>
                </c:pt>
                <c:pt idx="8">
                  <c:v>36085.907223091592</c:v>
                </c:pt>
                <c:pt idx="9">
                  <c:v>35250.691095258109</c:v>
                </c:pt>
                <c:pt idx="10">
                  <c:v>36063.094012950249</c:v>
                </c:pt>
                <c:pt idx="11">
                  <c:v>37214.104421538948</c:v>
                </c:pt>
              </c:numCache>
            </c:numRef>
          </c:val>
          <c:extLst>
            <c:ext xmlns:c16="http://schemas.microsoft.com/office/drawing/2014/chart" uri="{C3380CC4-5D6E-409C-BE32-E72D297353CC}">
              <c16:uniqueId val="{00000006-3A5E-4C85-BB56-8D8A89EB0E48}"/>
            </c:ext>
          </c:extLst>
        </c:ser>
        <c:ser>
          <c:idx val="3"/>
          <c:order val="3"/>
          <c:tx>
            <c:strRef>
              <c:f>Data!$V$9:$V$10</c:f>
              <c:strCache>
                <c:ptCount val="1"/>
                <c:pt idx="0">
                  <c:v>Professional Services</c:v>
                </c:pt>
              </c:strCache>
            </c:strRef>
          </c:tx>
          <c:spPr>
            <a:solidFill>
              <a:srgbClr val="2F3E46"/>
            </a:solidFill>
            <a:ln>
              <a:noFill/>
            </a:ln>
            <a:effectLst/>
          </c:spPr>
          <c:invertIfNegative val="0"/>
          <c:cat>
            <c:strRef>
              <c:f>Data!$R$11:$R$22</c:f>
              <c:strCache>
                <c:ptCount val="12"/>
                <c:pt idx="0">
                  <c:v>Jun-24</c:v>
                </c:pt>
                <c:pt idx="1">
                  <c:v>Jul-24</c:v>
                </c:pt>
                <c:pt idx="2">
                  <c:v>Aug-24</c:v>
                </c:pt>
                <c:pt idx="3">
                  <c:v>Sep-24</c:v>
                </c:pt>
                <c:pt idx="4">
                  <c:v>Okt-24</c:v>
                </c:pt>
                <c:pt idx="5">
                  <c:v>Nov-24</c:v>
                </c:pt>
                <c:pt idx="6">
                  <c:v>Dez-24</c:v>
                </c:pt>
                <c:pt idx="7">
                  <c:v>Jan-25</c:v>
                </c:pt>
                <c:pt idx="8">
                  <c:v>Feb-25</c:v>
                </c:pt>
                <c:pt idx="9">
                  <c:v>Mrz-25</c:v>
                </c:pt>
                <c:pt idx="10">
                  <c:v>Apr-25</c:v>
                </c:pt>
                <c:pt idx="11">
                  <c:v>Mai-25</c:v>
                </c:pt>
              </c:strCache>
            </c:strRef>
          </c:cat>
          <c:val>
            <c:numRef>
              <c:f>Data!$V$11:$V$22</c:f>
              <c:numCache>
                <c:formatCode>#,##0;\-#,##0;\-</c:formatCode>
                <c:ptCount val="12"/>
                <c:pt idx="0">
                  <c:v>15528.443812538881</c:v>
                </c:pt>
                <c:pt idx="1">
                  <c:v>15982.833225580287</c:v>
                </c:pt>
                <c:pt idx="2">
                  <c:v>16450.625042986241</c:v>
                </c:pt>
                <c:pt idx="3">
                  <c:v>16474.330186735646</c:v>
                </c:pt>
                <c:pt idx="4">
                  <c:v>16673.720014490755</c:v>
                </c:pt>
                <c:pt idx="5">
                  <c:v>16716.865705708278</c:v>
                </c:pt>
                <c:pt idx="6">
                  <c:v>16398.753459928896</c:v>
                </c:pt>
                <c:pt idx="7">
                  <c:v>16878.79856050411</c:v>
                </c:pt>
                <c:pt idx="8">
                  <c:v>16893.919481241257</c:v>
                </c:pt>
                <c:pt idx="9">
                  <c:v>17388.824329457133</c:v>
                </c:pt>
                <c:pt idx="10">
                  <c:v>17088.36355943088</c:v>
                </c:pt>
                <c:pt idx="11">
                  <c:v>17118.627559887129</c:v>
                </c:pt>
              </c:numCache>
            </c:numRef>
          </c:val>
          <c:extLst>
            <c:ext xmlns:c16="http://schemas.microsoft.com/office/drawing/2014/chart" uri="{C3380CC4-5D6E-409C-BE32-E72D297353CC}">
              <c16:uniqueId val="{00000007-3A5E-4C85-BB56-8D8A89EB0E48}"/>
            </c:ext>
          </c:extLst>
        </c:ser>
        <c:dLbls>
          <c:showLegendKey val="0"/>
          <c:showVal val="0"/>
          <c:showCatName val="0"/>
          <c:showSerName val="0"/>
          <c:showPercent val="0"/>
          <c:showBubbleSize val="0"/>
        </c:dLbls>
        <c:gapWidth val="182"/>
        <c:overlap val="100"/>
        <c:axId val="1542630256"/>
        <c:axId val="1542636496"/>
      </c:barChart>
      <c:catAx>
        <c:axId val="154263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2F3E46"/>
                </a:solidFill>
                <a:latin typeface="+mn-lt"/>
                <a:ea typeface="+mn-ea"/>
                <a:cs typeface="+mn-cs"/>
              </a:defRPr>
            </a:pPr>
            <a:endParaRPr lang="de-DE"/>
          </a:p>
        </c:txPr>
        <c:crossAx val="1542636496"/>
        <c:crosses val="autoZero"/>
        <c:auto val="1"/>
        <c:lblAlgn val="ctr"/>
        <c:lblOffset val="100"/>
        <c:noMultiLvlLbl val="0"/>
      </c:catAx>
      <c:valAx>
        <c:axId val="15426364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de-DE"/>
          </a:p>
        </c:txPr>
        <c:crossAx val="1542630256"/>
        <c:crosses val="autoZero"/>
        <c:crossBetween val="between"/>
      </c:valAx>
      <c:spPr>
        <a:noFill/>
        <a:ln>
          <a:noFill/>
        </a:ln>
        <a:effectLst/>
      </c:spPr>
    </c:plotArea>
    <c:legend>
      <c:legendPos val="t"/>
      <c:layout>
        <c:manualLayout>
          <c:xMode val="edge"/>
          <c:yMode val="edge"/>
          <c:x val="0.12944043437857081"/>
          <c:y val="3.2227476926902837E-2"/>
          <c:w val="0.69285288847902349"/>
          <c:h val="9.7127778985485788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[The Ultimate Dashboard.xlsx]Data!PivotTable2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AD2C5"/>
          </a:solidFill>
          <a:ln w="19050">
            <a:solidFill>
              <a:schemeClr val="lt1"/>
            </a:solidFill>
          </a:ln>
          <a:effectLst/>
        </c:spPr>
      </c:pivotFmt>
      <c:pivotFmt>
        <c:idx val="8"/>
        <c:spPr>
          <a:solidFill>
            <a:srgbClr val="52796F"/>
          </a:solidFill>
          <a:ln w="19050">
            <a:solidFill>
              <a:schemeClr val="lt1"/>
            </a:solidFill>
          </a:ln>
          <a:effectLst/>
        </c:spPr>
      </c:pivotFmt>
      <c:pivotFmt>
        <c:idx val="9"/>
        <c:spPr>
          <a:solidFill>
            <a:srgbClr val="84A98C"/>
          </a:solidFill>
          <a:ln w="19050">
            <a:solidFill>
              <a:schemeClr val="lt1"/>
            </a:solidFill>
          </a:ln>
          <a:effectLst/>
        </c:spPr>
      </c:pivotFmt>
      <c:pivotFmt>
        <c:idx val="10"/>
        <c:spPr>
          <a:solidFill>
            <a:srgbClr val="2F3E46"/>
          </a:solidFill>
          <a:ln w="19050">
            <a:solidFill>
              <a:schemeClr val="lt1"/>
            </a:solidFill>
          </a:ln>
          <a:effectLst/>
        </c:spPr>
      </c:pivotFmt>
    </c:pivotFmts>
    <c:plotArea>
      <c:layout/>
      <c:pieChart>
        <c:varyColors val="1"/>
        <c:ser>
          <c:idx val="0"/>
          <c:order val="0"/>
          <c:tx>
            <c:strRef>
              <c:f>Data!$S$27</c:f>
              <c:strCache>
                <c:ptCount val="1"/>
                <c:pt idx="0">
                  <c:v>Ergebnis</c:v>
                </c:pt>
              </c:strCache>
            </c:strRef>
          </c:tx>
          <c:dPt>
            <c:idx val="0"/>
            <c:bubble3D val="0"/>
            <c:spPr>
              <a:solidFill>
                <a:srgbClr val="CAD2C5"/>
              </a:solidFill>
              <a:ln w="19050">
                <a:solidFill>
                  <a:schemeClr val="lt1"/>
                </a:solidFill>
              </a:ln>
              <a:effectLst/>
            </c:spPr>
            <c:extLst>
              <c:ext xmlns:c16="http://schemas.microsoft.com/office/drawing/2014/chart" uri="{C3380CC4-5D6E-409C-BE32-E72D297353CC}">
                <c16:uniqueId val="{00000001-111E-482B-8FB5-19BC92F74F07}"/>
              </c:ext>
            </c:extLst>
          </c:dPt>
          <c:dPt>
            <c:idx val="1"/>
            <c:bubble3D val="0"/>
            <c:spPr>
              <a:solidFill>
                <a:srgbClr val="52796F"/>
              </a:solidFill>
              <a:ln w="19050">
                <a:solidFill>
                  <a:schemeClr val="lt1"/>
                </a:solidFill>
              </a:ln>
              <a:effectLst/>
            </c:spPr>
            <c:extLst>
              <c:ext xmlns:c16="http://schemas.microsoft.com/office/drawing/2014/chart" uri="{C3380CC4-5D6E-409C-BE32-E72D297353CC}">
                <c16:uniqueId val="{00000003-111E-482B-8FB5-19BC92F74F07}"/>
              </c:ext>
            </c:extLst>
          </c:dPt>
          <c:dPt>
            <c:idx val="2"/>
            <c:bubble3D val="0"/>
            <c:spPr>
              <a:solidFill>
                <a:srgbClr val="84A98C"/>
              </a:solidFill>
              <a:ln w="19050">
                <a:solidFill>
                  <a:schemeClr val="lt1"/>
                </a:solidFill>
              </a:ln>
              <a:effectLst/>
            </c:spPr>
            <c:extLst>
              <c:ext xmlns:c16="http://schemas.microsoft.com/office/drawing/2014/chart" uri="{C3380CC4-5D6E-409C-BE32-E72D297353CC}">
                <c16:uniqueId val="{00000005-111E-482B-8FB5-19BC92F74F07}"/>
              </c:ext>
            </c:extLst>
          </c:dPt>
          <c:dPt>
            <c:idx val="3"/>
            <c:bubble3D val="0"/>
            <c:spPr>
              <a:solidFill>
                <a:srgbClr val="2F3E46"/>
              </a:solidFill>
              <a:ln w="19050">
                <a:solidFill>
                  <a:schemeClr val="lt1"/>
                </a:solidFill>
              </a:ln>
              <a:effectLst/>
            </c:spPr>
            <c:extLst>
              <c:ext xmlns:c16="http://schemas.microsoft.com/office/drawing/2014/chart" uri="{C3380CC4-5D6E-409C-BE32-E72D297353CC}">
                <c16:uniqueId val="{00000007-111E-482B-8FB5-19BC92F74F07}"/>
              </c:ext>
            </c:extLst>
          </c:dPt>
          <c:cat>
            <c:strRef>
              <c:f>Data!$R$28:$R$32</c:f>
              <c:strCache>
                <c:ptCount val="4"/>
                <c:pt idx="0">
                  <c:v>Advertising</c:v>
                </c:pt>
                <c:pt idx="1">
                  <c:v>Other G&amp;A</c:v>
                </c:pt>
                <c:pt idx="2">
                  <c:v>Payroll</c:v>
                </c:pt>
                <c:pt idx="3">
                  <c:v>Professional Services</c:v>
                </c:pt>
              </c:strCache>
            </c:strRef>
          </c:cat>
          <c:val>
            <c:numRef>
              <c:f>Data!$S$28:$S$32</c:f>
              <c:numCache>
                <c:formatCode>#,##0;\-#,##0;\-</c:formatCode>
                <c:ptCount val="4"/>
                <c:pt idx="0">
                  <c:v>181800.87368730892</c:v>
                </c:pt>
                <c:pt idx="1">
                  <c:v>407778.76877646364</c:v>
                </c:pt>
                <c:pt idx="2">
                  <c:v>437526.90245388838</c:v>
                </c:pt>
                <c:pt idx="3">
                  <c:v>199594.10493848956</c:v>
                </c:pt>
              </c:numCache>
            </c:numRef>
          </c:val>
          <c:extLst>
            <c:ext xmlns:c16="http://schemas.microsoft.com/office/drawing/2014/chart" uri="{C3380CC4-5D6E-409C-BE32-E72D297353CC}">
              <c16:uniqueId val="{00000009-5C2B-4FC9-991D-62E70EB880E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262616627137367E-2"/>
          <c:y val="8.234108904690253E-2"/>
          <c:w val="0.8470347796047103"/>
          <c:h val="0.83172676578626659"/>
        </c:manualLayout>
      </c:layout>
      <c:doughnutChart>
        <c:varyColors val="1"/>
        <c:ser>
          <c:idx val="0"/>
          <c:order val="0"/>
          <c:tx>
            <c:strRef>
              <c:f>Data!$K$36</c:f>
              <c:strCache>
                <c:ptCount val="1"/>
                <c:pt idx="0">
                  <c:v>Revenue</c:v>
                </c:pt>
              </c:strCache>
            </c:strRef>
          </c:tx>
          <c:dPt>
            <c:idx val="0"/>
            <c:bubble3D val="0"/>
            <c:spPr>
              <a:solidFill>
                <a:srgbClr val="2F3E46"/>
              </a:solidFill>
              <a:ln w="19050">
                <a:solidFill>
                  <a:schemeClr val="lt1"/>
                </a:solidFill>
              </a:ln>
              <a:effectLst/>
            </c:spPr>
            <c:extLst>
              <c:ext xmlns:c16="http://schemas.microsoft.com/office/drawing/2014/chart" uri="{C3380CC4-5D6E-409C-BE32-E72D297353CC}">
                <c16:uniqueId val="{00000001-CA80-4CD0-BE1A-4448BF6F059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A80-4CD0-BE1A-4448BF6F0598}"/>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CA80-4CD0-BE1A-4448BF6F0598}"/>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CA80-4CD0-BE1A-4448BF6F0598}"/>
              </c:ext>
            </c:extLst>
          </c:dPt>
          <c:cat>
            <c:strRef>
              <c:f>Data!$L$35:$O$35</c:f>
              <c:strCache>
                <c:ptCount val="4"/>
                <c:pt idx="0">
                  <c:v>A+</c:v>
                </c:pt>
                <c:pt idx="1">
                  <c:v>A-</c:v>
                </c:pt>
                <c:pt idx="2">
                  <c:v>B+</c:v>
                </c:pt>
                <c:pt idx="3">
                  <c:v>B-</c:v>
                </c:pt>
              </c:strCache>
            </c:strRef>
          </c:cat>
          <c:val>
            <c:numRef>
              <c:f>Data!$L$36:$O$36</c:f>
              <c:numCache>
                <c:formatCode>0%</c:formatCode>
                <c:ptCount val="4"/>
                <c:pt idx="0">
                  <c:v>0</c:v>
                </c:pt>
                <c:pt idx="1">
                  <c:v>0.112093524502012</c:v>
                </c:pt>
                <c:pt idx="2">
                  <c:v>0</c:v>
                </c:pt>
                <c:pt idx="3">
                  <c:v>0.88790647549798796</c:v>
                </c:pt>
              </c:numCache>
            </c:numRef>
          </c:val>
          <c:extLst>
            <c:ext xmlns:c16="http://schemas.microsoft.com/office/drawing/2014/chart" uri="{C3380CC4-5D6E-409C-BE32-E72D297353CC}">
              <c16:uniqueId val="{00000008-CA80-4CD0-BE1A-4448BF6F0598}"/>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Data!$K$37</c:f>
              <c:strCache>
                <c:ptCount val="1"/>
                <c:pt idx="0">
                  <c:v>Gross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72-423B-8248-34B5DF94EF6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D72-423B-8248-34B5DF94EF66}"/>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4D72-423B-8248-34B5DF94EF66}"/>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4D72-423B-8248-34B5DF94EF66}"/>
              </c:ext>
            </c:extLst>
          </c:dPt>
          <c:cat>
            <c:strRef>
              <c:f>Data!$L$35:$O$35</c:f>
              <c:strCache>
                <c:ptCount val="4"/>
                <c:pt idx="0">
                  <c:v>A+</c:v>
                </c:pt>
                <c:pt idx="1">
                  <c:v>A-</c:v>
                </c:pt>
                <c:pt idx="2">
                  <c:v>B+</c:v>
                </c:pt>
                <c:pt idx="3">
                  <c:v>B-</c:v>
                </c:pt>
              </c:strCache>
            </c:strRef>
          </c:cat>
          <c:val>
            <c:numRef>
              <c:f>Data!$L$37:$O$37</c:f>
              <c:numCache>
                <c:formatCode>0%</c:formatCode>
                <c:ptCount val="4"/>
                <c:pt idx="0">
                  <c:v>0</c:v>
                </c:pt>
                <c:pt idx="1">
                  <c:v>0.35389551111190137</c:v>
                </c:pt>
                <c:pt idx="2">
                  <c:v>0</c:v>
                </c:pt>
                <c:pt idx="3">
                  <c:v>0.64610448888809868</c:v>
                </c:pt>
              </c:numCache>
            </c:numRef>
          </c:val>
          <c:extLst>
            <c:ext xmlns:c16="http://schemas.microsoft.com/office/drawing/2014/chart" uri="{C3380CC4-5D6E-409C-BE32-E72D297353CC}">
              <c16:uniqueId val="{00000008-4D72-423B-8248-34B5DF94EF66}"/>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Data!$K$38</c:f>
              <c:strCache>
                <c:ptCount val="1"/>
                <c:pt idx="0">
                  <c:v>EBITDDA</c:v>
                </c:pt>
              </c:strCache>
            </c:strRef>
          </c:tx>
          <c:spPr>
            <a:solidFill>
              <a:srgbClr val="2F3E46"/>
            </a:solidFill>
          </c:spPr>
          <c:dPt>
            <c:idx val="0"/>
            <c:bubble3D val="0"/>
            <c:spPr>
              <a:solidFill>
                <a:srgbClr val="2F3E46"/>
              </a:solidFill>
              <a:ln w="19050">
                <a:solidFill>
                  <a:schemeClr val="lt1"/>
                </a:solidFill>
              </a:ln>
              <a:effectLst/>
            </c:spPr>
            <c:extLst>
              <c:ext xmlns:c16="http://schemas.microsoft.com/office/drawing/2014/chart" uri="{C3380CC4-5D6E-409C-BE32-E72D297353CC}">
                <c16:uniqueId val="{0000000B-59EB-4ADB-8DA7-534A8EB88DB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D-59EB-4ADB-8DA7-534A8EB88DBB}"/>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F-59EB-4ADB-8DA7-534A8EB88DBB}"/>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11-59EB-4ADB-8DA7-534A8EB88DBB}"/>
              </c:ext>
            </c:extLst>
          </c:dPt>
          <c:cat>
            <c:strRef>
              <c:f>Data!$L$35:$O$35</c:f>
              <c:strCache>
                <c:ptCount val="4"/>
                <c:pt idx="0">
                  <c:v>A+</c:v>
                </c:pt>
                <c:pt idx="1">
                  <c:v>A-</c:v>
                </c:pt>
                <c:pt idx="2">
                  <c:v>B+</c:v>
                </c:pt>
                <c:pt idx="3">
                  <c:v>B-</c:v>
                </c:pt>
              </c:strCache>
            </c:strRef>
          </c:cat>
          <c:val>
            <c:numRef>
              <c:f>Data!$L$38:$O$38</c:f>
              <c:numCache>
                <c:formatCode>0%</c:formatCode>
                <c:ptCount val="4"/>
                <c:pt idx="0">
                  <c:v>0.96985802880290994</c:v>
                </c:pt>
                <c:pt idx="1">
                  <c:v>0</c:v>
                </c:pt>
                <c:pt idx="2">
                  <c:v>3.0141971197090056E-2</c:v>
                </c:pt>
                <c:pt idx="3">
                  <c:v>0</c:v>
                </c:pt>
              </c:numCache>
            </c:numRef>
          </c:val>
          <c:extLst>
            <c:ext xmlns:c16="http://schemas.microsoft.com/office/drawing/2014/chart" uri="{C3380CC4-5D6E-409C-BE32-E72D297353CC}">
              <c16:uniqueId val="{00000012-59EB-4ADB-8DA7-534A8EB88DBB}"/>
            </c:ext>
          </c:extLst>
        </c:ser>
        <c:dLbls>
          <c:showLegendKey val="0"/>
          <c:showVal val="0"/>
          <c:showCatName val="0"/>
          <c:showSerName val="0"/>
          <c:showPercent val="0"/>
          <c:showBubbleSize val="0"/>
          <c:showLeaderLines val="1"/>
        </c:dLbls>
        <c:firstSliceAng val="0"/>
        <c:holeSize val="84"/>
      </c:doughnutChart>
    </c:plotArea>
    <c:plotVisOnly val="1"/>
    <c:dispBlanksAs val="gap"/>
    <c:showDLblsOverMax val="0"/>
    <c:extLst/>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Data!$K$42</c:f>
              <c:strCache>
                <c:ptCount val="1"/>
                <c:pt idx="0">
                  <c:v>Revenue</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B-8C94-4850-8CB6-381C23102FC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D-8C94-4850-8CB6-381C23102FC6}"/>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F-8C94-4850-8CB6-381C23102FC6}"/>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11-8C94-4850-8CB6-381C23102FC6}"/>
              </c:ext>
            </c:extLst>
          </c:dPt>
          <c:cat>
            <c:strRef>
              <c:f>Data!$L$35:$O$35</c:f>
              <c:strCache>
                <c:ptCount val="4"/>
                <c:pt idx="0">
                  <c:v>A+</c:v>
                </c:pt>
                <c:pt idx="1">
                  <c:v>A-</c:v>
                </c:pt>
                <c:pt idx="2">
                  <c:v>B+</c:v>
                </c:pt>
                <c:pt idx="3">
                  <c:v>B-</c:v>
                </c:pt>
              </c:strCache>
            </c:strRef>
          </c:cat>
          <c:val>
            <c:numRef>
              <c:f>Data!$L$42:$O$42</c:f>
              <c:numCache>
                <c:formatCode>0%</c:formatCode>
                <c:ptCount val="4"/>
                <c:pt idx="0">
                  <c:v>0</c:v>
                </c:pt>
                <c:pt idx="1">
                  <c:v>0.21000899738134868</c:v>
                </c:pt>
                <c:pt idx="2">
                  <c:v>0</c:v>
                </c:pt>
                <c:pt idx="3">
                  <c:v>0.78999100261865129</c:v>
                </c:pt>
              </c:numCache>
            </c:numRef>
          </c:val>
          <c:extLst>
            <c:ext xmlns:c16="http://schemas.microsoft.com/office/drawing/2014/chart" uri="{C3380CC4-5D6E-409C-BE32-E72D297353CC}">
              <c16:uniqueId val="{00000012-8C94-4850-8CB6-381C23102FC6}"/>
            </c:ext>
          </c:extLst>
        </c:ser>
        <c:dLbls>
          <c:showLegendKey val="0"/>
          <c:showVal val="0"/>
          <c:showCatName val="0"/>
          <c:showSerName val="0"/>
          <c:showPercent val="0"/>
          <c:showBubbleSize val="0"/>
          <c:showLeaderLines val="1"/>
        </c:dLbls>
        <c:firstSliceAng val="0"/>
        <c:holeSize val="84"/>
      </c:doughnutChart>
    </c:plotArea>
    <c:plotVisOnly val="1"/>
    <c:dispBlanksAs val="gap"/>
    <c:showDLblsOverMax val="0"/>
    <c:extLst/>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Data!$K$43</c:f>
              <c:strCache>
                <c:ptCount val="1"/>
                <c:pt idx="0">
                  <c:v>Gross Profit</c:v>
                </c:pt>
              </c:strCache>
            </c:strRef>
          </c:tx>
          <c:dPt>
            <c:idx val="0"/>
            <c:bubble3D val="0"/>
            <c:spPr>
              <a:solidFill>
                <a:srgbClr val="2F3E46"/>
              </a:solidFill>
              <a:ln w="19050">
                <a:solidFill>
                  <a:schemeClr val="lt1"/>
                </a:solidFill>
              </a:ln>
              <a:effectLst/>
            </c:spPr>
            <c:extLst>
              <c:ext xmlns:c16="http://schemas.microsoft.com/office/drawing/2014/chart" uri="{C3380CC4-5D6E-409C-BE32-E72D297353CC}">
                <c16:uniqueId val="{00000001-C46F-44F0-B71F-0F7DFCAC2EA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46F-44F0-B71F-0F7DFCAC2EAD}"/>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C46F-44F0-B71F-0F7DFCAC2EAD}"/>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C46F-44F0-B71F-0F7DFCAC2EAD}"/>
              </c:ext>
            </c:extLst>
          </c:dPt>
          <c:cat>
            <c:strRef>
              <c:f>Data!$L$35:$O$35</c:f>
              <c:strCache>
                <c:ptCount val="4"/>
                <c:pt idx="0">
                  <c:v>A+</c:v>
                </c:pt>
                <c:pt idx="1">
                  <c:v>A-</c:v>
                </c:pt>
                <c:pt idx="2">
                  <c:v>B+</c:v>
                </c:pt>
                <c:pt idx="3">
                  <c:v>B-</c:v>
                </c:pt>
              </c:strCache>
            </c:strRef>
          </c:cat>
          <c:val>
            <c:numRef>
              <c:f>Data!$L$43:$O$43</c:f>
              <c:numCache>
                <c:formatCode>0%</c:formatCode>
                <c:ptCount val="4"/>
                <c:pt idx="0">
                  <c:v>0</c:v>
                </c:pt>
                <c:pt idx="1">
                  <c:v>0.22679072191468583</c:v>
                </c:pt>
                <c:pt idx="2">
                  <c:v>0</c:v>
                </c:pt>
                <c:pt idx="3">
                  <c:v>0.77320927808531414</c:v>
                </c:pt>
              </c:numCache>
            </c:numRef>
          </c:val>
          <c:extLst>
            <c:ext xmlns:c16="http://schemas.microsoft.com/office/drawing/2014/chart" uri="{C3380CC4-5D6E-409C-BE32-E72D297353CC}">
              <c16:uniqueId val="{00000008-C46F-44F0-B71F-0F7DFCAC2EAD}"/>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Data!$K$44</c:f>
              <c:strCache>
                <c:ptCount val="1"/>
                <c:pt idx="0">
                  <c:v>EBITDDA</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A042-427E-A83B-F6DCF4DAEB5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042-427E-A83B-F6DCF4DAEB5D}"/>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A042-427E-A83B-F6DCF4DAEB5D}"/>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A042-427E-A83B-F6DCF4DAEB5D}"/>
              </c:ext>
            </c:extLst>
          </c:dPt>
          <c:cat>
            <c:strRef>
              <c:f>Data!$L$35:$O$35</c:f>
              <c:strCache>
                <c:ptCount val="4"/>
                <c:pt idx="0">
                  <c:v>A+</c:v>
                </c:pt>
                <c:pt idx="1">
                  <c:v>A-</c:v>
                </c:pt>
                <c:pt idx="2">
                  <c:v>B+</c:v>
                </c:pt>
                <c:pt idx="3">
                  <c:v>B-</c:v>
                </c:pt>
              </c:strCache>
            </c:strRef>
          </c:cat>
          <c:val>
            <c:numRef>
              <c:f>Data!$L$44:$O$44</c:f>
              <c:numCache>
                <c:formatCode>0%</c:formatCode>
                <c:ptCount val="4"/>
                <c:pt idx="0">
                  <c:v>0.56237595009977426</c:v>
                </c:pt>
                <c:pt idx="1">
                  <c:v>0</c:v>
                </c:pt>
                <c:pt idx="2">
                  <c:v>0.43762404990022574</c:v>
                </c:pt>
                <c:pt idx="3">
                  <c:v>0</c:v>
                </c:pt>
              </c:numCache>
            </c:numRef>
          </c:val>
          <c:extLst>
            <c:ext xmlns:c16="http://schemas.microsoft.com/office/drawing/2014/chart" uri="{C3380CC4-5D6E-409C-BE32-E72D297353CC}">
              <c16:uniqueId val="{00000008-A042-427E-A83B-F6DCF4DAEB5D}"/>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Data!$K$48</c:f>
              <c:strCache>
                <c:ptCount val="1"/>
                <c:pt idx="0">
                  <c:v>Revenue</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7C98-4156-98A2-0BE8C556746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C98-4156-98A2-0BE8C5567465}"/>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7C98-4156-98A2-0BE8C5567465}"/>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7C98-4156-98A2-0BE8C5567465}"/>
              </c:ext>
            </c:extLst>
          </c:dPt>
          <c:cat>
            <c:strRef>
              <c:f>Data!$L$35:$O$35</c:f>
              <c:strCache>
                <c:ptCount val="4"/>
                <c:pt idx="0">
                  <c:v>A+</c:v>
                </c:pt>
                <c:pt idx="1">
                  <c:v>A-</c:v>
                </c:pt>
                <c:pt idx="2">
                  <c:v>B+</c:v>
                </c:pt>
                <c:pt idx="3">
                  <c:v>B-</c:v>
                </c:pt>
              </c:strCache>
            </c:strRef>
          </c:cat>
          <c:val>
            <c:numRef>
              <c:f>Data!$L$48:$O$48</c:f>
              <c:numCache>
                <c:formatCode>0%</c:formatCode>
                <c:ptCount val="4"/>
                <c:pt idx="0">
                  <c:v>9.3893576770289797E-2</c:v>
                </c:pt>
                <c:pt idx="1">
                  <c:v>0</c:v>
                </c:pt>
                <c:pt idx="2">
                  <c:v>0.90610642322971024</c:v>
                </c:pt>
                <c:pt idx="3">
                  <c:v>0</c:v>
                </c:pt>
              </c:numCache>
            </c:numRef>
          </c:val>
          <c:extLst>
            <c:ext xmlns:c16="http://schemas.microsoft.com/office/drawing/2014/chart" uri="{C3380CC4-5D6E-409C-BE32-E72D297353CC}">
              <c16:uniqueId val="{00000008-7C98-4156-98A2-0BE8C5567465}"/>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Data!$K$49</c:f>
              <c:strCache>
                <c:ptCount val="1"/>
                <c:pt idx="0">
                  <c:v>Gross Profit</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6C84-4967-BFAC-32F6BAC9BFE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C84-4967-BFAC-32F6BAC9BFED}"/>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6C84-4967-BFAC-32F6BAC9BFED}"/>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6C84-4967-BFAC-32F6BAC9BFED}"/>
              </c:ext>
            </c:extLst>
          </c:dPt>
          <c:cat>
            <c:strRef>
              <c:f>Data!$L$35:$O$35</c:f>
              <c:strCache>
                <c:ptCount val="4"/>
                <c:pt idx="0">
                  <c:v>A+</c:v>
                </c:pt>
                <c:pt idx="1">
                  <c:v>A-</c:v>
                </c:pt>
                <c:pt idx="2">
                  <c:v>B+</c:v>
                </c:pt>
                <c:pt idx="3">
                  <c:v>B-</c:v>
                </c:pt>
              </c:strCache>
            </c:strRef>
          </c:cat>
          <c:val>
            <c:numRef>
              <c:f>Data!$L$49:$O$49</c:f>
              <c:numCache>
                <c:formatCode>0%</c:formatCode>
                <c:ptCount val="4"/>
                <c:pt idx="0">
                  <c:v>4.7555138186574523E-2</c:v>
                </c:pt>
                <c:pt idx="1">
                  <c:v>0</c:v>
                </c:pt>
                <c:pt idx="2">
                  <c:v>0.95244486181342547</c:v>
                </c:pt>
                <c:pt idx="3">
                  <c:v>0</c:v>
                </c:pt>
              </c:numCache>
            </c:numRef>
          </c:val>
          <c:extLst>
            <c:ext xmlns:c16="http://schemas.microsoft.com/office/drawing/2014/chart" uri="{C3380CC4-5D6E-409C-BE32-E72D297353CC}">
              <c16:uniqueId val="{00000008-6C84-4967-BFAC-32F6BAC9BFED}"/>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Data!$K$50</c:f>
              <c:strCache>
                <c:ptCount val="1"/>
                <c:pt idx="0">
                  <c:v>EBITDDA</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7577-4A3A-8391-6E07786A89E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577-4A3A-8391-6E07786A89E9}"/>
              </c:ext>
            </c:extLst>
          </c:dPt>
          <c:dPt>
            <c:idx val="2"/>
            <c:bubble3D val="0"/>
            <c:spPr>
              <a:solidFill>
                <a:srgbClr val="E3E6E1"/>
              </a:solidFill>
              <a:ln w="19050">
                <a:solidFill>
                  <a:schemeClr val="lt1"/>
                </a:solidFill>
              </a:ln>
              <a:effectLst/>
            </c:spPr>
            <c:extLst>
              <c:ext xmlns:c16="http://schemas.microsoft.com/office/drawing/2014/chart" uri="{C3380CC4-5D6E-409C-BE32-E72D297353CC}">
                <c16:uniqueId val="{00000005-7577-4A3A-8391-6E07786A89E9}"/>
              </c:ext>
            </c:extLst>
          </c:dPt>
          <c:dPt>
            <c:idx val="3"/>
            <c:bubble3D val="0"/>
            <c:spPr>
              <a:solidFill>
                <a:srgbClr val="E3E6E1"/>
              </a:solidFill>
              <a:ln w="19050">
                <a:solidFill>
                  <a:schemeClr val="lt1"/>
                </a:solidFill>
              </a:ln>
              <a:effectLst/>
            </c:spPr>
            <c:extLst>
              <c:ext xmlns:c16="http://schemas.microsoft.com/office/drawing/2014/chart" uri="{C3380CC4-5D6E-409C-BE32-E72D297353CC}">
                <c16:uniqueId val="{00000007-7577-4A3A-8391-6E07786A89E9}"/>
              </c:ext>
            </c:extLst>
          </c:dPt>
          <c:cat>
            <c:strRef>
              <c:f>Data!$L$35:$O$35</c:f>
              <c:strCache>
                <c:ptCount val="4"/>
                <c:pt idx="0">
                  <c:v>A+</c:v>
                </c:pt>
                <c:pt idx="1">
                  <c:v>A-</c:v>
                </c:pt>
                <c:pt idx="2">
                  <c:v>B+</c:v>
                </c:pt>
                <c:pt idx="3">
                  <c:v>B-</c:v>
                </c:pt>
              </c:strCache>
            </c:strRef>
          </c:cat>
          <c:val>
            <c:numRef>
              <c:f>Data!$L$50:$O$50</c:f>
              <c:numCache>
                <c:formatCode>0%</c:formatCode>
                <c:ptCount val="4"/>
                <c:pt idx="0">
                  <c:v>0.17546009427618123</c:v>
                </c:pt>
                <c:pt idx="1">
                  <c:v>0</c:v>
                </c:pt>
                <c:pt idx="2">
                  <c:v>0.82453990572381874</c:v>
                </c:pt>
                <c:pt idx="3">
                  <c:v>0</c:v>
                </c:pt>
              </c:numCache>
            </c:numRef>
          </c:val>
          <c:extLst>
            <c:ext xmlns:c16="http://schemas.microsoft.com/office/drawing/2014/chart" uri="{C3380CC4-5D6E-409C-BE32-E72D297353CC}">
              <c16:uniqueId val="{00000008-7577-4A3A-8391-6E07786A89E9}"/>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114300</xdr:colOff>
      <xdr:row>2</xdr:row>
      <xdr:rowOff>57150</xdr:rowOff>
    </xdr:from>
    <xdr:to>
      <xdr:col>2</xdr:col>
      <xdr:colOff>1152525</xdr:colOff>
      <xdr:row>4</xdr:row>
      <xdr:rowOff>0</xdr:rowOff>
    </xdr:to>
    <xdr:sp macro="" textlink="">
      <xdr:nvSpPr>
        <xdr:cNvPr id="5" name="Rounded Rectangle 4">
          <a:extLst>
            <a:ext uri="{FF2B5EF4-FFF2-40B4-BE49-F238E27FC236}">
              <a16:creationId xmlns:a16="http://schemas.microsoft.com/office/drawing/2014/main" id="{E75501D3-E8F0-8DD8-F966-8B910F35C617}"/>
            </a:ext>
          </a:extLst>
        </xdr:cNvPr>
        <xdr:cNvSpPr/>
      </xdr:nvSpPr>
      <xdr:spPr>
        <a:xfrm>
          <a:off x="114300" y="1200150"/>
          <a:ext cx="1962150" cy="304800"/>
        </a:xfrm>
        <a:prstGeom prst="round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ctr"/>
          <a:r>
            <a:rPr lang="en-US" sz="1100" u="none" strike="noStrike">
              <a:solidFill>
                <a:schemeClr val="lt1"/>
              </a:solidFill>
              <a:latin typeface="Arial" panose="020B0604020202020204" pitchFamily="34" charset="0"/>
              <a:cs typeface="Arial" panose="020B0604020202020204" pitchFamily="34" charset="0"/>
            </a:rPr>
            <a:t>Revenue &amp; Gross Margin</a:t>
          </a:r>
        </a:p>
      </xdr:txBody>
    </xdr:sp>
    <xdr:clientData/>
  </xdr:twoCellAnchor>
  <xdr:twoCellAnchor>
    <xdr:from>
      <xdr:col>7</xdr:col>
      <xdr:colOff>85725</xdr:colOff>
      <xdr:row>2</xdr:row>
      <xdr:rowOff>47625</xdr:rowOff>
    </xdr:from>
    <xdr:to>
      <xdr:col>8</xdr:col>
      <xdr:colOff>0</xdr:colOff>
      <xdr:row>3</xdr:row>
      <xdr:rowOff>171450</xdr:rowOff>
    </xdr:to>
    <xdr:sp macro="" textlink="">
      <xdr:nvSpPr>
        <xdr:cNvPr id="6" name="Rounded Rectangle 5">
          <a:extLst>
            <a:ext uri="{FF2B5EF4-FFF2-40B4-BE49-F238E27FC236}">
              <a16:creationId xmlns:a16="http://schemas.microsoft.com/office/drawing/2014/main" id="{ED8C8E28-ABD6-4D47-88CC-D9E49AC33E51}"/>
            </a:ext>
            <a:ext uri="{147F2762-F138-4A5C-976F-8EAC2B608ADB}">
              <a16:predDERef xmlns:a16="http://schemas.microsoft.com/office/drawing/2014/main" pred="{E75501D3-E8F0-8DD8-F966-8B910F35C617}"/>
            </a:ext>
          </a:extLst>
        </xdr:cNvPr>
        <xdr:cNvSpPr/>
      </xdr:nvSpPr>
      <xdr:spPr>
        <a:xfrm>
          <a:off x="9182100" y="1190625"/>
          <a:ext cx="561975" cy="304800"/>
        </a:xfrm>
        <a:prstGeom prst="round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b="0" i="0" u="none" strike="noStrike">
              <a:solidFill>
                <a:schemeClr val="lt1"/>
              </a:solidFill>
              <a:latin typeface="Arial" panose="020B0604020202020204" pitchFamily="34" charset="0"/>
              <a:cs typeface="Arial" panose="020B0604020202020204" pitchFamily="34" charset="0"/>
            </a:rPr>
            <a:t>Opex</a:t>
          </a:r>
        </a:p>
      </xdr:txBody>
    </xdr:sp>
    <xdr:clientData/>
  </xdr:twoCellAnchor>
  <xdr:twoCellAnchor>
    <xdr:from>
      <xdr:col>15</xdr:col>
      <xdr:colOff>104775</xdr:colOff>
      <xdr:row>2</xdr:row>
      <xdr:rowOff>57150</xdr:rowOff>
    </xdr:from>
    <xdr:to>
      <xdr:col>16</xdr:col>
      <xdr:colOff>57150</xdr:colOff>
      <xdr:row>4</xdr:row>
      <xdr:rowOff>0</xdr:rowOff>
    </xdr:to>
    <xdr:sp macro="" textlink="">
      <xdr:nvSpPr>
        <xdr:cNvPr id="7" name="Rounded Rectangle 6">
          <a:extLst>
            <a:ext uri="{FF2B5EF4-FFF2-40B4-BE49-F238E27FC236}">
              <a16:creationId xmlns:a16="http://schemas.microsoft.com/office/drawing/2014/main" id="{F12B5C5B-6721-4BDD-82DD-73A87E57EE76}"/>
            </a:ext>
            <a:ext uri="{147F2762-F138-4A5C-976F-8EAC2B608ADB}">
              <a16:predDERef xmlns:a16="http://schemas.microsoft.com/office/drawing/2014/main" pred="{ED8C8E28-ABD6-4D47-88CC-D9E49AC33E51}"/>
            </a:ext>
          </a:extLst>
        </xdr:cNvPr>
        <xdr:cNvSpPr/>
      </xdr:nvSpPr>
      <xdr:spPr>
        <a:xfrm>
          <a:off x="14573250" y="1200150"/>
          <a:ext cx="561975" cy="304800"/>
        </a:xfrm>
        <a:prstGeom prst="roundRect">
          <a:avLst/>
        </a:prstGeom>
        <a:solidFill>
          <a:srgbClr val="354F5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100" b="0" i="0" u="none" strike="noStrike">
              <a:solidFill>
                <a:schemeClr val="lt1"/>
              </a:solidFill>
              <a:latin typeface="Arial" panose="020B0604020202020204" pitchFamily="34" charset="0"/>
              <a:cs typeface="Arial" panose="020B0604020202020204" pitchFamily="34" charset="0"/>
            </a:rPr>
            <a:t>Opex</a:t>
          </a:r>
        </a:p>
      </xdr:txBody>
    </xdr:sp>
    <xdr:clientData/>
  </xdr:twoCellAnchor>
  <xdr:twoCellAnchor editAs="oneCell">
    <xdr:from>
      <xdr:col>4</xdr:col>
      <xdr:colOff>207818</xdr:colOff>
      <xdr:row>0</xdr:row>
      <xdr:rowOff>112059</xdr:rowOff>
    </xdr:from>
    <xdr:to>
      <xdr:col>21</xdr:col>
      <xdr:colOff>636698</xdr:colOff>
      <xdr:row>0</xdr:row>
      <xdr:rowOff>571500</xdr:rowOff>
    </xdr:to>
    <mc:AlternateContent xmlns:mc="http://schemas.openxmlformats.org/markup-compatibility/2006" xmlns:a14="http://schemas.microsoft.com/office/drawing/2010/main">
      <mc:Choice Requires="a14">
        <xdr:graphicFrame macro="">
          <xdr:nvGraphicFramePr>
            <xdr:cNvPr id="2" name="Period 1">
              <a:extLst>
                <a:ext uri="{FF2B5EF4-FFF2-40B4-BE49-F238E27FC236}">
                  <a16:creationId xmlns:a16="http://schemas.microsoft.com/office/drawing/2014/main" id="{D94F4A48-589E-4D92-9327-6E748E5139AE}"/>
                </a:ext>
              </a:extLst>
            </xdr:cNvPr>
            <xdr:cNvGraphicFramePr/>
          </xdr:nvGraphicFramePr>
          <xdr:xfrm>
            <a:off x="0" y="0"/>
            <a:ext cx="0" cy="0"/>
          </xdr:xfrm>
          <a:graphic>
            <a:graphicData uri="http://schemas.microsoft.com/office/drawing/2010/slicer">
              <sle:slicer xmlns:sle="http://schemas.microsoft.com/office/drawing/2010/slicer" name="Period 1"/>
            </a:graphicData>
          </a:graphic>
        </xdr:graphicFrame>
      </mc:Choice>
      <mc:Fallback xmlns="">
        <xdr:sp macro="" textlink="">
          <xdr:nvSpPr>
            <xdr:cNvPr id="0" name=""/>
            <xdr:cNvSpPr>
              <a:spLocks noTextEdit="1"/>
            </xdr:cNvSpPr>
          </xdr:nvSpPr>
          <xdr:spPr>
            <a:xfrm>
              <a:off x="4891877" y="112059"/>
              <a:ext cx="12878615" cy="459441"/>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0</xdr:col>
      <xdr:colOff>145677</xdr:colOff>
      <xdr:row>4</xdr:row>
      <xdr:rowOff>33618</xdr:rowOff>
    </xdr:from>
    <xdr:to>
      <xdr:col>6</xdr:col>
      <xdr:colOff>459442</xdr:colOff>
      <xdr:row>15</xdr:row>
      <xdr:rowOff>143435</xdr:rowOff>
    </xdr:to>
    <xdr:graphicFrame macro="">
      <xdr:nvGraphicFramePr>
        <xdr:cNvPr id="9" name="Diagramm 8">
          <a:extLst>
            <a:ext uri="{FF2B5EF4-FFF2-40B4-BE49-F238E27FC236}">
              <a16:creationId xmlns:a16="http://schemas.microsoft.com/office/drawing/2014/main" id="{FF0B17EA-4D11-4D12-A918-7F84BDEA1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112059</xdr:colOff>
      <xdr:row>2</xdr:row>
      <xdr:rowOff>11205</xdr:rowOff>
    </xdr:from>
    <xdr:to>
      <xdr:col>14</xdr:col>
      <xdr:colOff>470647</xdr:colOff>
      <xdr:row>15</xdr:row>
      <xdr:rowOff>78441</xdr:rowOff>
    </xdr:to>
    <xdr:graphicFrame macro="">
      <xdr:nvGraphicFramePr>
        <xdr:cNvPr id="13" name="Diagramm 12">
          <a:extLst>
            <a:ext uri="{FF2B5EF4-FFF2-40B4-BE49-F238E27FC236}">
              <a16:creationId xmlns:a16="http://schemas.microsoft.com/office/drawing/2014/main" id="{7A544645-3CFC-4239-BC71-AD01AFDAF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xdr:row>
      <xdr:rowOff>56029</xdr:rowOff>
    </xdr:from>
    <xdr:to>
      <xdr:col>14</xdr:col>
      <xdr:colOff>589765</xdr:colOff>
      <xdr:row>14</xdr:row>
      <xdr:rowOff>63088</xdr:rowOff>
    </xdr:to>
    <xdr:graphicFrame macro="">
      <xdr:nvGraphicFramePr>
        <xdr:cNvPr id="14" name="Diagramm 13">
          <a:extLst>
            <a:ext uri="{FF2B5EF4-FFF2-40B4-BE49-F238E27FC236}">
              <a16:creationId xmlns:a16="http://schemas.microsoft.com/office/drawing/2014/main" id="{788E71BB-A0A7-4C35-8256-B0291DD9B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78441</xdr:colOff>
      <xdr:row>2</xdr:row>
      <xdr:rowOff>44825</xdr:rowOff>
    </xdr:from>
    <xdr:to>
      <xdr:col>22</xdr:col>
      <xdr:colOff>481853</xdr:colOff>
      <xdr:row>15</xdr:row>
      <xdr:rowOff>78443</xdr:rowOff>
    </xdr:to>
    <xdr:graphicFrame macro="">
      <xdr:nvGraphicFramePr>
        <xdr:cNvPr id="15" name="Diagramm 14">
          <a:extLst>
            <a:ext uri="{FF2B5EF4-FFF2-40B4-BE49-F238E27FC236}">
              <a16:creationId xmlns:a16="http://schemas.microsoft.com/office/drawing/2014/main" id="{7C0CB7B9-846B-4B68-A657-EEE192758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907677</xdr:colOff>
      <xdr:row>4</xdr:row>
      <xdr:rowOff>67236</xdr:rowOff>
    </xdr:from>
    <xdr:to>
      <xdr:col>22</xdr:col>
      <xdr:colOff>544941</xdr:colOff>
      <xdr:row>14</xdr:row>
      <xdr:rowOff>74295</xdr:rowOff>
    </xdr:to>
    <xdr:graphicFrame macro="">
      <xdr:nvGraphicFramePr>
        <xdr:cNvPr id="16" name="Diagramm 15">
          <a:extLst>
            <a:ext uri="{FF2B5EF4-FFF2-40B4-BE49-F238E27FC236}">
              <a16:creationId xmlns:a16="http://schemas.microsoft.com/office/drawing/2014/main" id="{DCAFFDF6-983D-423E-B793-A6FA036D0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313764</xdr:colOff>
      <xdr:row>17</xdr:row>
      <xdr:rowOff>493060</xdr:rowOff>
    </xdr:from>
    <xdr:to>
      <xdr:col>2</xdr:col>
      <xdr:colOff>11206</xdr:colOff>
      <xdr:row>23</xdr:row>
      <xdr:rowOff>0</xdr:rowOff>
    </xdr:to>
    <xdr:graphicFrame macro="">
      <xdr:nvGraphicFramePr>
        <xdr:cNvPr id="113" name="Diagramm 112">
          <a:extLst>
            <a:ext uri="{FF2B5EF4-FFF2-40B4-BE49-F238E27FC236}">
              <a16:creationId xmlns:a16="http://schemas.microsoft.com/office/drawing/2014/main" id="{035AECB5-A80D-4D5A-9D6C-06C1A3436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18</xdr:row>
      <xdr:rowOff>0</xdr:rowOff>
    </xdr:from>
    <xdr:to>
      <xdr:col>4</xdr:col>
      <xdr:colOff>0</xdr:colOff>
      <xdr:row>22</xdr:row>
      <xdr:rowOff>335055</xdr:rowOff>
    </xdr:to>
    <xdr:graphicFrame macro="">
      <xdr:nvGraphicFramePr>
        <xdr:cNvPr id="114" name="Diagramm 113">
          <a:extLst>
            <a:ext uri="{FF2B5EF4-FFF2-40B4-BE49-F238E27FC236}">
              <a16:creationId xmlns:a16="http://schemas.microsoft.com/office/drawing/2014/main" id="{E592A25B-B816-4529-A03E-C507D1C14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18</xdr:row>
      <xdr:rowOff>0</xdr:rowOff>
    </xdr:from>
    <xdr:to>
      <xdr:col>6</xdr:col>
      <xdr:colOff>0</xdr:colOff>
      <xdr:row>22</xdr:row>
      <xdr:rowOff>335055</xdr:rowOff>
    </xdr:to>
    <xdr:graphicFrame macro="">
      <xdr:nvGraphicFramePr>
        <xdr:cNvPr id="115" name="Diagramm 114">
          <a:extLst>
            <a:ext uri="{FF2B5EF4-FFF2-40B4-BE49-F238E27FC236}">
              <a16:creationId xmlns:a16="http://schemas.microsoft.com/office/drawing/2014/main" id="{C745A9EB-AC10-45A1-84D4-00B87FEB51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25</xdr:row>
      <xdr:rowOff>0</xdr:rowOff>
    </xdr:from>
    <xdr:to>
      <xdr:col>2</xdr:col>
      <xdr:colOff>22412</xdr:colOff>
      <xdr:row>29</xdr:row>
      <xdr:rowOff>335055</xdr:rowOff>
    </xdr:to>
    <xdr:graphicFrame macro="">
      <xdr:nvGraphicFramePr>
        <xdr:cNvPr id="116" name="Diagramm 115">
          <a:extLst>
            <a:ext uri="{FF2B5EF4-FFF2-40B4-BE49-F238E27FC236}">
              <a16:creationId xmlns:a16="http://schemas.microsoft.com/office/drawing/2014/main" id="{1B4F04E7-B62D-4E77-9EDA-F972742AF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25</xdr:row>
      <xdr:rowOff>0</xdr:rowOff>
    </xdr:from>
    <xdr:to>
      <xdr:col>4</xdr:col>
      <xdr:colOff>1</xdr:colOff>
      <xdr:row>29</xdr:row>
      <xdr:rowOff>335055</xdr:rowOff>
    </xdr:to>
    <xdr:graphicFrame macro="">
      <xdr:nvGraphicFramePr>
        <xdr:cNvPr id="117" name="Diagramm 116">
          <a:extLst>
            <a:ext uri="{FF2B5EF4-FFF2-40B4-BE49-F238E27FC236}">
              <a16:creationId xmlns:a16="http://schemas.microsoft.com/office/drawing/2014/main" id="{962C6979-2C1B-4DDD-AB60-C4A253B8F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25</xdr:row>
      <xdr:rowOff>0</xdr:rowOff>
    </xdr:from>
    <xdr:to>
      <xdr:col>6</xdr:col>
      <xdr:colOff>2</xdr:colOff>
      <xdr:row>29</xdr:row>
      <xdr:rowOff>335055</xdr:rowOff>
    </xdr:to>
    <xdr:graphicFrame macro="">
      <xdr:nvGraphicFramePr>
        <xdr:cNvPr id="118" name="Diagramm 117">
          <a:extLst>
            <a:ext uri="{FF2B5EF4-FFF2-40B4-BE49-F238E27FC236}">
              <a16:creationId xmlns:a16="http://schemas.microsoft.com/office/drawing/2014/main" id="{243C30AB-F968-4223-BAFE-6BD009538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32</xdr:row>
      <xdr:rowOff>0</xdr:rowOff>
    </xdr:from>
    <xdr:to>
      <xdr:col>2</xdr:col>
      <xdr:colOff>2</xdr:colOff>
      <xdr:row>36</xdr:row>
      <xdr:rowOff>335055</xdr:rowOff>
    </xdr:to>
    <xdr:graphicFrame macro="">
      <xdr:nvGraphicFramePr>
        <xdr:cNvPr id="119" name="Diagramm 118">
          <a:extLst>
            <a:ext uri="{FF2B5EF4-FFF2-40B4-BE49-F238E27FC236}">
              <a16:creationId xmlns:a16="http://schemas.microsoft.com/office/drawing/2014/main" id="{E9D88400-07D5-4ED5-AFF4-70F07F8D0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32</xdr:row>
      <xdr:rowOff>0</xdr:rowOff>
    </xdr:from>
    <xdr:to>
      <xdr:col>4</xdr:col>
      <xdr:colOff>1</xdr:colOff>
      <xdr:row>36</xdr:row>
      <xdr:rowOff>335055</xdr:rowOff>
    </xdr:to>
    <xdr:graphicFrame macro="">
      <xdr:nvGraphicFramePr>
        <xdr:cNvPr id="120" name="Diagramm 119">
          <a:extLst>
            <a:ext uri="{FF2B5EF4-FFF2-40B4-BE49-F238E27FC236}">
              <a16:creationId xmlns:a16="http://schemas.microsoft.com/office/drawing/2014/main" id="{C7B6E17A-8981-432C-AB02-CA054737B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32</xdr:row>
      <xdr:rowOff>0</xdr:rowOff>
    </xdr:from>
    <xdr:to>
      <xdr:col>6</xdr:col>
      <xdr:colOff>2</xdr:colOff>
      <xdr:row>36</xdr:row>
      <xdr:rowOff>335055</xdr:rowOff>
    </xdr:to>
    <xdr:graphicFrame macro="">
      <xdr:nvGraphicFramePr>
        <xdr:cNvPr id="121" name="Diagramm 120">
          <a:extLst>
            <a:ext uri="{FF2B5EF4-FFF2-40B4-BE49-F238E27FC236}">
              <a16:creationId xmlns:a16="http://schemas.microsoft.com/office/drawing/2014/main" id="{36146926-D046-4A61-B521-308BCEDE4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66674</xdr:colOff>
      <xdr:row>0</xdr:row>
      <xdr:rowOff>0</xdr:rowOff>
    </xdr:from>
    <xdr:to>
      <xdr:col>4</xdr:col>
      <xdr:colOff>1297642</xdr:colOff>
      <xdr:row>5</xdr:row>
      <xdr:rowOff>47625</xdr:rowOff>
    </xdr:to>
    <mc:AlternateContent xmlns:mc="http://schemas.openxmlformats.org/markup-compatibility/2006" xmlns:a14="http://schemas.microsoft.com/office/drawing/2010/main">
      <mc:Choice Requires="a14">
        <xdr:graphicFrame macro="">
          <xdr:nvGraphicFramePr>
            <xdr:cNvPr id="2" name="Period">
              <a:extLst>
                <a:ext uri="{FF2B5EF4-FFF2-40B4-BE49-F238E27FC236}">
                  <a16:creationId xmlns:a16="http://schemas.microsoft.com/office/drawing/2014/main" id="{B63B68C6-01FA-F5D0-A09E-6D1950AFF029}"/>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66674" y="0"/>
              <a:ext cx="4991101" cy="1000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eeb09a55d40ba9b/Dokumente/The%5e120Ultimate%5e120Dashboard_Worksheet%20(version%201).xlsb" TargetMode="External"/><Relationship Id="rId1" Type="http://schemas.openxmlformats.org/officeDocument/2006/relationships/externalLinkPath" Target="https://d.docs.live.net/3EEB09A55D40BA9B/Dokumente/The%5e120Ultimate%5e120Dashboard_Worksheet%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Data"/>
      <sheetName val="List"/>
      <sheetName val="G&amp;A"/>
      <sheetName val="R&amp;D"/>
      <sheetName val="CS"/>
      <sheetName val="S&amp;M"/>
      <sheetName val="G&amp;A_Budget"/>
      <sheetName val="R&amp;D_Budget"/>
      <sheetName val="CS_Budget"/>
      <sheetName val="S&amp;M_Budget"/>
      <sheetName val="The^120Ultimate^120Dashboard_Wo"/>
    </sheetNames>
    <definedNames>
      <definedName name="DatePeriod"/>
      <definedName name="Lookup"/>
      <definedName name="Period"/>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0046296" backgroundQuery="1" createdVersion="8" refreshedVersion="8" minRefreshableVersion="3" recordCount="0" supportSubquery="1" supportAdvancedDrill="1" xr:uid="{47BF9C7A-E687-4832-AF71-93CDF9050CD3}">
  <cacheSource type="external" connectionId="16"/>
  <cacheFields count="5">
    <cacheField name="[Measures].[Revenue]" caption="Revenue" numFmtId="0" hierarchy="73" level="32767"/>
    <cacheField name="[Period].[Period].[Period]" caption="Period" numFmtId="0" hierarchy="32" level="1">
      <sharedItems containsSemiMixedTypes="0" containsNonDate="0" containsString="0"/>
    </cacheField>
    <cacheField name="[Measures].[Gross Margin]" caption="Gross Margin" numFmtId="0" hierarchy="75" level="32767"/>
    <cacheField name="[Calendar].[MMM-YY].[MMM-YY]" caption="MMM-YY" numFmtId="0" hierarchy="20" level="1">
      <sharedItems count="12">
        <s v="Jun-24"/>
        <s v="Jul-24"/>
        <s v="Aug-24"/>
        <s v="Sep-24"/>
        <s v="Okt-24"/>
        <s v="Nov-24"/>
        <s v="Dez-24"/>
        <s v="Jan-25"/>
        <s v="Feb-25"/>
        <s v="Mrz-25"/>
        <s v="Apr-25"/>
        <s v="Mai-25"/>
      </sharedItems>
      <extLst>
        <ext xmlns:x15="http://schemas.microsoft.com/office/spreadsheetml/2010/11/main" uri="{4F2E5C28-24EA-4eb8-9CBF-B6C8F9C3D259}">
          <x15:cachedUniqueNames>
            <x15:cachedUniqueName index="0" name="[Calendar].[MMM-YY].&amp;[Jun-24]"/>
            <x15:cachedUniqueName index="1" name="[Calendar].[MMM-YY].&amp;[Jul-24]"/>
            <x15:cachedUniqueName index="2" name="[Calendar].[MMM-YY].&amp;[Aug-24]"/>
            <x15:cachedUniqueName index="3" name="[Calendar].[MMM-YY].&amp;[Sep-24]"/>
            <x15:cachedUniqueName index="4" name="[Calendar].[MMM-YY].&amp;[Okt-24]"/>
            <x15:cachedUniqueName index="5" name="[Calendar].[MMM-YY].&amp;[Nov-24]"/>
            <x15:cachedUniqueName index="6" name="[Calendar].[MMM-YY].&amp;[Dez-24]"/>
            <x15:cachedUniqueName index="7" name="[Calendar].[MMM-YY].&amp;[Jan-25]"/>
            <x15:cachedUniqueName index="8" name="[Calendar].[MMM-YY].&amp;[Feb-25]"/>
            <x15:cachedUniqueName index="9" name="[Calendar].[MMM-YY].&amp;[Mrz-25]"/>
            <x15:cachedUniqueName index="10" name="[Calendar].[MMM-YY].&amp;[Apr-25]"/>
            <x15:cachedUniqueName index="11" name="[Calendar].[MMM-YY].&amp;[Mai-25]"/>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4"/>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3"/>
      </fieldsUsage>
    </cacheHierarchy>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0" memberValueDatatype="130" unbalanced="0"/>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1"/>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cacheHierarchy uniqueName="[Measures].[Budgets_Selected]" caption="Budgets_Selected" measure="1" displayFolder="" measureGroup="Budget" count="0"/>
    <cacheHierarchy uniqueName="[Measures].[Revenue]" caption="Revenue" measure="1" displayFolder="" measureGroup="Actuals" count="0" oneField="1">
      <fieldsUsage count="1">
        <fieldUsage x="0"/>
      </fieldsUsage>
    </cacheHierarchy>
    <cacheHierarchy uniqueName="[Measures].[Gross Profit]" caption="Gross Profit" measure="1" displayFolder="" measureGroup="Actuals" count="0"/>
    <cacheHierarchy uniqueName="[Measures].[Gross Margin]" caption="Gross Margin" measure="1" displayFolder="" measureGroup="Actuals" count="0" oneField="1">
      <fieldsUsage count="1">
        <fieldUsage x="2"/>
      </fieldsUsage>
    </cacheHierarchy>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0625004" backgroundQuery="1" createdVersion="8" refreshedVersion="8" minRefreshableVersion="3" recordCount="0" supportSubquery="1" supportAdvancedDrill="1" xr:uid="{E0B2A284-EBF4-4895-B66C-8FE1C7D2C73A}">
  <cacheSource type="external" connectionId="16"/>
  <cacheFields count="6">
    <cacheField name="[Period].[Period].[Period]" caption="Period" numFmtId="0" hierarchy="32" level="1">
      <sharedItems containsSemiMixedTypes="0" containsNonDate="0" containsString="0"/>
    </cacheField>
    <cacheField name="[Departments].[Departments].[Departments]" caption="Departments" numFmtId="0" hierarchy="25"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Calendar].[MMM-YY].[MMM-YY]" caption="MMM-YY" numFmtId="0" hierarchy="20" level="1">
      <sharedItems count="12">
        <s v="Jun-24"/>
        <s v="Jul-24"/>
        <s v="Aug-24"/>
        <s v="Sep-24"/>
        <s v="Okt-24"/>
        <s v="Nov-24"/>
        <s v="Dez-24"/>
        <s v="Jan-25"/>
        <s v="Feb-25"/>
        <s v="Mrz-25"/>
        <s v="Apr-25"/>
        <s v="Mai-25"/>
      </sharedItems>
      <extLst>
        <ext xmlns:x15="http://schemas.microsoft.com/office/spreadsheetml/2010/11/main" uri="{4F2E5C28-24EA-4eb8-9CBF-B6C8F9C3D259}">
          <x15:cachedUniqueNames>
            <x15:cachedUniqueName index="0" name="[Calendar].[MMM-YY].&amp;[Jun-24]"/>
            <x15:cachedUniqueName index="1" name="[Calendar].[MMM-YY].&amp;[Jul-24]"/>
            <x15:cachedUniqueName index="2" name="[Calendar].[MMM-YY].&amp;[Aug-24]"/>
            <x15:cachedUniqueName index="3" name="[Calendar].[MMM-YY].&amp;[Sep-24]"/>
            <x15:cachedUniqueName index="4" name="[Calendar].[MMM-YY].&amp;[Okt-24]"/>
            <x15:cachedUniqueName index="5" name="[Calendar].[MMM-YY].&amp;[Nov-24]"/>
            <x15:cachedUniqueName index="6" name="[Calendar].[MMM-YY].&amp;[Dez-24]"/>
            <x15:cachedUniqueName index="7" name="[Calendar].[MMM-YY].&amp;[Jan-25]"/>
            <x15:cachedUniqueName index="8" name="[Calendar].[MMM-YY].&amp;[Feb-25]"/>
            <x15:cachedUniqueName index="9" name="[Calendar].[MMM-YY].&amp;[Mrz-25]"/>
            <x15:cachedUniqueName index="10" name="[Calendar].[MMM-YY].&amp;[Apr-25]"/>
            <x15:cachedUniqueName index="11" name="[Calendar].[MMM-YY].&amp;[Mai-25]"/>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1"/>
      </fieldsUsage>
    </cacheHierarchy>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3"/>
      </fieldsUsage>
    </cacheHierarchy>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2"/>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1203704" backgroundQuery="1" createdVersion="8" refreshedVersion="8" minRefreshableVersion="3" recordCount="0" supportSubquery="1" supportAdvancedDrill="1" xr:uid="{DE755C5C-315A-4F11-BBD9-4C0F76F3200C}">
  <cacheSource type="external" connectionId="16"/>
  <cacheFields count="6">
    <cacheField name="[Period].[Period].[Period]" caption="Period" numFmtId="0" hierarchy="32" level="1">
      <sharedItems containsSemiMixedTypes="0" containsNonDate="0" containsString="0"/>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Lookup].[Summary Grouping].[Summary Grouping]" caption="Summary Grouping" numFmtId="0" hierarchy="28" level="1">
      <sharedItems count="4">
        <s v="Advertising"/>
        <s v="Other G&amp;A"/>
        <s v="Payroll"/>
        <s v="Professional Services"/>
      </sharedItems>
      <extLst>
        <ext xmlns:x15="http://schemas.microsoft.com/office/spreadsheetml/2010/11/main" uri="{4F2E5C28-24EA-4eb8-9CBF-B6C8F9C3D259}">
          <x15:cachedUniqueNames>
            <x15:cachedUniqueName index="0" name="[Lookup].[Summary Grouping].&amp;[Advertising]"/>
            <x15:cachedUniqueName index="1" name="[Lookup].[Summary Grouping].&amp;[Other G&amp;A]"/>
            <x15:cachedUniqueName index="2" name="[Lookup].[Summary Grouping].&amp;[Payroll]"/>
            <x15:cachedUniqueName index="3" name="[Lookup].[Summary Grouping].&amp;[Professional Services]"/>
          </x15:cachedUniqueNames>
        </ext>
      </extLst>
    </cacheField>
    <cacheField name="[Calendar].[MMM-YY].[MMM-YY]" caption="MMM-YY" numFmtId="0" hierarchy="20" level="1">
      <sharedItems count="12">
        <s v="Jun-24"/>
        <s v="Jul-24"/>
        <s v="Aug-24"/>
        <s v="Sep-24"/>
        <s v="Okt-24"/>
        <s v="Nov-24"/>
        <s v="Dez-24"/>
        <s v="Jan-25"/>
        <s v="Feb-25"/>
        <s v="Mrz-25"/>
        <s v="Apr-25"/>
        <s v="Mai-25"/>
      </sharedItems>
      <extLst>
        <ext xmlns:x15="http://schemas.microsoft.com/office/spreadsheetml/2010/11/main" uri="{4F2E5C28-24EA-4eb8-9CBF-B6C8F9C3D259}">
          <x15:cachedUniqueNames>
            <x15:cachedUniqueName index="0" name="[Calendar].[MMM-YY].&amp;[Jun-24]"/>
            <x15:cachedUniqueName index="1" name="[Calendar].[MMM-YY].&amp;[Jul-24]"/>
            <x15:cachedUniqueName index="2" name="[Calendar].[MMM-YY].&amp;[Aug-24]"/>
            <x15:cachedUniqueName index="3" name="[Calendar].[MMM-YY].&amp;[Sep-24]"/>
            <x15:cachedUniqueName index="4" name="[Calendar].[MMM-YY].&amp;[Okt-24]"/>
            <x15:cachedUniqueName index="5" name="[Calendar].[MMM-YY].&amp;[Nov-24]"/>
            <x15:cachedUniqueName index="6" name="[Calendar].[MMM-YY].&amp;[Dez-24]"/>
            <x15:cachedUniqueName index="7" name="[Calendar].[MMM-YY].&amp;[Jan-25]"/>
            <x15:cachedUniqueName index="8" name="[Calendar].[MMM-YY].&amp;[Feb-25]"/>
            <x15:cachedUniqueName index="9" name="[Calendar].[MMM-YY].&amp;[Mrz-25]"/>
            <x15:cachedUniqueName index="10" name="[Calendar].[MMM-YY].&amp;[Apr-25]"/>
            <x15:cachedUniqueName index="11" name="[Calendar].[MMM-YY].&amp;[Mai-25]"/>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2"/>
      </fieldsUsage>
    </cacheHierarchy>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3"/>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1666666" backgroundQuery="1" createdVersion="8" refreshedVersion="8" minRefreshableVersion="3" recordCount="0" supportSubquery="1" supportAdvancedDrill="1" xr:uid="{A317337F-ABD1-4E6E-AB09-CC9291691627}">
  <cacheSource type="external" connectionId="16"/>
  <cacheFields count="5">
    <cacheField name="[Period].[Period].[Period]" caption="Period" numFmtId="0" hierarchy="32" level="1">
      <sharedItems containsSemiMixedTypes="0" containsNonDate="0" containsString="0"/>
    </cacheField>
    <cacheField name="[Departments].[Departments].[Departments]" caption="Departments" numFmtId="0" hierarchy="25"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4"/>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1"/>
      </fieldsUsage>
    </cacheHierarchy>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3"/>
      </fieldsUsage>
    </cacheHierarchy>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2"/>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2245374" backgroundQuery="1" createdVersion="8" refreshedVersion="8" minRefreshableVersion="3" recordCount="0" supportSubquery="1" supportAdvancedDrill="1" xr:uid="{5DB178E5-D45E-4238-A245-E16FBEE90E59}">
  <cacheSource type="external" connectionId="16"/>
  <cacheFields count="5">
    <cacheField name="[Period].[Period].[Period]" caption="Period" numFmtId="0" hierarchy="32" level="1">
      <sharedItems containsSemiMixedTypes="0" containsNonDate="0" containsString="0"/>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Lookup].[Summary Grouping].[Summary Grouping]" caption="Summary Grouping" numFmtId="0" hierarchy="28" level="1">
      <sharedItems count="4">
        <s v="Advertising"/>
        <s v="Other G&amp;A"/>
        <s v="Payroll"/>
        <s v="Professional Services"/>
      </sharedItems>
      <extLst>
        <ext xmlns:x15="http://schemas.microsoft.com/office/spreadsheetml/2010/11/main" uri="{4F2E5C28-24EA-4eb8-9CBF-B6C8F9C3D259}">
          <x15:cachedUniqueNames>
            <x15:cachedUniqueName index="0" name="[Lookup].[Summary Grouping].&amp;[Advertising]"/>
            <x15:cachedUniqueName index="1" name="[Lookup].[Summary Grouping].&amp;[Other G&amp;A]"/>
            <x15:cachedUniqueName index="2" name="[Lookup].[Summary Grouping].&amp;[Payroll]"/>
            <x15:cachedUniqueName index="3" name="[Lookup].[Summary Grouping].&amp;[Professional Services]"/>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4"/>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2"/>
      </fieldsUsage>
    </cacheHierarchy>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3"/>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4675929" backgroundQuery="1" createdVersion="8" refreshedVersion="8" minRefreshableVersion="3" recordCount="0" supportSubquery="1" supportAdvancedDrill="1" xr:uid="{09AAB1F4-1554-4145-B202-6B52C0AA1D78}">
  <cacheSource type="external" connectionId="16"/>
  <cacheFields count="7">
    <cacheField name="[Lookup].[Summary Grouping].[Summary Grouping]" caption="Summary Grouping" numFmtId="0" hierarchy="28" level="1">
      <sharedItems count="3">
        <s v="EBITDA"/>
        <s v="Gross Profit"/>
        <s v="Revenue"/>
      </sharedItems>
      <extLst>
        <ext xmlns:x15="http://schemas.microsoft.com/office/spreadsheetml/2010/11/main" uri="{4F2E5C28-24EA-4eb8-9CBF-B6C8F9C3D259}">
          <x15:cachedUniqueNames>
            <x15:cachedUniqueName index="0" name="[Lookup].[Summary Grouping].&amp;[EBITDA]"/>
            <x15:cachedUniqueName index="1" name="[Lookup].[Summary Grouping].&amp;[Gross Profit]"/>
            <x15:cachedUniqueName index="2" name="[Lookup].[Summary Grouping].&amp;[Revenue]"/>
          </x15:cachedUniqueNames>
        </ext>
      </extLst>
    </cacheField>
    <cacheField name="[Measures].[Actuals_Selected]" caption="Actuals_Selected" numFmtId="0" hierarchy="71" level="32767"/>
    <cacheField name="[Measures].[Budgets_Selected]" caption="Budgets_Selected" numFmtId="0" hierarchy="72" level="32767"/>
    <cacheField name="[Period].[Period].[Period]" caption="Period" numFmtId="0" hierarchy="32" level="1">
      <sharedItems containsSemiMixedTypes="0" containsNonDate="0" containsString="0"/>
    </cacheField>
    <cacheField name="[Measures].[Var to Budget Income ($)]" caption="Var to Budget Income ($)" numFmtId="0" hierarchy="76" level="32767"/>
    <cacheField name="[Measures].[Var to Budget (%)]" caption="Var to Budget (%)" numFmtId="0" hierarchy="77" level="32767"/>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6"/>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0" memberValueDatatype="130" unbalanced="0"/>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0"/>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3"/>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oneField="1">
      <fieldsUsage count="1">
        <fieldUsage x="2"/>
      </fieldsUsage>
    </cacheHierarchy>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oneField="1">
      <fieldsUsage count="1">
        <fieldUsage x="4"/>
      </fieldsUsage>
    </cacheHierarchy>
    <cacheHierarchy uniqueName="[Measures].[Var to Budget (%)]" caption="Var to Budget (%)" measure="1" displayFolder="" measureGroup="Actuals" count="0" oneField="1">
      <fieldsUsage count="1">
        <fieldUsage x="5"/>
      </fieldsUsage>
    </cacheHierarchy>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62963" backgroundQuery="1" createdVersion="8" refreshedVersion="8" minRefreshableVersion="3" recordCount="0" supportSubquery="1" supportAdvancedDrill="1" xr:uid="{A5BECBE8-D25F-4A5E-AC04-6B82AA140477}">
  <cacheSource type="external" connectionId="16"/>
  <cacheFields count="7">
    <cacheField name="[Lookup].[Summary Grouping].[Summary Grouping]" caption="Summary Grouping" numFmtId="0" hierarchy="28" level="1">
      <sharedItems count="3">
        <s v="EBITDA"/>
        <s v="Gross Profit"/>
        <s v="Revenue"/>
      </sharedItems>
      <extLst>
        <ext xmlns:x15="http://schemas.microsoft.com/office/spreadsheetml/2010/11/main" uri="{4F2E5C28-24EA-4eb8-9CBF-B6C8F9C3D259}">
          <x15:cachedUniqueNames>
            <x15:cachedUniqueName index="0" name="[Lookup].[Summary Grouping].&amp;[EBITDA]"/>
            <x15:cachedUniqueName index="1" name="[Lookup].[Summary Grouping].&amp;[Gross Profit]"/>
            <x15:cachedUniqueName index="2" name="[Lookup].[Summary Grouping].&amp;[Revenue]"/>
          </x15:cachedUniqueNames>
        </ext>
      </extLst>
    </cacheField>
    <cacheField name="[Measures].[Actuals_Selected]" caption="Actuals_Selected" numFmtId="0" hierarchy="71" level="32767"/>
    <cacheField name="[Period].[Period].[Period]" caption="Period" numFmtId="0" hierarchy="32" level="1">
      <sharedItems containsSemiMixedTypes="0" containsNonDate="0" containsString="0"/>
    </cacheField>
    <cacheField name="[Measures].[Prior Period]" caption="Prior Period" numFmtId="0" hierarchy="80" level="32767"/>
    <cacheField name="[Measures].[Var to Prior Period ($)]" caption="Var to Prior Period ($)" numFmtId="0" hierarchy="82" level="32767"/>
    <cacheField name="[Measures].[Var to Prior Period (%)]" caption="Var to Prior Period (%)" numFmtId="0" hierarchy="84" level="32767"/>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6"/>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0" memberValueDatatype="130" unbalanced="0"/>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0"/>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2"/>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oneField="1">
      <fieldsUsage count="1">
        <fieldUsage x="3"/>
      </fieldsUsage>
    </cacheHierarchy>
    <cacheHierarchy uniqueName="[Measures].[Prior Year]" caption="Prior Year" measure="1" displayFolder="" measureGroup="Actuals" count="0"/>
    <cacheHierarchy uniqueName="[Measures].[Var to Prior Period ($)]" caption="Var to Prior Period ($)" measure="1" displayFolder="" measureGroup="Actuals" count="0" oneField="1">
      <fieldsUsage count="1">
        <fieldUsage x="4"/>
      </fieldsUsage>
    </cacheHierarchy>
    <cacheHierarchy uniqueName="[Measures].[Var to Prior Year ($)]" caption="Var to Prior Year ($)" measure="1" displayFolder="" measureGroup="Actuals" count="0"/>
    <cacheHierarchy uniqueName="[Measures].[Var to Prior Period (%)]" caption="Var to Prior Period (%)" measure="1" displayFolder="" measureGroup="Actuals" count="0" oneField="1">
      <fieldsUsage count="1">
        <fieldUsage x="5"/>
      </fieldsUsage>
    </cacheHierarchy>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7800924" backgroundQuery="1" createdVersion="8" refreshedVersion="8" minRefreshableVersion="3" recordCount="0" supportSubquery="1" supportAdvancedDrill="1" xr:uid="{8AE15255-9800-48E7-9BBA-A83EE191EDF9}">
  <cacheSource type="external" connectionId="16"/>
  <cacheFields count="6">
    <cacheField name="[Lookup].[Summary Grouping].[Summary Grouping]" caption="Summary Grouping" numFmtId="0" hierarchy="28" level="1">
      <sharedItems count="3">
        <s v="EBITDA"/>
        <s v="Gross Profit"/>
        <s v="Revenue"/>
      </sharedItems>
      <extLst>
        <ext xmlns:x15="http://schemas.microsoft.com/office/spreadsheetml/2010/11/main" uri="{4F2E5C28-24EA-4eb8-9CBF-B6C8F9C3D259}">
          <x15:cachedUniqueNames>
            <x15:cachedUniqueName index="0" name="[Lookup].[Summary Grouping].&amp;[EBITDA]"/>
            <x15:cachedUniqueName index="1" name="[Lookup].[Summary Grouping].&amp;[Gross Profit]"/>
            <x15:cachedUniqueName index="2" name="[Lookup].[Summary Grouping].&amp;[Revenue]"/>
          </x15:cachedUniqueNames>
        </ext>
      </extLst>
    </cacheField>
    <cacheField name="[Measures].[Actuals_Selected]" caption="Actuals_Selected" numFmtId="0" hierarchy="71" level="32767"/>
    <cacheField name="[Period].[Period].[Period]" caption="Period" numFmtId="0" hierarchy="32" level="1">
      <sharedItems containsSemiMixedTypes="0" containsNonDate="0" containsString="0"/>
    </cacheField>
    <cacheField name="[Measures].[Prior Year]" caption="Prior Year" numFmtId="0" hierarchy="81" level="32767"/>
    <cacheField name="[Measures].[Var to Prior Year ($)]" caption="Var to Prior Year ($)" numFmtId="0" hierarchy="83" level="32767"/>
    <cacheField name="[Measures].[Var to Prior Year (%)]" caption="Var to Prior Year (%)" numFmtId="0" hierarchy="85" level="32767"/>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0" memberValueDatatype="130" unbalanced="0"/>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0"/>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2"/>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oneField="1">
      <fieldsUsage count="1">
        <fieldUsage x="3"/>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4"/>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5"/>
      </fieldsUsage>
    </cacheHierarchy>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599768518" backgroundQuery="1" createdVersion="8" refreshedVersion="8" minRefreshableVersion="3" recordCount="0" supportSubquery="1" supportAdvancedDrill="1" xr:uid="{D6639551-E9D4-4A41-97F2-D5E8BC7B8534}">
  <cacheSource type="external" connectionId="16"/>
  <cacheFields count="8">
    <cacheField name="[Period].[Period].[Period]" caption="Period" numFmtId="0" hierarchy="32" level="1">
      <sharedItems containsSemiMixedTypes="0" containsNonDate="0" containsString="0"/>
    </cacheField>
    <cacheField name="[Departments].[Departments].[Departments]" caption="Departments" numFmtId="0" hierarchy="25"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Budgets_Selected]" caption="Budgets_Selected" numFmtId="0" hierarchy="72" level="32767"/>
    <cacheField name="[Measures].[Var to Budget Income ($)]" caption="Var to Budget Income ($)" numFmtId="0" hierarchy="76" level="32767"/>
    <cacheField name="[Measures].[Var to Budget (%)]" caption="Var to Budget (%)" numFmtId="0" hierarchy="77" level="32767"/>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1"/>
      </fieldsUsage>
    </cacheHierarchy>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3"/>
      </fieldsUsage>
    </cacheHierarchy>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2"/>
      </fieldsUsage>
    </cacheHierarchy>
    <cacheHierarchy uniqueName="[Measures].[Budgets_Selected]" caption="Budgets_Selected" measure="1" displayFolder="" measureGroup="Budget" count="0" oneField="1">
      <fieldsUsage count="1">
        <fieldUsage x="4"/>
      </fieldsUsage>
    </cacheHierarchy>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oneField="1">
      <fieldsUsage count="1">
        <fieldUsage x="5"/>
      </fieldsUsage>
    </cacheHierarchy>
    <cacheHierarchy uniqueName="[Measures].[Var to Budget (%)]" caption="Var to Budget (%)" measure="1" displayFolder="" measureGroup="Actuals" count="0" oneField="1">
      <fieldsUsage count="1">
        <fieldUsage x="6"/>
      </fieldsUsage>
    </cacheHierarchy>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601388888" backgroundQuery="1" createdVersion="8" refreshedVersion="8" minRefreshableVersion="3" recordCount="0" supportSubquery="1" supportAdvancedDrill="1" xr:uid="{B26E93E9-DE18-4852-8E90-A94350FFF1CC}">
  <cacheSource type="external" connectionId="16"/>
  <cacheFields count="8">
    <cacheField name="[Period].[Period].[Period]" caption="Period" numFmtId="0" hierarchy="32" level="1">
      <sharedItems containsSemiMixedTypes="0" containsNonDate="0" containsString="0"/>
    </cacheField>
    <cacheField name="[Departments].[Departments].[Departments]" caption="Departments" numFmtId="0" hierarchy="25"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Var to Prior Period ($)]" caption="Var to Prior Period ($)" numFmtId="0" hierarchy="82" level="32767"/>
    <cacheField name="[Measures].[Var to Prior Period (%)]" caption="Var to Prior Period (%)" numFmtId="0" hierarchy="84" level="32767"/>
    <cacheField name="[Measures].[Prior Period]" caption="Prior Period" numFmtId="0" hierarchy="80" level="32767"/>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1"/>
      </fieldsUsage>
    </cacheHierarchy>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3"/>
      </fieldsUsage>
    </cacheHierarchy>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2"/>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oneField="1">
      <fieldsUsage count="1">
        <fieldUsage x="6"/>
      </fieldsUsage>
    </cacheHierarchy>
    <cacheHierarchy uniqueName="[Measures].[Prior Year]" caption="Prior Year" measure="1" displayFolder="" measureGroup="Actuals" count="0"/>
    <cacheHierarchy uniqueName="[Measures].[Var to Prior Period ($)]" caption="Var to Prior Period ($)" measure="1" displayFolder="" measureGroup="Actuals" count="0" oneField="1">
      <fieldsUsage count="1">
        <fieldUsage x="4"/>
      </fieldsUsage>
    </cacheHierarchy>
    <cacheHierarchy uniqueName="[Measures].[Var to Prior Year ($)]" caption="Var to Prior Year ($)" measure="1" displayFolder="" measureGroup="Actuals" count="0"/>
    <cacheHierarchy uniqueName="[Measures].[Var to Prior Period (%)]" caption="Var to Prior Period (%)" measure="1" displayFolder="" measureGroup="Actuals" count="0" oneField="1">
      <fieldsUsage count="1">
        <fieldUsage x="5"/>
      </fieldsUsage>
    </cacheHierarchy>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603240743" backgroundQuery="1" createdVersion="8" refreshedVersion="8" minRefreshableVersion="3" recordCount="0" supportSubquery="1" supportAdvancedDrill="1" xr:uid="{67CF4186-A531-4624-9BC8-37CB9BF0D839}">
  <cacheSource type="external" connectionId="16"/>
  <cacheFields count="8">
    <cacheField name="[Period].[Period].[Period]" caption="Period" numFmtId="0" hierarchy="32" level="1">
      <sharedItems containsSemiMixedTypes="0" containsNonDate="0" containsString="0"/>
    </cacheField>
    <cacheField name="[Departments].[Departments].[Departments]" caption="Departments" numFmtId="0" hierarchy="25"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Prior Year]" caption="Prior Year" numFmtId="0" hierarchy="81" level="32767"/>
    <cacheField name="[Measures].[Var to Prior Year ($)]" caption="Var to Prior Year ($)" numFmtId="0" hierarchy="83" level="32767"/>
    <cacheField name="[Measures].[Var to Prior Year (%)]" caption="Var to Prior Year (%)" numFmtId="0" hierarchy="85" level="32767"/>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1"/>
      </fieldsUsage>
    </cacheHierarchy>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3"/>
      </fieldsUsage>
    </cacheHierarchy>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2"/>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oneField="1">
      <fieldsUsage count="1">
        <fieldUsage x="4"/>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5"/>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6"/>
      </fieldsUsage>
    </cacheHierarchy>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604166667" backgroundQuery="1" createdVersion="8" refreshedVersion="8" minRefreshableVersion="3" recordCount="0" supportSubquery="1" supportAdvancedDrill="1" xr:uid="{F2C2E30E-71B7-469A-8751-F2F2B6DB762A}">
  <cacheSource type="external" connectionId="16"/>
  <cacheFields count="8">
    <cacheField name="[Period].[Period].[Period]" caption="Period" numFmtId="0" hierarchy="32" level="1">
      <sharedItems containsSemiMixedTypes="0" containsNonDate="0" containsString="0"/>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Prior Year]" caption="Prior Year" numFmtId="0" hierarchy="81" level="32767"/>
    <cacheField name="[Measures].[Var to Prior Year ($)]" caption="Var to Prior Year ($)" numFmtId="0" hierarchy="83" level="32767"/>
    <cacheField name="[Measures].[Var to Prior Year (%)]" caption="Var to Prior Year (%)" numFmtId="0" hierarchy="85" level="32767"/>
    <cacheField name="[Lookup].[Summary Grouping].[Summary Grouping]" caption="Summary Grouping" numFmtId="0" hierarchy="28" level="1">
      <sharedItems count="4">
        <s v="Advertising"/>
        <s v="Other G&amp;A"/>
        <s v="Payroll"/>
        <s v="Professional Services"/>
      </sharedItems>
      <extLst>
        <ext xmlns:x15="http://schemas.microsoft.com/office/spreadsheetml/2010/11/main" uri="{4F2E5C28-24EA-4eb8-9CBF-B6C8F9C3D259}">
          <x15:cachedUniqueNames>
            <x15:cachedUniqueName index="0" name="[Lookup].[Summary Grouping].&amp;[Advertising]"/>
            <x15:cachedUniqueName index="1" name="[Lookup].[Summary Grouping].&amp;[Other G&amp;A]"/>
            <x15:cachedUniqueName index="2" name="[Lookup].[Summary Grouping].&amp;[Payroll]"/>
            <x15:cachedUniqueName index="3" name="[Lookup].[Summary Grouping].&amp;[Professional Services]"/>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2"/>
      </fieldsUsage>
    </cacheHierarchy>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6"/>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oneField="1">
      <fieldsUsage count="1">
        <fieldUsage x="3"/>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4"/>
      </fieldsUsage>
    </cacheHierarchy>
    <cacheHierarchy uniqueName="[Measures].[Var to Prior Period (%)]" caption="Var to Prior Period (%)" measure="1" displayFolder="" measureGroup="Actuals" count="0"/>
    <cacheHierarchy uniqueName="[Measures].[Var to Prior Year (%)]" caption="Var to Prior Year (%)" measure="1" displayFolder="" measureGroup="Actuals" count="0" oneField="1">
      <fieldsUsage count="1">
        <fieldUsage x="5"/>
      </fieldsUsage>
    </cacheHierarchy>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605092591" backgroundQuery="1" createdVersion="8" refreshedVersion="8" minRefreshableVersion="3" recordCount="0" supportSubquery="1" supportAdvancedDrill="1" xr:uid="{73C96E2D-C2FD-4933-93F9-AE6A87D23B5B}">
  <cacheSource type="external" connectionId="16"/>
  <cacheFields count="8">
    <cacheField name="[Period].[Period].[Period]" caption="Period" numFmtId="0" hierarchy="32" level="1">
      <sharedItems containsSemiMixedTypes="0" containsNonDate="0" containsString="0"/>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Var to Prior Period ($)]" caption="Var to Prior Period ($)" numFmtId="0" hierarchy="82" level="32767"/>
    <cacheField name="[Measures].[Var to Prior Period (%)]" caption="Var to Prior Period (%)" numFmtId="0" hierarchy="84" level="32767"/>
    <cacheField name="[Measures].[Prior Period]" caption="Prior Period" numFmtId="0" hierarchy="80" level="32767"/>
    <cacheField name="[Lookup].[Summary Grouping].[Summary Grouping]" caption="Summary Grouping" numFmtId="0" hierarchy="28" level="1">
      <sharedItems count="4">
        <s v="Advertising"/>
        <s v="Other G&amp;A"/>
        <s v="Payroll"/>
        <s v="Professional Services"/>
      </sharedItems>
      <extLst>
        <ext xmlns:x15="http://schemas.microsoft.com/office/spreadsheetml/2010/11/main" uri="{4F2E5C28-24EA-4eb8-9CBF-B6C8F9C3D259}">
          <x15:cachedUniqueNames>
            <x15:cachedUniqueName index="0" name="[Lookup].[Summary Grouping].&amp;[Advertising]"/>
            <x15:cachedUniqueName index="1" name="[Lookup].[Summary Grouping].&amp;[Other G&amp;A]"/>
            <x15:cachedUniqueName index="2" name="[Lookup].[Summary Grouping].&amp;[Payroll]"/>
            <x15:cachedUniqueName index="3" name="[Lookup].[Summary Grouping].&amp;[Professional Services]"/>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2"/>
      </fieldsUsage>
    </cacheHierarchy>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6"/>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oneField="1">
      <fieldsUsage count="1">
        <fieldUsage x="5"/>
      </fieldsUsage>
    </cacheHierarchy>
    <cacheHierarchy uniqueName="[Measures].[Prior Year]" caption="Prior Year" measure="1" displayFolder="" measureGroup="Actuals" count="0"/>
    <cacheHierarchy uniqueName="[Measures].[Var to Prior Period ($)]" caption="Var to Prior Period ($)" measure="1" displayFolder="" measureGroup="Actuals" count="0" oneField="1">
      <fieldsUsage count="1">
        <fieldUsage x="3"/>
      </fieldsUsage>
    </cacheHierarchy>
    <cacheHierarchy uniqueName="[Measures].[Var to Prior Year ($)]" caption="Var to Prior Year ($)" measure="1" displayFolder="" measureGroup="Actuals" count="0"/>
    <cacheHierarchy uniqueName="[Measures].[Var to Prior Period (%)]" caption="Var to Prior Period (%)" measure="1" displayFolder="" measureGroup="Actuals" count="0" oneField="1">
      <fieldsUsage count="1">
        <fieldUsage x="4"/>
      </fieldsUsage>
    </cacheHierarchy>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4606249999" backgroundQuery="1" createdVersion="8" refreshedVersion="8" minRefreshableVersion="3" recordCount="0" supportSubquery="1" supportAdvancedDrill="1" xr:uid="{4F958216-AC5B-495D-B185-E18E20465D05}">
  <cacheSource type="external" connectionId="16"/>
  <cacheFields count="8">
    <cacheField name="[Period].[Period].[Period]" caption="Period" numFmtId="0" hierarchy="32" level="1">
      <sharedItems containsSemiMixedTypes="0" containsNonDate="0" containsString="0"/>
    </cacheField>
    <cacheField name="[Measures].[Actuals_Selected]" caption="Actuals_Selected" numFmtId="0" hierarchy="71" level="32767"/>
    <cacheField name="[Lookup].[Section].[Section]" caption="Section" numFmtId="0" hierarchy="27" level="1">
      <sharedItems containsSemiMixedTypes="0" containsNonDate="0" containsString="0"/>
    </cacheField>
    <cacheField name="[Measures].[Budgets_Selected]" caption="Budgets_Selected" numFmtId="0" hierarchy="72" level="32767"/>
    <cacheField name="[Measures].[Var to Budget Income ($)]" caption="Var to Budget Income ($)" numFmtId="0" hierarchy="76" level="32767"/>
    <cacheField name="[Measures].[Var to Budget (%)]" caption="Var to Budget (%)" numFmtId="0" hierarchy="77" level="32767"/>
    <cacheField name="[Lookup].[Summary Grouping].[Summary Grouping]" caption="Summary Grouping" numFmtId="0" hierarchy="28" level="1">
      <sharedItems count="4">
        <s v="Advertising"/>
        <s v="Other G&amp;A"/>
        <s v="Payroll"/>
        <s v="Professional Services"/>
      </sharedItems>
      <extLst>
        <ext xmlns:x15="http://schemas.microsoft.com/office/spreadsheetml/2010/11/main" uri="{4F2E5C28-24EA-4eb8-9CBF-B6C8F9C3D259}">
          <x15:cachedUniqueNames>
            <x15:cachedUniqueName index="0" name="[Lookup].[Summary Grouping].&amp;[Advertising]"/>
            <x15:cachedUniqueName index="1" name="[Lookup].[Summary Grouping].&amp;[Other G&amp;A]"/>
            <x15:cachedUniqueName index="2" name="[Lookup].[Summary Grouping].&amp;[Payroll]"/>
            <x15:cachedUniqueName index="3" name="[Lookup].[Summary Grouping].&amp;[Professional Services]"/>
          </x15:cachedUniqueNames>
        </ext>
      </extLst>
    </cacheField>
    <cacheField name="[Calendar].[Year].[Year]" caption="Year" numFmtId="0" hierarchy="14" level="1">
      <sharedItems containsSemiMixedTypes="0" containsNonDate="0" containsString="0"/>
    </cacheField>
  </cacheFields>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7"/>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2" memberValueDatatype="130" unbalanced="0">
      <fieldsUsage count="2">
        <fieldUsage x="-1"/>
        <fieldUsage x="2"/>
      </fieldsUsage>
    </cacheHierarchy>
    <cacheHierarchy uniqueName="[Lookup].[Summary Grouping]" caption="Summary Grouping" attribute="1" defaultMemberUniqueName="[Lookup].[Summary Grouping].[All]" allUniqueName="[Lookup].[Summary Grouping].[All]" dimensionUniqueName="[Lookup]" displayFolder="" count="2" memberValueDatatype="130" unbalanced="0">
      <fieldsUsage count="2">
        <fieldUsage x="-1"/>
        <fieldUsage x="6"/>
      </fieldsUsage>
    </cacheHierarchy>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fieldsUsage count="2">
        <fieldUsage x="-1"/>
        <fieldUsage x="0"/>
      </fieldsUsage>
    </cacheHierarchy>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oneField="1">
      <fieldsUsage count="1">
        <fieldUsage x="1"/>
      </fieldsUsage>
    </cacheHierarchy>
    <cacheHierarchy uniqueName="[Measures].[Budgets_Selected]" caption="Budgets_Selected" measure="1" displayFolder="" measureGroup="Budget" count="0" oneField="1">
      <fieldsUsage count="1">
        <fieldUsage x="3"/>
      </fieldsUsage>
    </cacheHierarchy>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oneField="1">
      <fieldsUsage count="1">
        <fieldUsage x="4"/>
      </fieldsUsage>
    </cacheHierarchy>
    <cacheHierarchy uniqueName="[Measures].[Var to Budget (%)]" caption="Var to Budget (%)" measure="1" displayFolder="" measureGroup="Actuals" count="0" oneField="1">
      <fieldsUsage count="1">
        <fieldUsage x="5"/>
      </fieldsUsage>
    </cacheHierarchy>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dimensions count="12">
    <dimension name="Actuals" uniqueName="[Actuals]" caption="Actuals"/>
    <dimension name="Actuals  2" uniqueName="[Actuals  2]" caption="Actuals  2"/>
    <dimension name="Budget" uniqueName="[Budget]" caption="Budget"/>
    <dimension name="Calendar" uniqueName="[Calendar]" caption="Calendar"/>
    <dimension name="DatePeriod" uniqueName="[DatePeriod]" caption="DatePeriod"/>
    <dimension name="DatePeriod1" uniqueName="[DatePeriod1]" caption="DatePeriod1"/>
    <dimension name="Departments" uniqueName="[Departments]" caption="Departments"/>
    <dimension name="Lookup" uniqueName="[Lookup]" caption="Lookup"/>
    <dimension name="Lookup1" uniqueName="[Lookup1]" caption="Lookup1"/>
    <dimension measure="1" name="Measures" uniqueName="[Measures]" caption="Measures"/>
    <dimension name="Period" uniqueName="[Period]" caption="Period"/>
    <dimension name="Period1" uniqueName="[Period1]" caption="Period1"/>
  </dimensions>
  <measureGroups count="11">
    <measureGroup name="Actuals" caption="Actuals"/>
    <measureGroup name="Actuals  2" caption="Actuals  2"/>
    <measureGroup name="Budget" caption="Budget"/>
    <measureGroup name="Calendar" caption="Calendar"/>
    <measureGroup name="DatePeriod" caption="DatePeriod"/>
    <measureGroup name="DatePeriod1" caption="DatePeriod1"/>
    <measureGroup name="Departments" caption="Departments"/>
    <measureGroup name="Lookup" caption="Lookup"/>
    <measureGroup name="Lookup1" caption="Lookup1"/>
    <measureGroup name="Period" caption="Period"/>
    <measureGroup name="Period1" caption="Period1"/>
  </measureGroups>
  <maps count="17">
    <map measureGroup="0" dimension="0"/>
    <map measureGroup="0" dimension="3"/>
    <map measureGroup="0" dimension="6"/>
    <map measureGroup="0" dimension="7"/>
    <map measureGroup="1" dimension="1"/>
    <map measureGroup="2" dimension="2"/>
    <map measureGroup="2" dimension="3"/>
    <map measureGroup="2" dimension="6"/>
    <map measureGroup="2" dimension="7"/>
    <map measureGroup="3" dimension="3"/>
    <map measureGroup="4" dimension="4"/>
    <map measureGroup="5" dimension="5"/>
    <map measureGroup="6" dimension="6"/>
    <map measureGroup="7" dimension="7"/>
    <map measureGroup="8" dimension="8"/>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rly" refreshedDate="45789.763373379632" backgroundQuery="1" createdVersion="3" refreshedVersion="8" minRefreshableVersion="3" recordCount="0" supportSubquery="1" supportAdvancedDrill="1" xr:uid="{9553BDEE-E2E1-4C3F-A271-191C47D174E8}">
  <cacheSource type="external" connectionId="16">
    <extLst>
      <ext xmlns:x14="http://schemas.microsoft.com/office/spreadsheetml/2009/9/main" uri="{F057638F-6D5F-4e77-A914-E7F072B9BCA8}">
        <x14:sourceConnection name="ThisWorkbookDataModel"/>
      </ext>
    </extLst>
  </cacheSource>
  <cacheFields count="0"/>
  <cacheHierarchies count="100">
    <cacheHierarchy uniqueName="[Actuals].[Account]" caption="Account" attribute="1" defaultMemberUniqueName="[Actuals].[Account].[All]" allUniqueName="[Actuals].[Account].[All]" dimensionUniqueName="[Actuals]" displayFolder="" count="0" memberValueDatatype="130" unbalanced="0"/>
    <cacheHierarchy uniqueName="[Actuals].[Date]" caption="Date" attribute="1" time="1" defaultMemberUniqueName="[Actuals].[Date].[All]" allUniqueName="[Actuals].[Date].[All]" dimensionUniqueName="[Actuals]" displayFolder="" count="0" memberValueDatatype="7" unbalanced="0"/>
    <cacheHierarchy uniqueName="[Actuals].[Wert]" caption="Wert" attribute="1" defaultMemberUniqueName="[Actuals].[Wert].[All]" allUniqueName="[Actuals].[Wert].[All]" dimensionUniqueName="[Actuals]" displayFolder="" count="0" memberValueDatatype="5" unbalanced="0"/>
    <cacheHierarchy uniqueName="[Actuals].[Department]" caption="Department" attribute="1" defaultMemberUniqueName="[Actuals].[Department].[All]" allUniqueName="[Actuals].[Department].[All]" dimensionUniqueName="[Actuals]" displayFolder="" count="0" memberValueDatatype="130" unbalanced="0"/>
    <cacheHierarchy uniqueName="[Actuals  2].[Account]" caption="Account" attribute="1" defaultMemberUniqueName="[Actuals  2].[Account].[All]" allUniqueName="[Actuals  2].[Account].[All]" dimensionUniqueName="[Actuals  2]" displayFolder="" count="0" memberValueDatatype="130" unbalanced="0"/>
    <cacheHierarchy uniqueName="[Actuals  2].[Date]" caption="Date" attribute="1" time="1" defaultMemberUniqueName="[Actuals  2].[Date].[All]" allUniqueName="[Actuals  2].[Date].[All]" dimensionUniqueName="[Actuals  2]" displayFolder="" count="0" memberValueDatatype="7" unbalanced="0"/>
    <cacheHierarchy uniqueName="[Actuals  2].[Wert]" caption="Wert" attribute="1" defaultMemberUniqueName="[Actuals  2].[Wert].[All]" allUniqueName="[Actuals  2].[Wert].[All]" dimensionUniqueName="[Actuals  2]" displayFolder="" count="0" memberValueDatatype="5" unbalanced="0"/>
    <cacheHierarchy uniqueName="[Actuals  2].[Department]" caption="Department" attribute="1" defaultMemberUniqueName="[Actuals  2].[Department].[All]" allUniqueName="[Actuals  2].[Department].[All]" dimensionUniqueName="[Actuals  2]" displayFolder="" count="0" memberValueDatatype="130" unbalanced="0"/>
    <cacheHierarchy uniqueName="[Budget].[Account]" caption="Account" attribute="1" defaultMemberUniqueName="[Budget].[Account].[All]" allUniqueName="[Budget].[Account].[All]" dimensionUniqueName="[Budget]" displayFolder="" count="0" memberValueDatatype="130" unbalanced="0"/>
    <cacheHierarchy uniqueName="[Budget].[Date]" caption="Date" attribute="1" time="1" defaultMemberUniqueName="[Budget].[Date].[All]" allUniqueName="[Budget].[Date].[All]" dimensionUniqueName="[Budget]" displayFolder="" count="0" memberValueDatatype="7" unbalanced="0"/>
    <cacheHierarchy uniqueName="[Budget].[Wert]" caption="Wert" attribute="1" defaultMemberUniqueName="[Budget].[Wert].[All]" allUniqueName="[Budget].[Wert].[All]" dimensionUniqueName="[Budget]" displayFolder="" count="0" memberValueDatatype="5" unbalanced="0"/>
    <cacheHierarchy uniqueName="[Budget].[Department]" caption="Department" attribute="1" defaultMemberUniqueName="[Budget].[Department].[All]" allUniqueName="[Budget].[Department].[All]" dimensionUniqueName="[Budge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End of Month]" caption="End of Month" attribute="1" time="1" defaultMemberUniqueName="[Calendar].[End of Month].[All]" allUniqueName="[Calendar].[End of Month].[All]" dimensionUniqueName="[Calendar]" displayFolder="" count="0" memberValueDatatype="7" unbalanced="0"/>
    <cacheHierarchy uniqueName="[Calendar].[MMM-YY]" caption="MMM-YY" attribute="1" time="1" defaultMemberUniqueName="[Calendar].[MMM-YY].[All]" allUniqueName="[Calendar].[MMM-YY].[All]" dimensionUniqueName="[Calendar]" displayFolder="" count="0" memberValueDatatype="130" unbalanced="0"/>
    <cacheHierarchy uniqueName="[DatePeriod].[Period]" caption="Period" attribute="1" defaultMemberUniqueName="[DatePeriod].[Period].[All]" allUniqueName="[DatePeriod].[Period].[All]" dimensionUniqueName="[DatePeriod]" displayFolder="" count="0" memberValueDatatype="130" unbalanced="0"/>
    <cacheHierarchy uniqueName="[DatePeriod].[Date]" caption="Date" attribute="1" time="1" defaultMemberUniqueName="[DatePeriod].[Date].[All]" allUniqueName="[DatePeriod].[Date].[All]" dimensionUniqueName="[DatePeriod]" displayFolder="" count="0" memberValueDatatype="7" unbalanced="0"/>
    <cacheHierarchy uniqueName="[DatePeriod1].[Period]" caption="Period" attribute="1" defaultMemberUniqueName="[DatePeriod1].[Period].[All]" allUniqueName="[DatePeriod1].[Period].[All]" dimensionUniqueName="[DatePeriod1]" displayFolder="" count="0" memberValueDatatype="130" unbalanced="0"/>
    <cacheHierarchy uniqueName="[DatePeriod1].[Date]" caption="Date" attribute="1" time="1" defaultMemberUniqueName="[DatePeriod1].[Date].[All]" allUniqueName="[DatePeriod1].[Date].[All]" dimensionUniqueName="[DatePeriod1]" displayFolder="" count="0" memberValueDatatype="7"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Lookup].[Account]" caption="Account" attribute="1" defaultMemberUniqueName="[Lookup].[Account].[All]" allUniqueName="[Lookup].[Account].[All]" dimensionUniqueName="[Lookup]" displayFolder="" count="0" memberValueDatatype="130" unbalanced="0"/>
    <cacheHierarchy uniqueName="[Lookup].[Section]" caption="Section" attribute="1" defaultMemberUniqueName="[Lookup].[Section].[All]" allUniqueName="[Lookup].[Section].[All]" dimensionUniqueName="[Lookup]" displayFolder="" count="0" memberValueDatatype="130" unbalanced="0"/>
    <cacheHierarchy uniqueName="[Lookup].[Summary Grouping]" caption="Summary Grouping" attribute="1" defaultMemberUniqueName="[Lookup].[Summary Grouping].[All]" allUniqueName="[Lookup].[Summary Grouping].[All]" dimensionUniqueName="[Lookup]" displayFolder="" count="0" memberValueDatatype="130" unbalanced="0"/>
    <cacheHierarchy uniqueName="[Lookup1].[Account]" caption="Account" attribute="1" defaultMemberUniqueName="[Lookup1].[Account].[All]" allUniqueName="[Lookup1].[Account].[All]" dimensionUniqueName="[Lookup1]" displayFolder="" count="0" memberValueDatatype="130" unbalanced="0"/>
    <cacheHierarchy uniqueName="[Lookup1].[Section]" caption="Section" attribute="1" defaultMemberUniqueName="[Lookup1].[Section].[All]" allUniqueName="[Lookup1].[Section].[All]" dimensionUniqueName="[Lookup1]" displayFolder="" count="0" memberValueDatatype="130" unbalanced="0"/>
    <cacheHierarchy uniqueName="[Lookup1].[Summary Grouping]" caption="Summary Grouping" attribute="1" defaultMemberUniqueName="[Lookup1].[Summary Grouping].[All]" allUniqueName="[Lookup1].[Summary Grouping].[All]" dimensionUniqueName="[Lookup1]" displayFolder="" count="0" memberValueDatatype="130" unbalanced="0"/>
    <cacheHierarchy uniqueName="[Period].[Period]" caption="Period" attribute="1" defaultMemberUniqueName="[Period].[Period].[All]" allUniqueName="[Period].[Period].[All]" dimensionUniqueName="[Period]" displayFolder="" count="2" memberValueDatatype="130" unbalanced="0"/>
    <cacheHierarchy uniqueName="[Period1].[Period]" caption="Period" attribute="1" defaultMemberUniqueName="[Period1].[Period].[All]" allUniqueName="[Period1].[Period].[All]" dimensionUniqueName="[Period1]" displayFolder="" count="0" memberValueDatatype="130" unbalanced="0"/>
    <cacheHierarchy uniqueName="[Calendar].[MMM YYYY (Monatsindex)]" caption="MMM YYYY (Monatsindex)" attribute="1" time="1" defaultMemberUniqueName="[Calendar].[MMM YYYY (Monatsindex)].[All]" allUniqueName="[Calendar].[MMM YYYY (Monatsindex)].[All]" dimensionUniqueName="[Calendar]" displayFolder="" count="0" memberValueDatatype="20" unbalanced="0" hidden="1"/>
    <cacheHierarchy uniqueName="[Measures].[2023_Actuals]" caption="2023_Actuals" measure="1" displayFolder="" measureGroup="Actuals" count="0"/>
    <cacheHierarchy uniqueName="[Measures].[2024_Actuals]" caption="2024_Actuals" measure="1" displayFolder="" measureGroup="Actuals" count="0"/>
    <cacheHierarchy uniqueName="[Measures].[2025_Actuals]" caption="2025_Actuals" measure="1" displayFolder="" measureGroup="Actuals" count="0"/>
    <cacheHierarchy uniqueName="[Measures].[YTD_Actuals]" caption="YTD_Actuals" measure="1" displayFolder="" measureGroup="Actuals" count="0"/>
    <cacheHierarchy uniqueName="[Measures].[Current Month_Actuals]" caption="Current Month_Actuals" measure="1" displayFolder="" measureGroup="Actuals" count="0"/>
    <cacheHierarchy uniqueName="[Measures].[Trailing 3 Mo_Actuals]" caption="Trailing 3 Mo_Actuals" measure="1" displayFolder="" measureGroup="Actuals" count="0"/>
    <cacheHierarchy uniqueName="[Measures].[Trailing 6 Mo_Actuals]" caption="Trailing 6 Mo_Actuals" measure="1" displayFolder="" measureGroup="Actuals" count="0"/>
    <cacheHierarchy uniqueName="[Measures].[Trailing 12 Mo_Actuals]" caption="Trailing 12 Mo_Actuals" measure="1" displayFolder="" measureGroup="Actuals" count="0"/>
    <cacheHierarchy uniqueName="[Measures].[Trailing 12 Mo_Budget]" caption="Trailing 12 Mo_Budget" measure="1" displayFolder="" measureGroup="Budget" count="0"/>
    <cacheHierarchy uniqueName="[Measures].[Trailing 6 Mo_Budget]" caption="Trailing 6 Mo_Budget" measure="1" displayFolder="" measureGroup="Budget" count="0"/>
    <cacheHierarchy uniqueName="[Measures].[Trailing 3 Mo_Budget]" caption="Trailing 3 Mo_Budget" measure="1" displayFolder="" measureGroup="Budget" count="0"/>
    <cacheHierarchy uniqueName="[Measures].[YTD_Budget]" caption="YTD_Budget" measure="1" displayFolder="" measureGroup="Budget" count="0"/>
    <cacheHierarchy uniqueName="[Measures].[Current Month_Budget]" caption="Current Month_Budget" measure="1" displayFolder="" measureGroup="Budget" count="0"/>
    <cacheHierarchy uniqueName="[Measures].[2023_Budget]" caption="2023_Budget" measure="1" displayFolder="" measureGroup="Budget" count="0"/>
    <cacheHierarchy uniqueName="[Measures].[2024_Budget]" caption="2024_Budget" measure="1" displayFolder="" measureGroup="Budget" count="0"/>
    <cacheHierarchy uniqueName="[Measures].[2025_Budget]" caption="2025_Budget" measure="1" displayFolder="" measureGroup="Budget" count="0"/>
    <cacheHierarchy uniqueName="[Measures].[Prior Period Current Month_Budget]" caption="Prior Period Current Month_Budget" measure="1" displayFolder="" measureGroup="Budget" count="0"/>
    <cacheHierarchy uniqueName="[Measures].[Prior Year Current Month_Actuals]" caption="Prior Year Current Month_Actuals" measure="1" displayFolder="" measureGroup="Actuals" count="0"/>
    <cacheHierarchy uniqueName="[Measures].[Prior Period Trailing 3 Mo_Actuals]" caption="Prior Period Trailing 3 Mo_Actuals" measure="1" displayFolder="" measureGroup="Actuals" count="0"/>
    <cacheHierarchy uniqueName="[Measures].[Prior Year Trailing 3 Mo_Actuals]" caption="Prior Year Trailing 3 Mo_Actuals" measure="1" displayFolder="" measureGroup="Actuals" count="0"/>
    <cacheHierarchy uniqueName="[Measures].[Prior Period Trailing 6 Mo_Actuals]" caption="Prior Period Trailing 6 Mo_Actuals" measure="1" displayFolder="" measureGroup="Actuals" count="0"/>
    <cacheHierarchy uniqueName="[Measures].[Prior Year Trailing 6 Mo_Actuals]" caption="Prior Year Trailing 6 Mo_Actuals" measure="1" displayFolder="" measureGroup="Actuals" count="0"/>
    <cacheHierarchy uniqueName="[Measures].[Prior Year Trailing 12 Mo_Actuals]" caption="Prior Year Trailing 12 Mo_Actuals" measure="1" displayFolder="" measureGroup="Actuals" count="0"/>
    <cacheHierarchy uniqueName="[Measures].[Prior Period Trailing 12 Mo_Actuals]" caption="Prior Period Trailing 12 Mo_Actuals" measure="1" displayFolder="" measureGroup="Actuals" count="0"/>
    <cacheHierarchy uniqueName="[Measures].[Prior Period YTD_Actuals]" caption="Prior Period YTD_Actuals" measure="1" displayFolder="" measureGroup="Actuals" count="0"/>
    <cacheHierarchy uniqueName="[Measures].[Prior Year YTD_Actuals]" caption="Prior Year YTD_Actuals" measure="1" displayFolder="" measureGroup="Actuals" count="0"/>
    <cacheHierarchy uniqueName="[Measures].[Prior Period Current Month_Actuals]" caption="Prior Period Current Month_Actuals" measure="1" displayFolder="" measureGroup="Actuals" count="0"/>
    <cacheHierarchy uniqueName="[Measures].[Prior Period Trailing 3 Mo_Budget]" caption="Prior Period Trailing 3 Mo_Budget" measure="1" displayFolder="" measureGroup="Budget" count="0"/>
    <cacheHierarchy uniqueName="[Measures].[Prior Period Trailing 6 Mo_Budget]" caption="Prior Period Trailing 6 Mo_Budget" measure="1" displayFolder="" measureGroup="Budget" count="0"/>
    <cacheHierarchy uniqueName="[Measures].[Prior Period YTD_Budget]" caption="Prior Period YTD_Budget" measure="1" displayFolder="" measureGroup="Budget" count="0"/>
    <cacheHierarchy uniqueName="[Measures].[Prior Period Trailing 12 Mo_Budget]" caption="Prior Period Trailing 12 Mo_Budget" measure="1" displayFolder="" measureGroup="Budget" count="0"/>
    <cacheHierarchy uniqueName="[Measures].[Prior Year Current Month_Budget]" caption="Prior Year Current Month_Budget" measure="1" displayFolder="" measureGroup="Budget" count="0"/>
    <cacheHierarchy uniqueName="[Measures].[Prior Year Trailing 12 Mo_Budget]" caption="Prior Year Trailing 12 Mo_Budget" measure="1" displayFolder="" measureGroup="Budget" count="0"/>
    <cacheHierarchy uniqueName="[Measures].[Prior Year Trailing 3 Mo_Budget]" caption="Prior Year Trailing 3 Mo_Budget" measure="1" displayFolder="" measureGroup="Budget" count="0"/>
    <cacheHierarchy uniqueName="[Measures].[Prior Year Trailing 6 Mo_Budget]" caption="Prior Year Trailing 6 Mo_Budget" measure="1" displayFolder="" measureGroup="Budget" count="0"/>
    <cacheHierarchy uniqueName="[Measures].[SelectedView]" caption="SelectedView" measure="1" displayFolder="" measureGroup="Period" count="0"/>
    <cacheHierarchy uniqueName="[Measures].[Actuals_Selected]" caption="Actuals_Selected" measure="1" displayFolder="" measureGroup="Actuals" count="0"/>
    <cacheHierarchy uniqueName="[Measures].[Budgets_Selected]" caption="Budgets_Selected" measure="1" displayFolder="" measureGroup="Budget" count="0"/>
    <cacheHierarchy uniqueName="[Measures].[Revenue]" caption="Revenue" measure="1" displayFolder="" measureGroup="Actuals" count="0"/>
    <cacheHierarchy uniqueName="[Measures].[Gross Profit]" caption="Gross Profit" measure="1" displayFolder="" measureGroup="Actuals" count="0"/>
    <cacheHierarchy uniqueName="[Measures].[Gross Margin]" caption="Gross Margin" measure="1" displayFolder="" measureGroup="Actuals" count="0"/>
    <cacheHierarchy uniqueName="[Measures].[Var to Budget Income ($)]" caption="Var to Budget Income ($)" measure="1" displayFolder="" measureGroup="Actuals" count="0"/>
    <cacheHierarchy uniqueName="[Measures].[Var to Budget (%)]" caption="Var to Budget (%)" measure="1" displayFolder="" measureGroup="Actuals" count="0"/>
    <cacheHierarchy uniqueName="[Measures].[Var to Budget Expense ($)]" caption="Var to Budget Expense ($)" measure="1" displayFolder="" measureGroup="Actuals" count="0"/>
    <cacheHierarchy uniqueName="[Measures].[Var to Budget Expense (%)]" caption="Var to Budget Expense (%)" measure="1" displayFolder="" measureGroup="Actuals" count="0"/>
    <cacheHierarchy uniqueName="[Measures].[Prior Period]" caption="Prior Period" measure="1" displayFolder="" measureGroup="Actuals" count="0"/>
    <cacheHierarchy uniqueName="[Measures].[Prior Year]" caption="Prior Year"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Var to Prior Period (%)]" caption="Var to Prior Period (%)" measure="1" displayFolder="" measureGroup="Actuals" count="0"/>
    <cacheHierarchy uniqueName="[Measures].[Var to Prior Year (%)]" caption="Var to Prior Year (%)" measure="1" displayFolder="" measureGroup="Actuals" count="0"/>
    <cacheHierarchy uniqueName="[Measures].[__XL_Count Actuals]" caption="__XL_Count Actuals" measure="1" displayFolder="" measureGroup="Actuals" count="0" hidden="1"/>
    <cacheHierarchy uniqueName="[Measures].[__XL_Count Budget]" caption="__XL_Count Budget" measure="1" displayFolder="" measureGroup="Budget" count="0" hidden="1"/>
    <cacheHierarchy uniqueName="[Measures].[__XL_Count Calendar]" caption="__XL_Count Calendar" measure="1" displayFolder="" measureGroup="Calendar" count="0" hidden="1"/>
    <cacheHierarchy uniqueName="[Measures].[__XL_Count Departments]" caption="__XL_Count Departments" measure="1" displayFolder="" measureGroup="Departments" count="0" hidden="1"/>
    <cacheHierarchy uniqueName="[Measures].[__XL_Count Period]" caption="__XL_Count Period" measure="1" displayFolder="" measureGroup="Period" count="0" hidden="1"/>
    <cacheHierarchy uniqueName="[Measures].[__XL_Count Lookup]" caption="__XL_Count Lookup" measure="1" displayFolder="" measureGroup="Lookup" count="0" hidden="1"/>
    <cacheHierarchy uniqueName="[Measures].[__XL_Count DatePeriod]" caption="__XL_Count DatePeriod" measure="1" displayFolder="" measureGroup="DatePeriod" count="0" hidden="1"/>
    <cacheHierarchy uniqueName="[Measures].[__XL_Count Lookup1]" caption="__XL_Count Lookup1" measure="1" displayFolder="" measureGroup="Lookup1" count="0" hidden="1"/>
    <cacheHierarchy uniqueName="[Measures].[__XL_Count Period1]" caption="__XL_Count Period1" measure="1" displayFolder="" measureGroup="Period1" count="0" hidden="1"/>
    <cacheHierarchy uniqueName="[Measures].[__XL_Count DatePeriod1]" caption="__XL_Count DatePeriod1" measure="1" displayFolder="" measureGroup="DatePeriod1" count="0" hidden="1"/>
    <cacheHierarchy uniqueName="[Measures].[__XL_Count Actuals  2]" caption="__XL_Count Actuals  2" measure="1" displayFolder="" measureGroup="Actuals  2" count="0" hidden="1"/>
    <cacheHierarchy uniqueName="[Measures].[__No measures defined]" caption="__No measures defined" measure="1" displayFolder="" count="0" hidden="1"/>
    <cacheHierarchy uniqueName="[Measures].[Summe von Wert]" caption="Summe von Wert" measure="1" displayFolder="" measureGroup="Actuals" count="0" hidden="1">
      <extLst>
        <ext xmlns:x15="http://schemas.microsoft.com/office/spreadsheetml/2010/11/main" uri="{B97F6D7D-B522-45F9-BDA1-12C45D357490}">
          <x15:cacheHierarchy aggregatedColumn="2"/>
        </ext>
      </extLst>
    </cacheHierarchy>
    <cacheHierarchy uniqueName="[Measures].[Summe von Wert 2]" caption="Summe von Wert 2" measure="1" displayFolder="" measureGroup="Budget"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9015649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B7CB1A-E692-42C3-9C15-9CF5C286829B}" name="PivotTable7" cacheId="705" applyNumberFormats="0" applyBorderFormats="0" applyFontFormats="0" applyPatternFormats="0" applyAlignmentFormats="0" applyWidthHeightFormats="1" dataCaption="Werte" tag="1bf67369-820b-4f9c-9a13-1a351b8eaddb" updatedVersion="8" minRefreshableVersion="3" useAutoFormatting="1" subtotalHiddenItems="1" itemPrintTitles="1" createdVersion="8" indent="0" outline="1" outlineData="1" multipleFieldFilters="0" rowHeaderCaption="PYvA">
  <location ref="E47:I51" firstHeaderRow="0" firstDataRow="1" firstDataCol="1"/>
  <pivotFields count="6">
    <pivotField axis="axisRow" allDrilled="1" subtotalTop="0" showAll="0" sortType="descending" defaultSubtotal="0" defaultAttributeDrillState="1">
      <items count="3">
        <item s="1" x="2"/>
        <item s="1" x="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4">
    <i>
      <x/>
    </i>
    <i i="1">
      <x v="1"/>
    </i>
    <i i="2">
      <x v="2"/>
    </i>
    <i i="3">
      <x v="3"/>
    </i>
  </colItems>
  <dataFields count="4">
    <dataField fld="3" subtotal="count" baseField="0" baseItem="0"/>
    <dataField fld="1" subtotal="count" baseField="0" baseItem="0" numFmtId="37"/>
    <dataField name="▲" fld="4" subtotal="count" baseField="0" baseItem="0"/>
    <dataField name="%" fld="5"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okup]"/>
        <x15:activeTabTopLevelEntity name="[Actuals]"/>
        <x15:activeTabTopLevelEntity name="[Budget]"/>
        <x15:activeTabTopLevelEntity name="[Perio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65716D-DE1A-4575-B681-8B31FF7CB3AD}" name="PivotTable11" cacheId="723" applyNumberFormats="0" applyBorderFormats="0" applyFontFormats="0" applyPatternFormats="0" applyAlignmentFormats="0" applyWidthHeightFormats="1" dataCaption="Werte" tag="05c39760-72c3-4fb4-a725-ef4b8ac950ed" updatedVersion="8" minRefreshableVersion="3" useAutoFormatting="1" subtotalHiddenItems="1" colGrandTotals="0" itemPrintTitles="1" createdVersion="8" indent="0" outline="1" outlineData="1" multipleFieldFilters="0" chartFormat="8">
  <location ref="R62:V67" firstHeaderRow="0" firstDataRow="1" firstDataCol="1" rowPageCount="1" colPageCount="1"/>
  <pivotFields count="8">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5">
    <i>
      <x/>
    </i>
    <i>
      <x v="1"/>
    </i>
    <i>
      <x v="2"/>
    </i>
    <i>
      <x v="3"/>
    </i>
    <i t="grand">
      <x/>
    </i>
  </rowItems>
  <colFields count="1">
    <field x="-2"/>
  </colFields>
  <colItems count="4">
    <i>
      <x/>
    </i>
    <i i="1">
      <x v="1"/>
    </i>
    <i i="2">
      <x v="2"/>
    </i>
    <i i="3">
      <x v="3"/>
    </i>
  </colItems>
  <pageFields count="1">
    <pageField fld="2" hier="27" name="[Lookup].[Section].&amp;[Expenses]" cap="Expenses"/>
  </pageFields>
  <dataFields count="4">
    <dataField fld="3" subtotal="count" baseField="0" baseItem="0" numFmtId="37"/>
    <dataField name="Actuals_Selected" fld="1" subtotal="count" baseField="0" baseItem="0" numFmtId="171"/>
    <dataField fld="4" subtotal="count" baseField="0" baseItem="0"/>
    <dataField fld="5" subtotal="count" baseField="0" baseItem="0"/>
  </dataFields>
  <chartFormats count="2">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574D81-61B4-44F0-83DA-ED3BF05056B8}" name="Expenses_Group_Period" cacheId="690" applyNumberFormats="0" applyBorderFormats="0" applyFontFormats="0" applyPatternFormats="0" applyAlignmentFormats="0" applyWidthHeightFormats="1" dataCaption="Werte" tag="8243186f-773c-4694-a189-116c77bccc1a" updatedVersion="8" minRefreshableVersion="3" useAutoFormatting="1" subtotalHiddenItems="1" rowGrandTotals="0" colGrandTotals="0" itemPrintTitles="1" createdVersion="8" indent="0" outline="1" outlineData="1" multipleFieldFilters="0" chartFormat="7">
  <location ref="R9:V22" firstHeaderRow="1" firstDataRow="2" firstDataCol="1" rowPageCount="1" colPageCount="1"/>
  <pivotFields count="6">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2" hier="27" name="[Lookup].[Section].&amp;[Expenses]" cap="Expenses"/>
  </pageFields>
  <dataFields count="1">
    <dataField name="Actuals_Selected" fld="1" subtotal="count" baseField="0" baseItem="0" numFmtId="171"/>
  </dataFields>
  <chartFormats count="4">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34999C-BE6D-44E1-8FBB-CC5D7F918043}" name="PivotTable10" cacheId="720" applyNumberFormats="0" applyBorderFormats="0" applyFontFormats="0" applyPatternFormats="0" applyAlignmentFormats="0" applyWidthHeightFormats="1" dataCaption="Werte" tag="d64dd170-a3df-4cd4-832f-4472b6e5e770" updatedVersion="8" minRefreshableVersion="3" useAutoFormatting="1" subtotalHiddenItems="1" colGrandTotals="0" itemPrintTitles="1" createdVersion="8" indent="0" outline="1" outlineData="1" multipleFieldFilters="0" chartFormat="8">
  <location ref="R72:V77" firstHeaderRow="0" firstDataRow="1" firstDataCol="1" rowPageCount="1" colPageCount="1"/>
  <pivotFields count="8">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5">
    <i>
      <x/>
    </i>
    <i>
      <x v="1"/>
    </i>
    <i>
      <x v="2"/>
    </i>
    <i>
      <x v="3"/>
    </i>
    <i t="grand">
      <x/>
    </i>
  </rowItems>
  <colFields count="1">
    <field x="-2"/>
  </colFields>
  <colItems count="4">
    <i>
      <x/>
    </i>
    <i i="1">
      <x v="1"/>
    </i>
    <i i="2">
      <x v="2"/>
    </i>
    <i i="3">
      <x v="3"/>
    </i>
  </colItems>
  <pageFields count="1">
    <pageField fld="2" hier="27" name="[Lookup].[Section].&amp;[Expenses]" cap="Expenses"/>
  </pageFields>
  <dataFields count="4">
    <dataField fld="5" subtotal="count" baseField="0" baseItem="0"/>
    <dataField name="Actuals_Selected" fld="1" subtotal="count" baseField="0" baseItem="0" numFmtId="171"/>
    <dataField fld="3" subtotal="count" baseField="0" baseItem="0"/>
    <dataField fld="4" subtotal="count" baseField="0" baseItem="0"/>
  </dataFields>
  <chartFormats count="2">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D6B3F4-244D-4B0E-99F4-C9863B069CDE}" name="PivotTable4" cacheId="711" applyNumberFormats="0" applyBorderFormats="0" applyFontFormats="0" applyPatternFormats="0" applyAlignmentFormats="0" applyWidthHeightFormats="1" dataCaption="Werte" tag="95397580-647e-4a45-a2bb-b19009a2fb12" updatedVersion="8" minRefreshableVersion="3" useAutoFormatting="1" subtotalHiddenItems="1" colGrandTotals="0" itemPrintTitles="1" createdVersion="8" indent="0" outline="1" outlineData="1" multipleFieldFilters="0" chartFormat="8">
  <location ref="E72:I77" firstHeaderRow="0" firstDataRow="1" firstDataCol="1" rowPageCount="1" colPageCount="1"/>
  <pivotFields count="8">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i="1">
      <x v="1"/>
    </i>
    <i i="2">
      <x v="2"/>
    </i>
    <i i="3">
      <x v="3"/>
    </i>
  </colItems>
  <pageFields count="1">
    <pageField fld="3" hier="27" name="[Lookup].[Section].&amp;[Expenses]" cap="Expenses"/>
  </pageFields>
  <dataFields count="4">
    <dataField fld="6" subtotal="count" baseField="0" baseItem="0"/>
    <dataField name="Actuals_Selected" fld="2" subtotal="count" baseField="0" baseItem="0" numFmtId="171"/>
    <dataField fld="4" subtotal="count" baseField="0" baseItem="0"/>
    <dataField fld="5" subtotal="count" baseField="0" baseItem="0"/>
  </dataFields>
  <chartFormats count="10">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 count="1" selected="0">
            <x v="0"/>
          </reference>
        </references>
      </pivotArea>
    </chartFormat>
    <chartFormat chart="2" format="3">
      <pivotArea type="data" outline="0" fieldPosition="0">
        <references count="2">
          <reference field="4294967294" count="1" selected="0">
            <x v="1"/>
          </reference>
          <reference field="1" count="1" selected="0">
            <x v="1"/>
          </reference>
        </references>
      </pivotArea>
    </chartFormat>
    <chartFormat chart="2" format="4">
      <pivotArea type="data" outline="0" fieldPosition="0">
        <references count="2">
          <reference field="4294967294" count="1" selected="0">
            <x v="1"/>
          </reference>
          <reference field="1" count="1" selected="0">
            <x v="2"/>
          </reference>
        </references>
      </pivotArea>
    </chartFormat>
    <chartFormat chart="2" format="5">
      <pivotArea type="data" outline="0" fieldPosition="0">
        <references count="2">
          <reference field="4294967294" count="1" selected="0">
            <x v="1"/>
          </reference>
          <reference field="1" count="1" selected="0">
            <x v="3"/>
          </reference>
        </references>
      </pivotArea>
    </chartFormat>
    <chartFormat chart="4" format="6" series="1">
      <pivotArea type="data" outline="0" fieldPosition="0">
        <references count="1">
          <reference field="4294967294" count="1" selected="0">
            <x v="1"/>
          </reference>
        </references>
      </pivotArea>
    </chartFormat>
    <chartFormat chart="4" format="7">
      <pivotArea type="data" outline="0" fieldPosition="0">
        <references count="2">
          <reference field="4294967294" count="1" selected="0">
            <x v="1"/>
          </reference>
          <reference field="1" count="1" selected="0">
            <x v="0"/>
          </reference>
        </references>
      </pivotArea>
    </chartFormat>
    <chartFormat chart="4" format="8">
      <pivotArea type="data" outline="0" fieldPosition="0">
        <references count="2">
          <reference field="4294967294" count="1" selected="0">
            <x v="1"/>
          </reference>
          <reference field="1" count="1" selected="0">
            <x v="1"/>
          </reference>
        </references>
      </pivotArea>
    </chartFormat>
    <chartFormat chart="4" format="9">
      <pivotArea type="data" outline="0" fieldPosition="0">
        <references count="2">
          <reference field="4294967294" count="1" selected="0">
            <x v="1"/>
          </reference>
          <reference field="1" count="1" selected="0">
            <x v="2"/>
          </reference>
        </references>
      </pivotArea>
    </chartFormat>
    <chartFormat chart="4" format="10">
      <pivotArea type="data" outline="0" fieldPosition="0">
        <references count="2">
          <reference field="4294967294" count="1" selected="0">
            <x v="1"/>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17DE1A-99B1-44B1-9C97-A5E7AE1ED89A}" name="PivotTable9" cacheId="717" applyNumberFormats="0" applyBorderFormats="0" applyFontFormats="0" applyPatternFormats="0" applyAlignmentFormats="0" applyWidthHeightFormats="1" dataCaption="Werte" tag="0979a34b-c0ca-43d9-be4f-4501fedc5009" updatedVersion="8" minRefreshableVersion="3" useAutoFormatting="1" subtotalHiddenItems="1" colGrandTotals="0" itemPrintTitles="1" createdVersion="8" indent="0" outline="1" outlineData="1" multipleFieldFilters="0" chartFormat="8">
  <location ref="R82:V87" firstHeaderRow="0" firstDataRow="1" firstDataCol="1" rowPageCount="1" colPageCount="1"/>
  <pivotFields count="8">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5">
    <i>
      <x/>
    </i>
    <i>
      <x v="1"/>
    </i>
    <i>
      <x v="2"/>
    </i>
    <i>
      <x v="3"/>
    </i>
    <i t="grand">
      <x/>
    </i>
  </rowItems>
  <colFields count="1">
    <field x="-2"/>
  </colFields>
  <colItems count="4">
    <i>
      <x/>
    </i>
    <i i="1">
      <x v="1"/>
    </i>
    <i i="2">
      <x v="2"/>
    </i>
    <i i="3">
      <x v="3"/>
    </i>
  </colItems>
  <pageFields count="1">
    <pageField fld="2" hier="27" name="[Lookup].[Section].&amp;[Expenses]" cap="Expenses"/>
  </pageFields>
  <dataFields count="4">
    <dataField fld="3" subtotal="count" baseField="0" baseItem="0"/>
    <dataField name="Actuals_Selected" fld="1" subtotal="count" baseField="0" baseItem="0" numFmtId="171"/>
    <dataField fld="4" subtotal="count" baseField="0" baseItem="0"/>
    <dataField fld="5" subtotal="count" baseField="0" baseItem="0"/>
  </dataFields>
  <chartFormats count="2">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0D8D28-B69F-4481-85A1-13492CE7A724}" name="Expenses_Dept_Period" cacheId="687" applyNumberFormats="0" applyBorderFormats="0" applyFontFormats="0" applyPatternFormats="0" applyAlignmentFormats="0" applyWidthHeightFormats="1" dataCaption="Werte" tag="6295fd4a-0641-4c67-8d55-b68a390587fe" updatedVersion="8" minRefreshableVersion="3" useAutoFormatting="1" subtotalHiddenItems="1" rowGrandTotals="0" colGrandTotals="0" itemPrintTitles="1" createdVersion="8" indent="0" outline="1" outlineData="1" multipleFieldFilters="0" chartFormat="4">
  <location ref="E9:I22" firstHeaderRow="1" firstDataRow="2" firstDataCol="1" rowPageCount="1" colPageCount="1"/>
  <pivotFields count="6">
    <pivotField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4"/>
  </rowFields>
  <rowItems count="12">
    <i>
      <x/>
    </i>
    <i>
      <x v="1"/>
    </i>
    <i>
      <x v="2"/>
    </i>
    <i>
      <x v="3"/>
    </i>
    <i>
      <x v="4"/>
    </i>
    <i>
      <x v="5"/>
    </i>
    <i>
      <x v="6"/>
    </i>
    <i>
      <x v="7"/>
    </i>
    <i>
      <x v="8"/>
    </i>
    <i>
      <x v="9"/>
    </i>
    <i>
      <x v="10"/>
    </i>
    <i>
      <x v="11"/>
    </i>
  </rowItems>
  <colFields count="1">
    <field x="1"/>
  </colFields>
  <colItems count="4">
    <i>
      <x/>
    </i>
    <i>
      <x v="1"/>
    </i>
    <i>
      <x v="2"/>
    </i>
    <i>
      <x v="3"/>
    </i>
  </colItems>
  <pageFields count="1">
    <pageField fld="3" hier="27" name="[Lookup].[Section].&amp;[Expenses]" cap="Expenses"/>
  </pageFields>
  <dataFields count="1">
    <dataField name="Actuals_Selected" fld="2" subtotal="count" baseField="0" baseItem="0" numFmtId="171"/>
  </dataFields>
  <chartFormats count="4">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9741DE-0BDF-4F84-830C-C0D2CE981418}" name="PivotTable1" cacheId="693" applyNumberFormats="0" applyBorderFormats="0" applyFontFormats="0" applyPatternFormats="0" applyAlignmentFormats="0" applyWidthHeightFormats="1" dataCaption="Werte" tag="83e50fff-477f-4919-9b29-d04532e2cb9b" updatedVersion="8" minRefreshableVersion="3" useAutoFormatting="1" subtotalHiddenItems="1" colGrandTotals="0" itemPrintTitles="1" createdVersion="8" indent="0" outline="1" outlineData="1" multipleFieldFilters="0" chartFormat="8">
  <location ref="E27:F32" firstHeaderRow="1" firstDataRow="1" firstDataCol="1" rowPageCount="1" colPageCount="1"/>
  <pivotFields count="5">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pageFields count="1">
    <pageField fld="3" hier="27" name="[Lookup].[Section].&amp;[Expenses]" cap="Expenses"/>
  </pageFields>
  <dataFields count="1">
    <dataField name="Actuals_Selected" fld="2" subtotal="count" baseField="0" baseItem="0" numFmtId="171"/>
  </dataField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0CABFA-95CE-4C8A-BFB8-AA53201FDF3D}" name="PivotTable2" cacheId="696" applyNumberFormats="0" applyBorderFormats="0" applyFontFormats="0" applyPatternFormats="0" applyAlignmentFormats="0" applyWidthHeightFormats="1" dataCaption="Werte" tag="58fbdfbb-82f5-4fa7-917f-a709f8cb7370" updatedVersion="8" minRefreshableVersion="3" useAutoFormatting="1" subtotalHiddenItems="1" colGrandTotals="0" itemPrintTitles="1" createdVersion="8" indent="0" outline="1" outlineData="1" multipleFieldFilters="0" chartFormat="5">
  <location ref="R27:S32" firstHeaderRow="1" firstDataRow="1" firstDataCol="1" rowPageCount="1" colPageCount="1"/>
  <pivotFields count="5">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pageFields count="1">
    <pageField fld="2" hier="27" name="[Lookup].[Section].&amp;[Expenses]" cap="Expenses"/>
  </pageFields>
  <dataFields count="1">
    <dataField name="Actuals_Selected" fld="1" subtotal="count" baseField="0" baseItem="0" numFmtId="171"/>
  </dataField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4" format="10">
      <pivotArea type="data" outline="0" fieldPosition="0">
        <references count="2">
          <reference field="4294967294" count="1" selected="0">
            <x v="0"/>
          </reference>
          <reference field="3"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1D6BCB-FFC2-4B3D-A0CC-26A51B4F692E}" name="PivotTable5" cacheId="699" applyNumberFormats="0" applyBorderFormats="0" applyFontFormats="0" applyPatternFormats="0" applyAlignmentFormats="0" applyWidthHeightFormats="1" dataCaption="Werte" tag="668a1144-ddcd-49ac-954b-8cd3d8c75c76" updatedVersion="8" minRefreshableVersion="3" useAutoFormatting="1" subtotalHiddenItems="1" itemPrintTitles="1" createdVersion="8" indent="0" outline="1" outlineData="1" multipleFieldFilters="0" rowHeaderCaption="BvA">
  <location ref="E35:I39" firstHeaderRow="0" firstDataRow="1" firstDataCol="1"/>
  <pivotFields count="7">
    <pivotField axis="axisRow" allDrilled="1" subtotalTop="0" showAll="0" sortType="descending" defaultSubtotal="0" defaultAttributeDrillState="1">
      <items count="3">
        <item s="1" x="2"/>
        <item s="1" x="1"/>
        <item s="1" x="0"/>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4">
    <i>
      <x/>
    </i>
    <i i="1">
      <x v="1"/>
    </i>
    <i i="2">
      <x v="2"/>
    </i>
    <i i="3">
      <x v="3"/>
    </i>
  </colItems>
  <dataFields count="4">
    <dataField fld="2" subtotal="count" baseField="0" baseItem="0" numFmtId="37"/>
    <dataField fld="1" subtotal="count" baseField="0" baseItem="0" numFmtId="37"/>
    <dataField fld="4" subtotal="count" baseField="0" baseItem="0"/>
    <dataField fld="5"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caption="%"/>
    <pivotHierarchy dragToRow="0" dragToCol="0" dragToPage="0" dragToData="1"/>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okup]"/>
        <x15:activeTabTopLevelEntity name="[Actuals]"/>
        <x15:activeTabTopLevelEntity name="[Budget]"/>
        <x15:activeTabTopLevelEntity name="[Perio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845A7E-3639-41D5-9C4A-83888AADB4F5}" name="PivotTable6" cacheId="702" applyNumberFormats="0" applyBorderFormats="0" applyFontFormats="0" applyPatternFormats="0" applyAlignmentFormats="0" applyWidthHeightFormats="1" dataCaption="Werte" tag="3f5eee7b-07fa-4535-a605-cada42b8bf70" updatedVersion="8" minRefreshableVersion="3" useAutoFormatting="1" subtotalHiddenItems="1" itemPrintTitles="1" createdVersion="8" indent="0" outline="1" outlineData="1" multipleFieldFilters="0" rowHeaderCaption="PPvA">
  <location ref="E41:I45" firstHeaderRow="0" firstDataRow="1" firstDataCol="1"/>
  <pivotFields count="7">
    <pivotField axis="axisRow" allDrilled="1" subtotalTop="0" showAll="0" sortType="descending" defaultSubtotal="0" defaultAttributeDrillState="1">
      <items count="3">
        <item s="1" x="2"/>
        <item s="1" x="1"/>
        <item s="1" x="0"/>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4">
    <i>
      <x/>
    </i>
    <i i="1">
      <x v="1"/>
    </i>
    <i i="2">
      <x v="2"/>
    </i>
    <i i="3">
      <x v="3"/>
    </i>
  </colItems>
  <dataFields count="4">
    <dataField fld="3" subtotal="count" baseField="0" baseItem="0"/>
    <dataField fld="1" subtotal="count" baseField="0" baseItem="0" numFmtId="37"/>
    <dataField name="▲" fld="4" subtotal="count" baseField="0" baseItem="0"/>
    <dataField name="%" fld="5"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pivotHierarchy dragToRow="0" dragToCol="0" dragToPage="0" dragToData="1"/>
    <pivotHierarchy dragToRow="0" dragToCol="0" dragToPage="0" dragToData="1" caption="%"/>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okup]"/>
        <x15:activeTabTopLevelEntity name="[Actuals]"/>
        <x15:activeTabTopLevelEntity name="[Budget]"/>
        <x15:activeTabTopLevelEntity name="[Perio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7DBD19-E2F7-4F00-B81C-091A0AA00444}" name="PivotTable8" cacheId="714" applyNumberFormats="0" applyBorderFormats="0" applyFontFormats="0" applyPatternFormats="0" applyAlignmentFormats="0" applyWidthHeightFormats="1" dataCaption="Werte" tag="44b05871-a502-48c4-b87e-f89bde2243fb" updatedVersion="8" minRefreshableVersion="3" useAutoFormatting="1" subtotalHiddenItems="1" colGrandTotals="0" itemPrintTitles="1" createdVersion="8" indent="0" outline="1" outlineData="1" multipleFieldFilters="0" chartFormat="8">
  <location ref="E82:I87" firstHeaderRow="0" firstDataRow="1" firstDataCol="1" rowPageCount="1" colPageCount="1"/>
  <pivotFields count="8">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i="1">
      <x v="1"/>
    </i>
    <i i="2">
      <x v="2"/>
    </i>
    <i i="3">
      <x v="3"/>
    </i>
  </colItems>
  <pageFields count="1">
    <pageField fld="3" hier="27" name="[Lookup].[Section].&amp;[Expenses]" cap="Expenses"/>
  </pageFields>
  <dataFields count="4">
    <dataField fld="4" subtotal="count" baseField="0" baseItem="0"/>
    <dataField name="Actuals_Selected" fld="2" subtotal="count" baseField="0" baseItem="0" numFmtId="171"/>
    <dataField fld="5" subtotal="count" baseField="0" baseItem="0"/>
    <dataField fld="6" subtotal="count" baseField="0" baseItem="0"/>
  </dataFields>
  <chartFormats count="10">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 count="1" selected="0">
            <x v="0"/>
          </reference>
        </references>
      </pivotArea>
    </chartFormat>
    <chartFormat chart="2" format="3">
      <pivotArea type="data" outline="0" fieldPosition="0">
        <references count="2">
          <reference field="4294967294" count="1" selected="0">
            <x v="1"/>
          </reference>
          <reference field="1" count="1" selected="0">
            <x v="1"/>
          </reference>
        </references>
      </pivotArea>
    </chartFormat>
    <chartFormat chart="2" format="4">
      <pivotArea type="data" outline="0" fieldPosition="0">
        <references count="2">
          <reference field="4294967294" count="1" selected="0">
            <x v="1"/>
          </reference>
          <reference field="1" count="1" selected="0">
            <x v="2"/>
          </reference>
        </references>
      </pivotArea>
    </chartFormat>
    <chartFormat chart="2" format="5">
      <pivotArea type="data" outline="0" fieldPosition="0">
        <references count="2">
          <reference field="4294967294" count="1" selected="0">
            <x v="1"/>
          </reference>
          <reference field="1" count="1" selected="0">
            <x v="3"/>
          </reference>
        </references>
      </pivotArea>
    </chartFormat>
    <chartFormat chart="4" format="6" series="1">
      <pivotArea type="data" outline="0" fieldPosition="0">
        <references count="1">
          <reference field="4294967294" count="1" selected="0">
            <x v="1"/>
          </reference>
        </references>
      </pivotArea>
    </chartFormat>
    <chartFormat chart="4" format="7">
      <pivotArea type="data" outline="0" fieldPosition="0">
        <references count="2">
          <reference field="4294967294" count="1" selected="0">
            <x v="1"/>
          </reference>
          <reference field="1" count="1" selected="0">
            <x v="0"/>
          </reference>
        </references>
      </pivotArea>
    </chartFormat>
    <chartFormat chart="4" format="8">
      <pivotArea type="data" outline="0" fieldPosition="0">
        <references count="2">
          <reference field="4294967294" count="1" selected="0">
            <x v="1"/>
          </reference>
          <reference field="1" count="1" selected="0">
            <x v="1"/>
          </reference>
        </references>
      </pivotArea>
    </chartFormat>
    <chartFormat chart="4" format="9">
      <pivotArea type="data" outline="0" fieldPosition="0">
        <references count="2">
          <reference field="4294967294" count="1" selected="0">
            <x v="1"/>
          </reference>
          <reference field="1" count="1" selected="0">
            <x v="2"/>
          </reference>
        </references>
      </pivotArea>
    </chartFormat>
    <chartFormat chart="4" format="10">
      <pivotArea type="data" outline="0" fieldPosition="0">
        <references count="2">
          <reference field="4294967294" count="1" selected="0">
            <x v="1"/>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64245A-C60E-4A2A-8BC0-FF8AF35C8FBF}" name="Revenue &amp; Gross Margin" cacheId="684" applyNumberFormats="0" applyBorderFormats="0" applyFontFormats="0" applyPatternFormats="0" applyAlignmentFormats="0" applyWidthHeightFormats="1" dataCaption="Werte" tag="6f9cee39-8d66-45bf-a665-9df87cf3d455" updatedVersion="8" minRefreshableVersion="3" useAutoFormatting="1" subtotalHiddenItems="1" itemPrintTitles="1" createdVersion="8" indent="0" outline="1" outlineData="1" multipleFieldFilters="0" chartFormat="5" rowHeaderCaption="Revenue &amp; Gross Margin">
  <location ref="A9:C22" firstHeaderRow="0" firstDataRow="1" firstDataCol="1"/>
  <pivotFields count="5">
    <pivotField dataField="1" subtotalTop="0" showAll="0" defaultSubtotal="0"/>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fld="2"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tuals]"/>
        <x15:activeTabTopLevelEntity name="[Calendar]"/>
        <x15:activeTabTopLevelEntity name="[Perio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E457A9-05D3-49EB-9AE4-2FAA741B8AE0}" name="PivotTable3" cacheId="708" applyNumberFormats="0" applyBorderFormats="0" applyFontFormats="0" applyPatternFormats="0" applyAlignmentFormats="0" applyWidthHeightFormats="1" dataCaption="Werte" tag="2b7a285a-537f-4b56-90c1-a7aa7bb543bb" updatedVersion="8" minRefreshableVersion="3" useAutoFormatting="1" subtotalHiddenItems="1" colGrandTotals="0" itemPrintTitles="1" createdVersion="8" indent="0" outline="1" outlineData="1" multipleFieldFilters="0" chartFormat="8">
  <location ref="E62:I67" firstHeaderRow="0" firstDataRow="1" firstDataCol="1" rowPageCount="1" colPageCount="1"/>
  <pivotFields count="8">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i="1">
      <x v="1"/>
    </i>
    <i i="2">
      <x v="2"/>
    </i>
    <i i="3">
      <x v="3"/>
    </i>
  </colItems>
  <pageFields count="1">
    <pageField fld="3" hier="27" name="[Lookup].[Section].&amp;[Expenses]" cap="Expenses"/>
  </pageFields>
  <dataFields count="4">
    <dataField fld="4" subtotal="count" baseField="1" baseItem="0" numFmtId="37"/>
    <dataField name="Actuals_Selected" fld="2" subtotal="count" baseField="0" baseItem="0" numFmtId="171"/>
    <dataField fld="5" subtotal="count" baseField="0" baseItem="0"/>
    <dataField fld="6" subtotal="count" baseField="0" baseItem="0"/>
  </dataFields>
  <chartFormats count="10">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1" count="1" selected="0">
            <x v="0"/>
          </reference>
        </references>
      </pivotArea>
    </chartFormat>
    <chartFormat chart="2" format="3">
      <pivotArea type="data" outline="0" fieldPosition="0">
        <references count="2">
          <reference field="4294967294" count="1" selected="0">
            <x v="1"/>
          </reference>
          <reference field="1" count="1" selected="0">
            <x v="1"/>
          </reference>
        </references>
      </pivotArea>
    </chartFormat>
    <chartFormat chart="2" format="4">
      <pivotArea type="data" outline="0" fieldPosition="0">
        <references count="2">
          <reference field="4294967294" count="1" selected="0">
            <x v="1"/>
          </reference>
          <reference field="1" count="1" selected="0">
            <x v="2"/>
          </reference>
        </references>
      </pivotArea>
    </chartFormat>
    <chartFormat chart="2" format="5">
      <pivotArea type="data" outline="0" fieldPosition="0">
        <references count="2">
          <reference field="4294967294" count="1" selected="0">
            <x v="1"/>
          </reference>
          <reference field="1" count="1" selected="0">
            <x v="3"/>
          </reference>
        </references>
      </pivotArea>
    </chartFormat>
    <chartFormat chart="4" format="6" series="1">
      <pivotArea type="data" outline="0" fieldPosition="0">
        <references count="1">
          <reference field="4294967294" count="1" selected="0">
            <x v="1"/>
          </reference>
        </references>
      </pivotArea>
    </chartFormat>
    <chartFormat chart="4" format="7">
      <pivotArea type="data" outline="0" fieldPosition="0">
        <references count="2">
          <reference field="4294967294" count="1" selected="0">
            <x v="1"/>
          </reference>
          <reference field="1" count="1" selected="0">
            <x v="0"/>
          </reference>
        </references>
      </pivotArea>
    </chartFormat>
    <chartFormat chart="4" format="8">
      <pivotArea type="data" outline="0" fieldPosition="0">
        <references count="2">
          <reference field="4294967294" count="1" selected="0">
            <x v="1"/>
          </reference>
          <reference field="1" count="1" selected="0">
            <x v="1"/>
          </reference>
        </references>
      </pivotArea>
    </chartFormat>
    <chartFormat chart="4" format="9">
      <pivotArea type="data" outline="0" fieldPosition="0">
        <references count="2">
          <reference field="4294967294" count="1" selected="0">
            <x v="1"/>
          </reference>
          <reference field="1" count="1" selected="0">
            <x v="2"/>
          </reference>
        </references>
      </pivotArea>
    </chartFormat>
    <chartFormat chart="4" format="10">
      <pivotArea type="data" outline="0" fieldPosition="0">
        <references count="2">
          <reference field="4294967294" count="1" selected="0">
            <x v="1"/>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multipleItemSelectionAllowed="1" dragToData="1">
      <members count="1" level="1">
        <member name="[Calendar].[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riod].[Period].&amp;[Trailing 12 Months]"/>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_Select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riod]"/>
        <x15:activeTabTopLevelEntity name="[Calendar]"/>
        <x15:activeTabTopLevelEntity name="[Departments]"/>
        <x15:activeTabTopLevelEntity name="[Actuals]"/>
        <x15:activeTabTopLevelEntity name="[Lookup]"/>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eriod" xr10:uid="{F70C5000-9BF2-45A3-B7E2-7B39AD965FEA}" sourceName="[Period].[Period]">
  <pivotTables>
    <pivotTable tabId="20" name="Revenue &amp; Gross Margin"/>
    <pivotTable tabId="20" name="Expenses_Dept_Period"/>
    <pivotTable tabId="20" name="Expenses_Group_Period"/>
    <pivotTable tabId="20" name="PivotTable1"/>
    <pivotTable tabId="20" name="PivotTable2"/>
    <pivotTable tabId="20" name="PivotTable5"/>
    <pivotTable tabId="20" name="PivotTable6"/>
    <pivotTable tabId="20" name="PivotTable7"/>
    <pivotTable tabId="20" name="PivotTable3"/>
    <pivotTable tabId="20" name="PivotTable4"/>
    <pivotTable tabId="20" name="PivotTable8"/>
    <pivotTable tabId="20" name="PivotTable9"/>
    <pivotTable tabId="20" name="PivotTable10"/>
    <pivotTable tabId="20" name="PivotTable11"/>
  </pivotTables>
  <data>
    <olap pivotCacheId="1901564952">
      <levels count="2">
        <level uniqueName="[Period].[Period].[(All)]" sourceCaption="(All)" count="0"/>
        <level uniqueName="[Period].[Period].[Period]" sourceCaption="Period" count="8">
          <ranges>
            <range startItem="0">
              <i n="[Period].[Period].&amp;[2023]" c="2023"/>
              <i n="[Period].[Period].&amp;[2024]" c="2024"/>
              <i n="[Period].[Period].&amp;[2025]" c="2025"/>
              <i n="[Period].[Period].&amp;[Current Month]" c="Current Month"/>
              <i n="[Period].[Period].&amp;[Trailing 12 Months]" c="Trailing 12 Months"/>
              <i n="[Period].[Period].&amp;[Trailing 3 Months]" c="Trailing 3 Months"/>
              <i n="[Period].[Period].&amp;[Trailing 6 Months]" c="Trailing 6 Months"/>
              <i n="[Period].[Period].&amp;[YTD]" c="YTD"/>
            </range>
          </ranges>
        </level>
      </levels>
      <selections count="1">
        <selection n="[Period].[Period].&amp;[Trailing 12 Month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1" xr10:uid="{5EB55667-4AB6-42AE-90F7-F08701A9A8F9}" cache="Datenschnitt_Period" caption="Period" columnCount="8" showCaption="0" level="1" style="SlicerStyleLight1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14FC9A0D-2428-40BC-BCA5-0B1B68354205}" cache="Datenschnitt_Period" caption="Period" columnCount="4"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B4D521-582E-4D94-A8C3-0216229AA805}" name="Departments" displayName="Departments" ref="F2:F6" totalsRowShown="0" headerRowDxfId="7">
  <autoFilter ref="F2:F6" xr:uid="{41B4D521-582E-4D94-A8C3-0216229AA805}"/>
  <tableColumns count="1">
    <tableColumn id="1" xr3:uid="{4E440081-101E-4F09-9227-52225D9FCA90}" name="Department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F441F06-5E0C-4102-BAC5-D9DA0EDCB326}" name="Period" displayName="Period" ref="H2:H10" totalsRowShown="0" headerRowDxfId="6">
  <autoFilter ref="H2:H10" xr:uid="{9F441F06-5E0C-4102-BAC5-D9DA0EDCB326}"/>
  <tableColumns count="1">
    <tableColumn id="1" xr3:uid="{55132BA8-4B3F-4A88-A229-D0A6CA01B423}" name="Period"/>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CA8D24-7CC9-46CD-A8E2-1902828C1EBC}" name="Lookup" displayName="Lookup" ref="B2:D33" totalsRowShown="0" headerRowDxfId="5" tableBorderDxfId="4">
  <autoFilter ref="B2:D33" xr:uid="{6DCA8D24-7CC9-46CD-A8E2-1902828C1EBC}"/>
  <tableColumns count="3">
    <tableColumn id="1" xr3:uid="{340DA1E4-5B80-408B-AB86-5CF4788CEDF2}" name="Account" dataDxfId="3"/>
    <tableColumn id="2" xr3:uid="{6944ECCC-9A87-447E-988E-9B7ED99BE2D5}" name="Section"/>
    <tableColumn id="3" xr3:uid="{A01964C1-DD6A-42D0-9CD5-CB5BAC08DA01}" name="Summary Grouping"/>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DE3056-E539-4D07-AAA1-C4C1B6CF9E0D}" name="DatePeriod" displayName="DatePeriod" ref="J2:K38" totalsRowShown="0">
  <autoFilter ref="J2:K38" xr:uid="{B6DE3056-E539-4D07-AAA1-C4C1B6CF9E0D}"/>
  <tableColumns count="2">
    <tableColumn id="1" xr3:uid="{63ADD904-DB81-4C34-939D-E6284C16482F}" name="Period"/>
    <tableColumn id="2" xr3:uid="{A46A339B-F1FA-4E88-B9A6-0489732E45AA}" name="Date" dataDxfId="2"/>
  </tableColumns>
  <tableStyleInfo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9BCD-34B9-4154-B7C6-BC7B30E51BD4}">
  <sheetPr>
    <pageSetUpPr autoPageBreaks="0"/>
  </sheetPr>
  <dimension ref="A1:W37"/>
  <sheetViews>
    <sheetView tabSelected="1" zoomScale="70" zoomScaleNormal="70" workbookViewId="0">
      <selection activeCell="L19" sqref="L19"/>
    </sheetView>
  </sheetViews>
  <sheetFormatPr baseColWidth="10" defaultColWidth="9.140625" defaultRowHeight="14.25" x14ac:dyDescent="0.2"/>
  <cols>
    <col min="1" max="1" width="4.7109375" style="35" customWidth="1"/>
    <col min="2" max="2" width="30.7109375" style="35" customWidth="1"/>
    <col min="3" max="3" width="4" style="35" customWidth="1"/>
    <col min="4" max="4" width="30.7109375" style="35" customWidth="1"/>
    <col min="5" max="5" width="4" style="35" customWidth="1"/>
    <col min="6" max="6" width="30.7109375" style="35" customWidth="1"/>
    <col min="7" max="7" width="4.7109375" style="35" customWidth="1"/>
    <col min="8" max="11" width="9.7109375" style="35" customWidth="1"/>
    <col min="12" max="12" width="14.28515625" style="35" customWidth="1"/>
    <col min="13" max="13" width="10.85546875" style="35" customWidth="1"/>
    <col min="14" max="14" width="12.140625" style="108" bestFit="1" customWidth="1"/>
    <col min="15" max="19" width="9.140625" style="35"/>
    <col min="20" max="20" width="14.28515625" style="35" customWidth="1"/>
    <col min="21" max="21" width="11.28515625" style="35" customWidth="1"/>
    <col min="22" max="22" width="12.140625" style="108" bestFit="1" customWidth="1"/>
    <col min="23" max="16384" width="9.140625" style="35"/>
  </cols>
  <sheetData>
    <row r="1" spans="1:23" ht="50.25" customHeight="1" x14ac:dyDescent="0.2">
      <c r="A1" s="34"/>
      <c r="B1" s="33" t="s">
        <v>0</v>
      </c>
      <c r="C1" s="33"/>
      <c r="D1" s="34"/>
      <c r="E1" s="34"/>
      <c r="F1" s="34"/>
      <c r="G1" s="34"/>
      <c r="H1" s="34"/>
      <c r="I1" s="34"/>
      <c r="J1" s="34"/>
      <c r="K1" s="34"/>
      <c r="L1" s="34"/>
      <c r="M1" s="34"/>
      <c r="N1" s="100"/>
      <c r="O1" s="34"/>
      <c r="P1" s="34"/>
      <c r="Q1" s="34"/>
      <c r="R1" s="34"/>
      <c r="S1" s="34"/>
      <c r="T1" s="34"/>
      <c r="U1" s="34"/>
      <c r="V1" s="100"/>
      <c r="W1" s="34"/>
    </row>
    <row r="2" spans="1:23" ht="39.75" customHeight="1" x14ac:dyDescent="0.2">
      <c r="A2" s="65"/>
      <c r="B2" s="65"/>
      <c r="C2" s="65"/>
      <c r="D2" s="65"/>
      <c r="E2" s="65"/>
      <c r="F2" s="65"/>
      <c r="G2" s="66"/>
      <c r="H2" s="55" t="s">
        <v>1</v>
      </c>
      <c r="I2" s="67"/>
      <c r="J2" s="67"/>
      <c r="K2" s="67"/>
      <c r="L2" s="67"/>
      <c r="M2" s="67"/>
      <c r="N2" s="101"/>
      <c r="O2" s="68"/>
      <c r="P2" s="55" t="s">
        <v>2</v>
      </c>
      <c r="Q2" s="65"/>
      <c r="R2" s="65"/>
      <c r="S2" s="65"/>
      <c r="T2" s="65"/>
      <c r="U2" s="65"/>
      <c r="V2" s="109"/>
      <c r="W2" s="65"/>
    </row>
    <row r="3" spans="1:23" x14ac:dyDescent="0.2">
      <c r="A3" s="69"/>
      <c r="B3" s="69"/>
      <c r="C3" s="69"/>
      <c r="D3" s="69"/>
      <c r="E3" s="69"/>
      <c r="F3" s="69"/>
      <c r="G3" s="70"/>
      <c r="H3" s="69"/>
      <c r="I3" s="69"/>
      <c r="J3" s="69"/>
      <c r="K3" s="69"/>
      <c r="L3" s="69"/>
      <c r="M3" s="69"/>
      <c r="N3" s="102"/>
      <c r="O3" s="70"/>
      <c r="P3" s="69"/>
      <c r="Q3" s="69"/>
      <c r="R3" s="69"/>
      <c r="S3" s="69"/>
      <c r="T3" s="69"/>
      <c r="U3" s="69"/>
      <c r="V3" s="102"/>
      <c r="W3" s="69"/>
    </row>
    <row r="4" spans="1:23" x14ac:dyDescent="0.2">
      <c r="A4" s="69"/>
      <c r="B4" s="69"/>
      <c r="C4" s="69"/>
      <c r="D4" s="69"/>
      <c r="E4" s="69"/>
      <c r="F4" s="69"/>
      <c r="G4" s="70"/>
      <c r="H4" s="69"/>
      <c r="I4" s="69"/>
      <c r="J4" s="69"/>
      <c r="K4" s="69"/>
      <c r="L4" s="69"/>
      <c r="M4" s="69"/>
      <c r="N4" s="102"/>
      <c r="O4" s="70"/>
      <c r="P4" s="69"/>
      <c r="Q4" s="69"/>
      <c r="R4" s="69"/>
      <c r="S4" s="69"/>
      <c r="T4" s="69"/>
      <c r="U4" s="69"/>
      <c r="V4" s="102"/>
      <c r="W4" s="69"/>
    </row>
    <row r="5" spans="1:23" x14ac:dyDescent="0.2">
      <c r="A5" s="69"/>
      <c r="B5" s="69"/>
      <c r="C5" s="69"/>
      <c r="D5" s="69"/>
      <c r="E5" s="69"/>
      <c r="F5" s="69"/>
      <c r="G5" s="70"/>
      <c r="H5" s="69"/>
      <c r="I5" s="69"/>
      <c r="J5" s="69"/>
      <c r="K5" s="69"/>
      <c r="L5" s="69"/>
      <c r="M5" s="69"/>
      <c r="N5" s="102"/>
      <c r="O5" s="70"/>
      <c r="P5" s="69"/>
      <c r="Q5" s="69"/>
      <c r="R5" s="69"/>
      <c r="S5" s="69"/>
      <c r="T5" s="69"/>
      <c r="U5" s="69"/>
      <c r="V5" s="102"/>
      <c r="W5" s="69"/>
    </row>
    <row r="6" spans="1:23" x14ac:dyDescent="0.2">
      <c r="A6" s="69"/>
      <c r="B6" s="69"/>
      <c r="C6" s="69"/>
      <c r="D6" s="69"/>
      <c r="E6" s="69"/>
      <c r="F6" s="69"/>
      <c r="G6" s="70"/>
      <c r="H6" s="69"/>
      <c r="I6" s="69"/>
      <c r="J6" s="69"/>
      <c r="K6" s="69"/>
      <c r="L6" s="69"/>
      <c r="M6" s="69"/>
      <c r="N6" s="102"/>
      <c r="O6" s="70"/>
      <c r="P6" s="69"/>
      <c r="Q6" s="69"/>
      <c r="R6" s="69"/>
      <c r="S6" s="69"/>
      <c r="T6" s="69"/>
      <c r="U6" s="69"/>
      <c r="V6" s="102"/>
      <c r="W6" s="69"/>
    </row>
    <row r="7" spans="1:23" x14ac:dyDescent="0.2">
      <c r="A7" s="69"/>
      <c r="B7" s="69"/>
      <c r="C7" s="69"/>
      <c r="D7" s="69"/>
      <c r="E7" s="69"/>
      <c r="F7" s="69"/>
      <c r="G7" s="70"/>
      <c r="H7" s="69"/>
      <c r="I7" s="69"/>
      <c r="J7" s="69"/>
      <c r="K7" s="69"/>
      <c r="L7" s="69"/>
      <c r="M7" s="69"/>
      <c r="N7" s="102"/>
      <c r="O7" s="70"/>
      <c r="P7" s="69"/>
      <c r="Q7" s="69"/>
      <c r="R7" s="69"/>
      <c r="S7" s="69"/>
      <c r="T7" s="69"/>
      <c r="U7" s="69"/>
      <c r="V7" s="102"/>
      <c r="W7" s="69"/>
    </row>
    <row r="8" spans="1:23" x14ac:dyDescent="0.2">
      <c r="A8" s="69"/>
      <c r="B8" s="69"/>
      <c r="C8" s="69"/>
      <c r="D8" s="69"/>
      <c r="E8" s="69"/>
      <c r="F8" s="69"/>
      <c r="G8" s="70"/>
      <c r="H8" s="69"/>
      <c r="I8" s="69"/>
      <c r="J8" s="69"/>
      <c r="K8" s="69"/>
      <c r="L8" s="69"/>
      <c r="M8" s="69"/>
      <c r="N8" s="102"/>
      <c r="O8" s="70"/>
      <c r="P8" s="69"/>
      <c r="Q8" s="69"/>
      <c r="R8" s="69"/>
      <c r="S8" s="69"/>
      <c r="T8" s="69"/>
      <c r="U8" s="69"/>
      <c r="V8" s="102"/>
      <c r="W8" s="69"/>
    </row>
    <row r="9" spans="1:23" x14ac:dyDescent="0.2">
      <c r="A9" s="69"/>
      <c r="B9" s="69"/>
      <c r="C9" s="69"/>
      <c r="D9" s="69"/>
      <c r="E9" s="69"/>
      <c r="F9" s="69"/>
      <c r="G9" s="70"/>
      <c r="H9" s="69"/>
      <c r="I9" s="69"/>
      <c r="J9" s="69"/>
      <c r="K9" s="69"/>
      <c r="L9" s="69"/>
      <c r="M9" s="69"/>
      <c r="N9" s="102"/>
      <c r="O9" s="70"/>
      <c r="P9" s="69"/>
      <c r="Q9" s="69"/>
      <c r="R9" s="69"/>
      <c r="S9" s="69"/>
      <c r="T9" s="69"/>
      <c r="U9" s="69"/>
      <c r="V9" s="102"/>
      <c r="W9" s="69"/>
    </row>
    <row r="10" spans="1:23" x14ac:dyDescent="0.2">
      <c r="A10" s="69"/>
      <c r="B10" s="69"/>
      <c r="C10" s="69"/>
      <c r="D10" s="69"/>
      <c r="E10" s="69"/>
      <c r="F10" s="69"/>
      <c r="G10" s="70"/>
      <c r="H10" s="69"/>
      <c r="I10" s="69"/>
      <c r="J10" s="69"/>
      <c r="K10" s="69"/>
      <c r="L10" s="69"/>
      <c r="M10" s="69"/>
      <c r="N10" s="102"/>
      <c r="O10" s="70"/>
      <c r="P10" s="69"/>
      <c r="Q10" s="69"/>
      <c r="R10" s="69"/>
      <c r="S10" s="69"/>
      <c r="T10" s="69"/>
      <c r="U10" s="69"/>
      <c r="V10" s="102"/>
      <c r="W10" s="69"/>
    </row>
    <row r="11" spans="1:23" x14ac:dyDescent="0.2">
      <c r="A11" s="69"/>
      <c r="B11" s="69"/>
      <c r="C11" s="69"/>
      <c r="D11" s="69"/>
      <c r="E11" s="69"/>
      <c r="F11" s="69"/>
      <c r="G11" s="70"/>
      <c r="H11" s="69"/>
      <c r="I11" s="69"/>
      <c r="J11" s="69"/>
      <c r="K11" s="69"/>
      <c r="L11" s="69"/>
      <c r="M11" s="69"/>
      <c r="N11" s="102"/>
      <c r="O11" s="70"/>
      <c r="P11" s="69"/>
      <c r="Q11" s="69"/>
      <c r="R11" s="69"/>
      <c r="S11" s="69"/>
      <c r="T11" s="69"/>
      <c r="U11" s="69"/>
      <c r="V11" s="102"/>
      <c r="W11" s="69"/>
    </row>
    <row r="12" spans="1:23" x14ac:dyDescent="0.2">
      <c r="A12" s="69"/>
      <c r="B12" s="69"/>
      <c r="C12" s="69"/>
      <c r="D12" s="69"/>
      <c r="E12" s="69"/>
      <c r="F12" s="69"/>
      <c r="G12" s="70"/>
      <c r="H12" s="69"/>
      <c r="I12" s="69"/>
      <c r="J12" s="69"/>
      <c r="K12" s="69"/>
      <c r="L12" s="69"/>
      <c r="M12" s="69"/>
      <c r="N12" s="102"/>
      <c r="O12" s="70"/>
      <c r="P12" s="69"/>
      <c r="Q12" s="69"/>
      <c r="R12" s="69"/>
      <c r="S12" s="69"/>
      <c r="T12" s="69"/>
      <c r="U12" s="69"/>
      <c r="V12" s="102"/>
      <c r="W12" s="69"/>
    </row>
    <row r="13" spans="1:23" x14ac:dyDescent="0.2">
      <c r="A13" s="69"/>
      <c r="B13" s="69"/>
      <c r="C13" s="69"/>
      <c r="D13" s="69"/>
      <c r="E13" s="69"/>
      <c r="F13" s="69"/>
      <c r="G13" s="70"/>
      <c r="H13" s="69"/>
      <c r="I13" s="69"/>
      <c r="J13" s="69"/>
      <c r="K13" s="69"/>
      <c r="L13" s="69"/>
      <c r="M13" s="69"/>
      <c r="N13" s="102"/>
      <c r="O13" s="70"/>
      <c r="P13" s="69"/>
      <c r="Q13" s="69"/>
      <c r="R13" s="69"/>
      <c r="S13" s="69"/>
      <c r="T13" s="69"/>
      <c r="U13" s="69"/>
      <c r="V13" s="102"/>
      <c r="W13" s="69"/>
    </row>
    <row r="14" spans="1:23" x14ac:dyDescent="0.2">
      <c r="A14" s="69"/>
      <c r="B14" s="69"/>
      <c r="C14" s="69"/>
      <c r="D14" s="69"/>
      <c r="E14" s="69"/>
      <c r="F14" s="69"/>
      <c r="G14" s="70"/>
      <c r="H14" s="69"/>
      <c r="I14" s="69"/>
      <c r="J14" s="69"/>
      <c r="K14" s="69"/>
      <c r="L14" s="69"/>
      <c r="M14" s="69"/>
      <c r="N14" s="102"/>
      <c r="O14" s="70"/>
      <c r="P14" s="69"/>
      <c r="Q14" s="69"/>
      <c r="R14" s="69"/>
      <c r="S14" s="69"/>
      <c r="T14" s="69"/>
      <c r="U14" s="69"/>
      <c r="V14" s="102"/>
      <c r="W14" s="69"/>
    </row>
    <row r="15" spans="1:23" x14ac:dyDescent="0.2">
      <c r="A15" s="69"/>
      <c r="B15" s="69"/>
      <c r="C15" s="69"/>
      <c r="D15" s="69"/>
      <c r="E15" s="69"/>
      <c r="F15" s="69"/>
      <c r="G15" s="70"/>
      <c r="H15" s="69"/>
      <c r="I15" s="69"/>
      <c r="J15" s="69"/>
      <c r="K15" s="69"/>
      <c r="L15" s="69"/>
      <c r="M15" s="69"/>
      <c r="N15" s="102"/>
      <c r="O15" s="70"/>
      <c r="P15" s="69"/>
      <c r="Q15" s="69"/>
      <c r="R15" s="69"/>
      <c r="S15" s="69"/>
      <c r="T15" s="69"/>
      <c r="U15" s="69"/>
      <c r="V15" s="102"/>
      <c r="W15" s="69"/>
    </row>
    <row r="16" spans="1:23" x14ac:dyDescent="0.2">
      <c r="A16" s="69"/>
      <c r="B16" s="69"/>
      <c r="C16" s="69"/>
      <c r="D16" s="69"/>
      <c r="E16" s="69"/>
      <c r="F16" s="69"/>
      <c r="G16" s="70"/>
      <c r="H16" s="69"/>
      <c r="I16" s="69"/>
      <c r="J16" s="69"/>
      <c r="K16" s="69"/>
      <c r="L16" s="69"/>
      <c r="M16" s="69"/>
      <c r="N16" s="102"/>
      <c r="O16" s="70"/>
      <c r="P16" s="69"/>
      <c r="Q16" s="69"/>
      <c r="R16" s="69"/>
      <c r="S16" s="69"/>
      <c r="T16" s="69"/>
      <c r="U16" s="69"/>
      <c r="V16" s="102"/>
      <c r="W16" s="69"/>
    </row>
    <row r="17" spans="1:23" ht="5.25" customHeight="1" x14ac:dyDescent="0.2">
      <c r="A17" s="64"/>
      <c r="B17" s="64"/>
      <c r="C17" s="64"/>
      <c r="D17" s="64"/>
      <c r="E17" s="64"/>
      <c r="F17" s="64"/>
      <c r="G17" s="71"/>
      <c r="H17" s="64"/>
      <c r="I17" s="64"/>
      <c r="J17" s="64"/>
      <c r="K17" s="64"/>
      <c r="L17" s="64"/>
      <c r="M17" s="64"/>
      <c r="N17" s="103"/>
      <c r="O17" s="71"/>
      <c r="P17" s="64"/>
      <c r="Q17" s="64"/>
      <c r="R17" s="64"/>
      <c r="S17" s="64"/>
      <c r="T17" s="64"/>
      <c r="U17" s="64"/>
      <c r="V17" s="103"/>
      <c r="W17" s="64"/>
    </row>
    <row r="18" spans="1:23" s="36" customFormat="1" ht="39.75" customHeight="1" x14ac:dyDescent="0.25">
      <c r="A18" s="55" t="s">
        <v>3</v>
      </c>
      <c r="B18" s="72"/>
      <c r="C18" s="73"/>
      <c r="D18" s="73"/>
      <c r="E18" s="73"/>
      <c r="F18" s="73"/>
      <c r="G18" s="74"/>
      <c r="H18" s="75" t="s">
        <v>1</v>
      </c>
      <c r="I18" s="73"/>
      <c r="J18" s="73"/>
      <c r="K18" s="73"/>
      <c r="L18" s="76" t="s">
        <v>4</v>
      </c>
      <c r="M18" s="76" t="s">
        <v>5</v>
      </c>
      <c r="N18" s="104" t="s">
        <v>6</v>
      </c>
      <c r="O18" s="77" t="s">
        <v>7</v>
      </c>
      <c r="P18" s="75" t="s">
        <v>8</v>
      </c>
      <c r="Q18" s="73"/>
      <c r="R18" s="73"/>
      <c r="S18" s="73"/>
      <c r="T18" s="76" t="s">
        <v>4</v>
      </c>
      <c r="U18" s="76" t="s">
        <v>5</v>
      </c>
      <c r="V18" s="104" t="s">
        <v>6</v>
      </c>
      <c r="W18" s="76" t="s">
        <v>7</v>
      </c>
    </row>
    <row r="19" spans="1:23" s="36" customFormat="1" ht="30" customHeight="1" x14ac:dyDescent="0.25">
      <c r="A19" s="78"/>
      <c r="B19" s="78"/>
      <c r="C19" s="78"/>
      <c r="D19" s="78"/>
      <c r="E19" s="78"/>
      <c r="F19" s="78"/>
      <c r="G19" s="79"/>
      <c r="H19" s="111" t="s">
        <v>9</v>
      </c>
      <c r="I19" s="111"/>
      <c r="J19" s="111"/>
      <c r="K19" s="111"/>
      <c r="L19" s="97">
        <f>Data!F63</f>
        <v>288324.39562665403</v>
      </c>
      <c r="M19" s="97">
        <f>Data!G63</f>
        <v>149044.15091578284</v>
      </c>
      <c r="N19" s="105">
        <f>Data!H63</f>
        <v>-139280.24471087119</v>
      </c>
      <c r="O19" s="98">
        <f>Data!I63</f>
        <v>-0.93448983978962896</v>
      </c>
      <c r="P19" s="113" t="s">
        <v>10</v>
      </c>
      <c r="Q19" s="111"/>
      <c r="R19" s="111"/>
      <c r="S19" s="111"/>
      <c r="T19" s="80">
        <f>Data!S63</f>
        <v>417152.93128268339</v>
      </c>
      <c r="U19" s="80">
        <f>Data!T63</f>
        <v>181800.87368730892</v>
      </c>
      <c r="V19" s="107">
        <f>Data!U63</f>
        <v>-235352.05759537447</v>
      </c>
      <c r="W19" s="81">
        <f>Data!V63</f>
        <v>-1.2945595520083786</v>
      </c>
    </row>
    <row r="20" spans="1:23" s="36" customFormat="1" ht="30" customHeight="1" x14ac:dyDescent="0.25">
      <c r="A20" s="78"/>
      <c r="B20" s="82" t="s">
        <v>25</v>
      </c>
      <c r="C20" s="78"/>
      <c r="D20" s="82" t="s">
        <v>32</v>
      </c>
      <c r="E20" s="78"/>
      <c r="F20" s="82" t="s">
        <v>86</v>
      </c>
      <c r="G20" s="79"/>
      <c r="H20" s="110" t="s">
        <v>11</v>
      </c>
      <c r="I20" s="110"/>
      <c r="J20" s="110"/>
      <c r="K20" s="110"/>
      <c r="L20" s="97">
        <f>Data!F64</f>
        <v>433207.69949583354</v>
      </c>
      <c r="M20" s="97">
        <f>Data!G64</f>
        <v>406377.09304932784</v>
      </c>
      <c r="N20" s="105">
        <f>Data!H64</f>
        <v>-26830.606446505699</v>
      </c>
      <c r="O20" s="98">
        <f>Data!I64</f>
        <v>-6.6023914500635703E-2</v>
      </c>
      <c r="P20" s="114" t="s">
        <v>12</v>
      </c>
      <c r="Q20" s="110"/>
      <c r="R20" s="110"/>
      <c r="S20" s="110"/>
      <c r="T20" s="80">
        <f>Data!S64</f>
        <v>576705.74077978067</v>
      </c>
      <c r="U20" s="80">
        <f>Data!T64</f>
        <v>407778.76877646364</v>
      </c>
      <c r="V20" s="107">
        <f>Data!U64</f>
        <v>-168926.97200331703</v>
      </c>
      <c r="W20" s="81">
        <f>Data!V64</f>
        <v>-0.41426132240817937</v>
      </c>
    </row>
    <row r="21" spans="1:23" s="36" customFormat="1" ht="30" customHeight="1" x14ac:dyDescent="0.25">
      <c r="A21" s="83"/>
      <c r="B21" s="62">
        <f>Data!F55</f>
        <v>-161169.38044041139</v>
      </c>
      <c r="C21" s="84"/>
      <c r="D21" s="62">
        <f>Data!F56</f>
        <v>-403804.98948709527</v>
      </c>
      <c r="E21" s="84"/>
      <c r="F21" s="62">
        <f>Data!F57</f>
        <v>83089.479032940799</v>
      </c>
      <c r="G21" s="85"/>
      <c r="H21" s="110" t="s">
        <v>13</v>
      </c>
      <c r="I21" s="110"/>
      <c r="J21" s="110"/>
      <c r="K21" s="110"/>
      <c r="L21" s="97">
        <f>Data!F65</f>
        <v>339589.86616891791</v>
      </c>
      <c r="M21" s="97">
        <f>Data!G65</f>
        <v>280239.47554711963</v>
      </c>
      <c r="N21" s="105">
        <f>Data!H65</f>
        <v>-59350.390621798288</v>
      </c>
      <c r="O21" s="98">
        <f>Data!I65</f>
        <v>-0.21178454786188422</v>
      </c>
      <c r="P21" s="114" t="s">
        <v>14</v>
      </c>
      <c r="Q21" s="110"/>
      <c r="R21" s="110"/>
      <c r="S21" s="110"/>
      <c r="T21" s="80">
        <f>Data!S65</f>
        <v>557002.19829209358</v>
      </c>
      <c r="U21" s="80">
        <f>Data!T65</f>
        <v>437526.90245388838</v>
      </c>
      <c r="V21" s="107">
        <f>Data!U65</f>
        <v>-119475.2958382052</v>
      </c>
      <c r="W21" s="81">
        <f>Data!V65</f>
        <v>-0.27306959907636053</v>
      </c>
    </row>
    <row r="22" spans="1:23" s="36" customFormat="1" ht="30" customHeight="1" x14ac:dyDescent="0.25">
      <c r="A22" s="78"/>
      <c r="B22" s="63" t="str">
        <f>Data!P36</f>
        <v>▼11%</v>
      </c>
      <c r="C22" s="86"/>
      <c r="D22" s="63" t="str">
        <f>Data!P37</f>
        <v>▼35%</v>
      </c>
      <c r="E22" s="86"/>
      <c r="F22" s="63" t="str">
        <f>Data!P38</f>
        <v>▲97%</v>
      </c>
      <c r="G22" s="79"/>
      <c r="H22" s="111" t="s">
        <v>15</v>
      </c>
      <c r="I22" s="111"/>
      <c r="J22" s="111"/>
      <c r="K22" s="111"/>
      <c r="L22" s="97">
        <f>Data!F66</f>
        <v>652473.15708478075</v>
      </c>
      <c r="M22" s="97">
        <f>Data!G66</f>
        <v>391039.93034392048</v>
      </c>
      <c r="N22" s="105">
        <f>Data!H66</f>
        <v>-261433.22674086026</v>
      </c>
      <c r="O22" s="98">
        <f>Data!I66</f>
        <v>-0.66855890269551033</v>
      </c>
      <c r="P22" s="114" t="s">
        <v>16</v>
      </c>
      <c r="Q22" s="110"/>
      <c r="R22" s="110"/>
      <c r="S22" s="110"/>
      <c r="T22" s="80">
        <f>Data!S66</f>
        <v>162734.24802162722</v>
      </c>
      <c r="U22" s="80">
        <f>Data!T66</f>
        <v>199594.10493848956</v>
      </c>
      <c r="V22" s="107">
        <f>Data!U66</f>
        <v>36859.856916862336</v>
      </c>
      <c r="W22" s="81">
        <f>Data!V66</f>
        <v>0.18467407606162375</v>
      </c>
    </row>
    <row r="23" spans="1:23" s="36" customFormat="1" ht="30" customHeight="1" x14ac:dyDescent="0.25">
      <c r="A23" s="78"/>
      <c r="B23" s="78"/>
      <c r="C23" s="78"/>
      <c r="D23" s="78"/>
      <c r="E23" s="78"/>
      <c r="F23" s="78"/>
      <c r="G23" s="79"/>
      <c r="H23" s="112" t="s">
        <v>17</v>
      </c>
      <c r="I23" s="112"/>
      <c r="J23" s="112"/>
      <c r="K23" s="112"/>
      <c r="L23" s="97">
        <f>Data!F67</f>
        <v>1713595.1183761882</v>
      </c>
      <c r="M23" s="97">
        <f>Data!G67</f>
        <v>1226700.6498561511</v>
      </c>
      <c r="N23" s="105">
        <f>Data!H67</f>
        <v>-486894.46852003713</v>
      </c>
      <c r="O23" s="98">
        <f>Data!I67</f>
        <v>-0.39691384249053163</v>
      </c>
      <c r="P23" s="115" t="s">
        <v>17</v>
      </c>
      <c r="Q23" s="112"/>
      <c r="R23" s="112"/>
      <c r="S23" s="112"/>
      <c r="T23" s="80">
        <f>Data!S67</f>
        <v>1713595.1183761882</v>
      </c>
      <c r="U23" s="80">
        <f>Data!T67</f>
        <v>1226700.6498561511</v>
      </c>
      <c r="V23" s="107">
        <f>Data!U67</f>
        <v>-486894.46852003713</v>
      </c>
      <c r="W23" s="81">
        <f>Data!V67</f>
        <v>-0.39691384249053163</v>
      </c>
    </row>
    <row r="24" spans="1:23" s="36" customFormat="1" ht="5.25" customHeight="1" x14ac:dyDescent="0.25">
      <c r="A24" s="87"/>
      <c r="B24" s="87"/>
      <c r="C24" s="87"/>
      <c r="D24" s="87"/>
      <c r="E24" s="87"/>
      <c r="F24" s="87"/>
      <c r="G24" s="88"/>
      <c r="H24" s="89"/>
      <c r="I24" s="89"/>
      <c r="J24" s="89"/>
      <c r="K24" s="89"/>
      <c r="L24" s="89"/>
      <c r="M24" s="89"/>
      <c r="N24" s="106"/>
      <c r="O24" s="90"/>
      <c r="P24" s="89"/>
      <c r="Q24" s="89"/>
      <c r="R24" s="89"/>
      <c r="S24" s="89"/>
      <c r="T24" s="89"/>
      <c r="U24" s="89"/>
      <c r="V24" s="106"/>
      <c r="W24" s="89"/>
    </row>
    <row r="25" spans="1:23" s="36" customFormat="1" ht="39.75" customHeight="1" x14ac:dyDescent="0.25">
      <c r="A25" s="55" t="s">
        <v>18</v>
      </c>
      <c r="B25" s="91"/>
      <c r="C25" s="92"/>
      <c r="D25" s="92"/>
      <c r="E25" s="92"/>
      <c r="F25" s="92"/>
      <c r="G25" s="93"/>
      <c r="H25" s="75" t="s">
        <v>1</v>
      </c>
      <c r="I25" s="73"/>
      <c r="J25" s="73"/>
      <c r="K25" s="73"/>
      <c r="L25" s="76" t="s">
        <v>19</v>
      </c>
      <c r="M25" s="76" t="s">
        <v>5</v>
      </c>
      <c r="N25" s="104" t="s">
        <v>6</v>
      </c>
      <c r="O25" s="77" t="s">
        <v>7</v>
      </c>
      <c r="P25" s="75" t="s">
        <v>8</v>
      </c>
      <c r="Q25" s="73"/>
      <c r="R25" s="73"/>
      <c r="S25" s="73"/>
      <c r="T25" s="76" t="s">
        <v>19</v>
      </c>
      <c r="U25" s="76" t="s">
        <v>5</v>
      </c>
      <c r="V25" s="104" t="s">
        <v>6</v>
      </c>
      <c r="W25" s="76" t="s">
        <v>7</v>
      </c>
    </row>
    <row r="26" spans="1:23" s="36" customFormat="1" ht="30" customHeight="1" x14ac:dyDescent="0.25">
      <c r="A26" s="78"/>
      <c r="B26" s="78"/>
      <c r="C26" s="78"/>
      <c r="D26" s="78"/>
      <c r="E26" s="78"/>
      <c r="F26" s="78"/>
      <c r="G26" s="79"/>
      <c r="H26" s="113" t="s">
        <v>9</v>
      </c>
      <c r="I26" s="111"/>
      <c r="J26" s="111"/>
      <c r="K26" s="111"/>
      <c r="L26" s="99">
        <f>Data!F73</f>
        <v>186041.77585563355</v>
      </c>
      <c r="M26" s="99">
        <f>Data!G73</f>
        <v>149044.15091578284</v>
      </c>
      <c r="N26" s="105">
        <f>Data!H73</f>
        <v>-36997.624939850706</v>
      </c>
      <c r="O26" s="98">
        <f>Data!I73</f>
        <v>-0.19886729617416934</v>
      </c>
      <c r="P26" s="113" t="s">
        <v>10</v>
      </c>
      <c r="Q26" s="111"/>
      <c r="R26" s="111"/>
      <c r="S26" s="111"/>
      <c r="T26" s="94">
        <f>Data!S73</f>
        <v>345149.04574716493</v>
      </c>
      <c r="U26" s="94">
        <f>Data!T73</f>
        <v>181800.87368730892</v>
      </c>
      <c r="V26" s="107">
        <f>Data!U73</f>
        <v>-163348.17205985601</v>
      </c>
      <c r="W26" s="81">
        <f>Data!V73</f>
        <v>-0.47326850261528719</v>
      </c>
    </row>
    <row r="27" spans="1:23" s="36" customFormat="1" ht="30" customHeight="1" x14ac:dyDescent="0.25">
      <c r="A27" s="78"/>
      <c r="B27" s="82" t="s">
        <v>25</v>
      </c>
      <c r="C27" s="78"/>
      <c r="D27" s="82" t="s">
        <v>32</v>
      </c>
      <c r="E27" s="78"/>
      <c r="F27" s="82" t="s">
        <v>86</v>
      </c>
      <c r="G27" s="79"/>
      <c r="H27" s="114" t="s">
        <v>11</v>
      </c>
      <c r="I27" s="110"/>
      <c r="J27" s="110"/>
      <c r="K27" s="110"/>
      <c r="L27" s="99">
        <f>Data!F74</f>
        <v>474959.40778463968</v>
      </c>
      <c r="M27" s="99">
        <f>Data!G74</f>
        <v>406377.09304932784</v>
      </c>
      <c r="N27" s="105">
        <f>Data!H74</f>
        <v>-68582.31473531184</v>
      </c>
      <c r="O27" s="98">
        <f>Data!I74</f>
        <v>-0.14439616020072402</v>
      </c>
      <c r="P27" s="114" t="s">
        <v>12</v>
      </c>
      <c r="Q27" s="110"/>
      <c r="R27" s="110"/>
      <c r="S27" s="110"/>
      <c r="T27" s="94">
        <f>Data!S74</f>
        <v>454792.85522019194</v>
      </c>
      <c r="U27" s="94">
        <f>Data!T74</f>
        <v>407778.76877646364</v>
      </c>
      <c r="V27" s="107">
        <f>Data!U74</f>
        <v>-47014.086443728302</v>
      </c>
      <c r="W27" s="81">
        <f>Data!V74</f>
        <v>-0.1033747252273038</v>
      </c>
    </row>
    <row r="28" spans="1:23" s="36" customFormat="1" ht="30" customHeight="1" x14ac:dyDescent="0.25">
      <c r="A28" s="83"/>
      <c r="B28" s="62">
        <f>Data!G55</f>
        <v>-382223.83729351661</v>
      </c>
      <c r="C28" s="62"/>
      <c r="D28" s="62">
        <f>Data!G56</f>
        <v>-334676.21879764437</v>
      </c>
      <c r="E28" s="62"/>
      <c r="F28" s="62">
        <f>Data!G57</f>
        <v>110093.94385587321</v>
      </c>
      <c r="G28" s="85"/>
      <c r="H28" s="114" t="s">
        <v>13</v>
      </c>
      <c r="I28" s="110"/>
      <c r="J28" s="110"/>
      <c r="K28" s="110"/>
      <c r="L28" s="99">
        <f>Data!F75</f>
        <v>347914.55385484797</v>
      </c>
      <c r="M28" s="99">
        <f>Data!G75</f>
        <v>280239.47554711963</v>
      </c>
      <c r="N28" s="105">
        <f>Data!H75</f>
        <v>-67675.078307728341</v>
      </c>
      <c r="O28" s="98">
        <f>Data!I75</f>
        <v>-0.19451637638580302</v>
      </c>
      <c r="P28" s="114" t="s">
        <v>14</v>
      </c>
      <c r="Q28" s="110"/>
      <c r="R28" s="110"/>
      <c r="S28" s="110"/>
      <c r="T28" s="94">
        <f>Data!S75</f>
        <v>634320.39576154039</v>
      </c>
      <c r="U28" s="94">
        <f>Data!T75</f>
        <v>437526.90245388838</v>
      </c>
      <c r="V28" s="107">
        <f>Data!U75</f>
        <v>-196793.49330765201</v>
      </c>
      <c r="W28" s="81">
        <f>Data!V75</f>
        <v>-0.31024304850136403</v>
      </c>
    </row>
    <row r="29" spans="1:23" s="36" customFormat="1" ht="30" customHeight="1" x14ac:dyDescent="0.25">
      <c r="A29" s="95"/>
      <c r="B29" s="63" t="str">
        <f>Data!P42</f>
        <v>▼21%</v>
      </c>
      <c r="C29" s="95"/>
      <c r="D29" s="63" t="str">
        <f>Data!P43</f>
        <v>▼23%</v>
      </c>
      <c r="E29" s="95"/>
      <c r="F29" s="63" t="str">
        <f>Data!P44</f>
        <v>▲56%</v>
      </c>
      <c r="G29" s="96"/>
      <c r="H29" s="114" t="s">
        <v>15</v>
      </c>
      <c r="I29" s="110"/>
      <c r="J29" s="110"/>
      <c r="K29" s="110"/>
      <c r="L29" s="99">
        <f>Data!F76</f>
        <v>662555.07501454628</v>
      </c>
      <c r="M29" s="99">
        <f>Data!G76</f>
        <v>391039.93034392048</v>
      </c>
      <c r="N29" s="105">
        <f>Data!H76</f>
        <v>-271515.1446706258</v>
      </c>
      <c r="O29" s="98">
        <f>Data!I76</f>
        <v>-0.40980011309197917</v>
      </c>
      <c r="P29" s="114" t="s">
        <v>16</v>
      </c>
      <c r="Q29" s="110"/>
      <c r="R29" s="110"/>
      <c r="S29" s="110"/>
      <c r="T29" s="94">
        <f>Data!S76</f>
        <v>237208.51578077063</v>
      </c>
      <c r="U29" s="94">
        <f>Data!T76</f>
        <v>199594.10493848956</v>
      </c>
      <c r="V29" s="107">
        <f>Data!U76</f>
        <v>-37614.410842281068</v>
      </c>
      <c r="W29" s="81">
        <f>Data!V76</f>
        <v>-0.15857108130571715</v>
      </c>
    </row>
    <row r="30" spans="1:23" s="36" customFormat="1" ht="30" customHeight="1" x14ac:dyDescent="0.25">
      <c r="A30" s="78"/>
      <c r="B30" s="78"/>
      <c r="C30" s="78"/>
      <c r="D30" s="78"/>
      <c r="E30" s="78"/>
      <c r="F30" s="78"/>
      <c r="G30" s="79"/>
      <c r="H30" s="115" t="s">
        <v>17</v>
      </c>
      <c r="I30" s="112"/>
      <c r="J30" s="112"/>
      <c r="K30" s="112"/>
      <c r="L30" s="99">
        <f>Data!F77</f>
        <v>1671470.8125096683</v>
      </c>
      <c r="M30" s="99">
        <f>Data!G77</f>
        <v>1226700.6498561511</v>
      </c>
      <c r="N30" s="105">
        <f>Data!H77</f>
        <v>-444770.16265351721</v>
      </c>
      <c r="O30" s="98">
        <f>Data!I77</f>
        <v>-0.2660950818433418</v>
      </c>
      <c r="P30" s="115" t="s">
        <v>17</v>
      </c>
      <c r="Q30" s="112"/>
      <c r="R30" s="112"/>
      <c r="S30" s="112"/>
      <c r="T30" s="94">
        <f>Data!S77</f>
        <v>1671470.8125096683</v>
      </c>
      <c r="U30" s="94">
        <f>Data!T77</f>
        <v>1226700.6498561511</v>
      </c>
      <c r="V30" s="107">
        <f>Data!U77</f>
        <v>-444770.16265351721</v>
      </c>
      <c r="W30" s="81">
        <f>Data!V77</f>
        <v>-0.2660950818433418</v>
      </c>
    </row>
    <row r="31" spans="1:23" s="36" customFormat="1" ht="5.25" customHeight="1" x14ac:dyDescent="0.25">
      <c r="A31" s="87"/>
      <c r="B31" s="87"/>
      <c r="C31" s="87"/>
      <c r="D31" s="87"/>
      <c r="E31" s="87"/>
      <c r="F31" s="87"/>
      <c r="G31" s="88"/>
      <c r="H31" s="89"/>
      <c r="I31" s="89"/>
      <c r="J31" s="89"/>
      <c r="K31" s="89"/>
      <c r="L31" s="89"/>
      <c r="M31" s="89"/>
      <c r="N31" s="106"/>
      <c r="O31" s="90"/>
      <c r="P31" s="89"/>
      <c r="Q31" s="89"/>
      <c r="R31" s="89"/>
      <c r="S31" s="89"/>
      <c r="T31" s="89"/>
      <c r="U31" s="89"/>
      <c r="V31" s="106"/>
      <c r="W31" s="89"/>
    </row>
    <row r="32" spans="1:23" s="36" customFormat="1" ht="39.75" customHeight="1" x14ac:dyDescent="0.25">
      <c r="A32" s="55" t="s">
        <v>20</v>
      </c>
      <c r="B32" s="92"/>
      <c r="C32" s="92"/>
      <c r="D32" s="92"/>
      <c r="E32" s="92"/>
      <c r="F32" s="92"/>
      <c r="G32" s="93"/>
      <c r="H32" s="75" t="s">
        <v>1</v>
      </c>
      <c r="I32" s="73"/>
      <c r="J32" s="73"/>
      <c r="K32" s="73"/>
      <c r="L32" s="76" t="s">
        <v>21</v>
      </c>
      <c r="M32" s="76" t="s">
        <v>5</v>
      </c>
      <c r="N32" s="104" t="s">
        <v>6</v>
      </c>
      <c r="O32" s="77" t="s">
        <v>7</v>
      </c>
      <c r="P32" s="75" t="s">
        <v>8</v>
      </c>
      <c r="Q32" s="73"/>
      <c r="R32" s="73"/>
      <c r="S32" s="73"/>
      <c r="T32" s="76" t="s">
        <v>21</v>
      </c>
      <c r="U32" s="76" t="s">
        <v>5</v>
      </c>
      <c r="V32" s="104" t="s">
        <v>6</v>
      </c>
      <c r="W32" s="76" t="s">
        <v>7</v>
      </c>
    </row>
    <row r="33" spans="1:23" ht="30" customHeight="1" x14ac:dyDescent="0.2">
      <c r="A33" s="78"/>
      <c r="B33" s="78"/>
      <c r="C33" s="78"/>
      <c r="D33" s="78"/>
      <c r="E33" s="78"/>
      <c r="F33" s="78"/>
      <c r="G33" s="79"/>
      <c r="H33" s="113" t="s">
        <v>9</v>
      </c>
      <c r="I33" s="111"/>
      <c r="J33" s="111"/>
      <c r="K33" s="111"/>
      <c r="L33" s="94">
        <f>Data!F83</f>
        <v>133217.19939438347</v>
      </c>
      <c r="M33" s="94">
        <f>Data!G83</f>
        <v>149044.15091578284</v>
      </c>
      <c r="N33" s="107">
        <f>Data!H83</f>
        <v>15826.951521399373</v>
      </c>
      <c r="O33" s="81">
        <f>Data!I83</f>
        <v>0.11880561664222052</v>
      </c>
      <c r="P33" s="113" t="s">
        <v>10</v>
      </c>
      <c r="Q33" s="111"/>
      <c r="R33" s="111"/>
      <c r="S33" s="111"/>
      <c r="T33" s="94">
        <f>Data!S83</f>
        <v>243403.20845116494</v>
      </c>
      <c r="U33" s="94">
        <f>Data!T83</f>
        <v>181800.87368730892</v>
      </c>
      <c r="V33" s="107">
        <f>Data!U83</f>
        <v>-61602.334763856023</v>
      </c>
      <c r="W33" s="81">
        <f>Data!V83</f>
        <v>-0.25308760371667643</v>
      </c>
    </row>
    <row r="34" spans="1:23" ht="30" customHeight="1" x14ac:dyDescent="0.2">
      <c r="A34" s="78"/>
      <c r="B34" s="82" t="s">
        <v>25</v>
      </c>
      <c r="C34" s="78"/>
      <c r="D34" s="82" t="s">
        <v>32</v>
      </c>
      <c r="E34" s="78"/>
      <c r="F34" s="82" t="s">
        <v>86</v>
      </c>
      <c r="G34" s="79"/>
      <c r="H34" s="114" t="s">
        <v>11</v>
      </c>
      <c r="I34" s="110"/>
      <c r="J34" s="110"/>
      <c r="K34" s="110"/>
      <c r="L34" s="94">
        <f>Data!F84</f>
        <v>346733.86120263982</v>
      </c>
      <c r="M34" s="94">
        <f>Data!G84</f>
        <v>406377.09304932784</v>
      </c>
      <c r="N34" s="107">
        <f>Data!H84</f>
        <v>59643.231846688024</v>
      </c>
      <c r="O34" s="81">
        <f>Data!I84</f>
        <v>0.17201444254627052</v>
      </c>
      <c r="P34" s="114" t="s">
        <v>12</v>
      </c>
      <c r="Q34" s="110"/>
      <c r="R34" s="110"/>
      <c r="S34" s="110"/>
      <c r="T34" s="94">
        <f>Data!S84</f>
        <v>334034.398419192</v>
      </c>
      <c r="U34" s="94">
        <f>Data!T84</f>
        <v>407778.76877646364</v>
      </c>
      <c r="V34" s="105">
        <f>Data!U84</f>
        <v>73744.370357271633</v>
      </c>
      <c r="W34" s="81">
        <f>Data!V84</f>
        <v>0.22076879119714826</v>
      </c>
    </row>
    <row r="35" spans="1:23" ht="30" customHeight="1" x14ac:dyDescent="0.2">
      <c r="A35" s="83"/>
      <c r="B35" s="62">
        <f>Data!H55</f>
        <v>123413.54370648321</v>
      </c>
      <c r="C35" s="62"/>
      <c r="D35" s="62">
        <f>Data!H56</f>
        <v>51798.500002355548</v>
      </c>
      <c r="E35" s="62"/>
      <c r="F35" s="62">
        <f>Data!H57</f>
        <v>18230.750591623437</v>
      </c>
      <c r="G35" s="85"/>
      <c r="H35" s="114" t="s">
        <v>13</v>
      </c>
      <c r="I35" s="110"/>
      <c r="J35" s="110"/>
      <c r="K35" s="110"/>
      <c r="L35" s="94">
        <f>Data!F85</f>
        <v>253260.13285234827</v>
      </c>
      <c r="M35" s="94">
        <f>Data!G85</f>
        <v>280239.47554711963</v>
      </c>
      <c r="N35" s="107">
        <f>Data!H85</f>
        <v>26979.34269477136</v>
      </c>
      <c r="O35" s="81">
        <f>Data!I85</f>
        <v>0.10652818661553981</v>
      </c>
      <c r="P35" s="114" t="s">
        <v>14</v>
      </c>
      <c r="Q35" s="110"/>
      <c r="R35" s="110"/>
      <c r="S35" s="110"/>
      <c r="T35" s="94">
        <f>Data!S85</f>
        <v>443239.76381928992</v>
      </c>
      <c r="U35" s="94">
        <f>Data!T85</f>
        <v>437526.90245388838</v>
      </c>
      <c r="V35" s="107">
        <f>Data!U85</f>
        <v>-5712.8613654015353</v>
      </c>
      <c r="W35" s="81">
        <f>Data!V85</f>
        <v>-1.2888873769300818E-2</v>
      </c>
    </row>
    <row r="36" spans="1:23" ht="30" customHeight="1" x14ac:dyDescent="0.2">
      <c r="A36" s="95"/>
      <c r="B36" s="63" t="str">
        <f>Data!P48</f>
        <v>▲9%</v>
      </c>
      <c r="C36" s="95"/>
      <c r="D36" s="63" t="str">
        <f>Data!P49</f>
        <v>▲5%</v>
      </c>
      <c r="E36" s="95"/>
      <c r="F36" s="63" t="str">
        <f>Data!P50</f>
        <v>▲18%</v>
      </c>
      <c r="G36" s="96"/>
      <c r="H36" s="114" t="s">
        <v>15</v>
      </c>
      <c r="I36" s="110"/>
      <c r="J36" s="110"/>
      <c r="K36" s="110"/>
      <c r="L36" s="94">
        <f>Data!F86</f>
        <v>459921.70699604641</v>
      </c>
      <c r="M36" s="94">
        <f>Data!G86</f>
        <v>391039.93034392048</v>
      </c>
      <c r="N36" s="107">
        <f>Data!H86</f>
        <v>-68881.776652125933</v>
      </c>
      <c r="O36" s="81">
        <f>Data!I86</f>
        <v>-0.14976848364480014</v>
      </c>
      <c r="P36" s="114" t="s">
        <v>16</v>
      </c>
      <c r="Q36" s="110"/>
      <c r="R36" s="110"/>
      <c r="S36" s="110"/>
      <c r="T36" s="94">
        <f>Data!S86</f>
        <v>172455.52975577069</v>
      </c>
      <c r="U36" s="94">
        <f>Data!T86</f>
        <v>199594.10493848956</v>
      </c>
      <c r="V36" s="105">
        <f>Data!U86</f>
        <v>27138.575182718865</v>
      </c>
      <c r="W36" s="81">
        <f>Data!V86</f>
        <v>0.15736564215222421</v>
      </c>
    </row>
    <row r="37" spans="1:23" ht="30" customHeight="1" x14ac:dyDescent="0.2">
      <c r="A37" s="78"/>
      <c r="B37" s="78"/>
      <c r="C37" s="78"/>
      <c r="D37" s="78"/>
      <c r="E37" s="78"/>
      <c r="F37" s="78"/>
      <c r="G37" s="79"/>
      <c r="H37" s="115" t="s">
        <v>17</v>
      </c>
      <c r="I37" s="112"/>
      <c r="J37" s="112"/>
      <c r="K37" s="112"/>
      <c r="L37" s="94">
        <f>Data!F87</f>
        <v>1193132.9004454182</v>
      </c>
      <c r="M37" s="94">
        <f>Data!G87</f>
        <v>1226700.6498561511</v>
      </c>
      <c r="N37" s="107">
        <f>Data!H87</f>
        <v>33567.749410732882</v>
      </c>
      <c r="O37" s="81">
        <f>Data!I87</f>
        <v>2.8134124369717264E-2</v>
      </c>
      <c r="P37" s="115" t="s">
        <v>17</v>
      </c>
      <c r="Q37" s="112"/>
      <c r="R37" s="112"/>
      <c r="S37" s="112"/>
      <c r="T37" s="94">
        <f>Data!S87</f>
        <v>1193132.9004454182</v>
      </c>
      <c r="U37" s="94">
        <f>Data!T87</f>
        <v>1226700.6498561511</v>
      </c>
      <c r="V37" s="107">
        <f>Data!U87</f>
        <v>33567.749410732882</v>
      </c>
      <c r="W37" s="81">
        <f>Data!V87</f>
        <v>2.8134124369717264E-2</v>
      </c>
    </row>
  </sheetData>
  <mergeCells count="30">
    <mergeCell ref="P34:S34"/>
    <mergeCell ref="P35:S35"/>
    <mergeCell ref="P36:S36"/>
    <mergeCell ref="P37:S37"/>
    <mergeCell ref="P27:S27"/>
    <mergeCell ref="P28:S28"/>
    <mergeCell ref="P29:S29"/>
    <mergeCell ref="P30:S30"/>
    <mergeCell ref="P33:S33"/>
    <mergeCell ref="H36:K36"/>
    <mergeCell ref="H37:K37"/>
    <mergeCell ref="P19:S19"/>
    <mergeCell ref="P20:S20"/>
    <mergeCell ref="P21:S21"/>
    <mergeCell ref="P22:S22"/>
    <mergeCell ref="P23:S23"/>
    <mergeCell ref="H27:K27"/>
    <mergeCell ref="H28:K28"/>
    <mergeCell ref="H29:K29"/>
    <mergeCell ref="H30:K30"/>
    <mergeCell ref="H33:K33"/>
    <mergeCell ref="H34:K34"/>
    <mergeCell ref="H19:K19"/>
    <mergeCell ref="H20:K20"/>
    <mergeCell ref="P26:S26"/>
    <mergeCell ref="H21:K21"/>
    <mergeCell ref="H22:K22"/>
    <mergeCell ref="H23:K23"/>
    <mergeCell ref="H26:K26"/>
    <mergeCell ref="H35:K35"/>
  </mergeCells>
  <conditionalFormatting sqref="A19:G37">
    <cfRule type="cellIs" dxfId="1" priority="3" operator="lessThan">
      <formula>0</formula>
    </cfRule>
  </conditionalFormatting>
  <conditionalFormatting sqref="B22:F22 A29:F29 B36:F36">
    <cfRule type="cellIs" dxfId="0" priority="2" operator="lessThan">
      <formula>0</formula>
    </cfRule>
  </conditionalFormatting>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75511-7C05-4EE6-8128-AD43C718D7E5}">
  <dimension ref="A7:V87"/>
  <sheetViews>
    <sheetView zoomScale="85" zoomScaleNormal="85" workbookViewId="0">
      <selection activeCell="N26" sqref="N26"/>
    </sheetView>
  </sheetViews>
  <sheetFormatPr baseColWidth="10" defaultRowHeight="15" x14ac:dyDescent="0.25"/>
  <cols>
    <col min="1" max="1" width="25.42578125" bestFit="1" customWidth="1"/>
    <col min="2" max="2" width="9.28515625" bestFit="1" customWidth="1"/>
    <col min="3" max="3" width="12.7109375" bestFit="1" customWidth="1"/>
    <col min="4" max="4" width="9" bestFit="1" customWidth="1"/>
    <col min="5" max="5" width="23" bestFit="1" customWidth="1"/>
    <col min="6" max="6" width="11.42578125" bestFit="1" customWidth="1"/>
    <col min="7" max="7" width="16.5703125" bestFit="1" customWidth="1"/>
    <col min="8" max="8" width="18.28515625" bestFit="1" customWidth="1"/>
    <col min="9" max="9" width="18.85546875" bestFit="1" customWidth="1"/>
    <col min="10" max="10" width="8.140625" customWidth="1"/>
    <col min="11" max="11" width="10.85546875" customWidth="1"/>
    <col min="12" max="15" width="5.7109375" style="56" customWidth="1"/>
    <col min="16" max="16" width="8.85546875" style="56" customWidth="1"/>
    <col min="17" max="17" width="8.42578125" bestFit="1" customWidth="1"/>
    <col min="18" max="18" width="22.7109375" bestFit="1" customWidth="1"/>
    <col min="19" max="19" width="17.28515625" bestFit="1" customWidth="1"/>
    <col min="20" max="20" width="16.5703125" bestFit="1" customWidth="1"/>
    <col min="21" max="21" width="23.140625" bestFit="1" customWidth="1"/>
    <col min="22" max="22" width="16.42578125" bestFit="1" customWidth="1"/>
    <col min="23" max="23" width="20.5703125" bestFit="1" customWidth="1"/>
    <col min="24" max="24" width="28.28515625" bestFit="1" customWidth="1"/>
    <col min="25" max="25" width="9" bestFit="1" customWidth="1"/>
    <col min="26" max="26" width="12.7109375" bestFit="1" customWidth="1"/>
    <col min="27" max="27" width="9.28515625" bestFit="1" customWidth="1"/>
    <col min="28" max="28" width="12.7109375" bestFit="1" customWidth="1"/>
    <col min="29" max="29" width="9" bestFit="1" customWidth="1"/>
    <col min="30" max="30" width="12.7109375" bestFit="1" customWidth="1"/>
    <col min="31" max="31" width="9.140625" bestFit="1" customWidth="1"/>
    <col min="32" max="32" width="12.7109375" bestFit="1" customWidth="1"/>
    <col min="33" max="33" width="17.140625" bestFit="1" customWidth="1"/>
    <col min="34" max="34" width="20.85546875" bestFit="1" customWidth="1"/>
    <col min="35" max="35" width="21.85546875" bestFit="1" customWidth="1"/>
    <col min="36" max="37" width="19.7109375" bestFit="1" customWidth="1"/>
    <col min="38" max="38" width="20.7109375" bestFit="1" customWidth="1"/>
    <col min="39" max="39" width="31.140625" bestFit="1" customWidth="1"/>
    <col min="40" max="40" width="31" bestFit="1" customWidth="1"/>
    <col min="41" max="41" width="29.140625" bestFit="1" customWidth="1"/>
    <col min="42" max="42" width="31" bestFit="1" customWidth="1"/>
    <col min="43" max="43" width="29.140625" bestFit="1" customWidth="1"/>
    <col min="44" max="44" width="30.140625" bestFit="1" customWidth="1"/>
    <col min="45" max="45" width="31.7109375" bestFit="1" customWidth="1"/>
    <col min="46" max="46" width="33.140625" bestFit="1" customWidth="1"/>
    <col min="47" max="47" width="21.42578125" bestFit="1" customWidth="1"/>
    <col min="48" max="48" width="23.28515625" bestFit="1" customWidth="1"/>
    <col min="49" max="49" width="24.140625" bestFit="1" customWidth="1"/>
    <col min="50" max="52" width="12.42578125" bestFit="1" customWidth="1"/>
    <col min="53" max="53" width="21.85546875" bestFit="1" customWidth="1"/>
    <col min="54" max="55" width="19.7109375" bestFit="1" customWidth="1"/>
    <col min="56" max="56" width="20.7109375" bestFit="1" customWidth="1"/>
    <col min="57" max="57" width="31.140625" bestFit="1" customWidth="1"/>
    <col min="58" max="58" width="31" bestFit="1" customWidth="1"/>
    <col min="59" max="59" width="29.140625" bestFit="1" customWidth="1"/>
    <col min="60" max="60" width="31" bestFit="1" customWidth="1"/>
    <col min="61" max="61" width="29.140625" bestFit="1" customWidth="1"/>
    <col min="62" max="62" width="30.140625" bestFit="1" customWidth="1"/>
    <col min="63" max="63" width="31.7109375" bestFit="1" customWidth="1"/>
    <col min="64" max="64" width="33.140625" bestFit="1" customWidth="1"/>
    <col min="65" max="65" width="21.42578125" bestFit="1" customWidth="1"/>
    <col min="66" max="66" width="23.28515625" bestFit="1" customWidth="1"/>
    <col min="67" max="67" width="17" bestFit="1" customWidth="1"/>
    <col min="68" max="70" width="12.42578125" bestFit="1" customWidth="1"/>
    <col min="71" max="71" width="21.85546875" bestFit="1" customWidth="1"/>
    <col min="72" max="73" width="19.7109375" bestFit="1" customWidth="1"/>
    <col min="74" max="74" width="20.7109375" bestFit="1" customWidth="1"/>
    <col min="75" max="75" width="31.140625" bestFit="1" customWidth="1"/>
    <col min="76" max="76" width="31" bestFit="1" customWidth="1"/>
    <col min="77" max="77" width="29.140625" bestFit="1" customWidth="1"/>
    <col min="78" max="78" width="31" bestFit="1" customWidth="1"/>
    <col min="79" max="79" width="29.140625" bestFit="1" customWidth="1"/>
    <col min="80" max="80" width="30.140625" bestFit="1" customWidth="1"/>
    <col min="81" max="81" width="31.7109375" bestFit="1" customWidth="1"/>
    <col min="82" max="82" width="33.140625" bestFit="1" customWidth="1"/>
    <col min="83" max="83" width="21.42578125" bestFit="1" customWidth="1"/>
    <col min="84" max="84" width="23.28515625" bestFit="1" customWidth="1"/>
    <col min="85" max="85" width="20.140625" bestFit="1" customWidth="1"/>
    <col min="86" max="88" width="20.5703125" bestFit="1" customWidth="1"/>
    <col min="89" max="89" width="30" bestFit="1" customWidth="1"/>
    <col min="90" max="91" width="28" bestFit="1" customWidth="1"/>
    <col min="92" max="92" width="29" bestFit="1" customWidth="1"/>
    <col min="93" max="93" width="39.42578125" bestFit="1" customWidth="1"/>
    <col min="94" max="94" width="39.28515625" bestFit="1" customWidth="1"/>
    <col min="95" max="95" width="37.42578125" bestFit="1" customWidth="1"/>
    <col min="96" max="96" width="39.28515625" bestFit="1" customWidth="1"/>
    <col min="97" max="97" width="37.42578125" bestFit="1" customWidth="1"/>
    <col min="98" max="98" width="38.42578125" bestFit="1" customWidth="1"/>
    <col min="99" max="99" width="39.85546875" bestFit="1" customWidth="1"/>
    <col min="100" max="100" width="41.28515625" bestFit="1" customWidth="1"/>
    <col min="101" max="101" width="29.5703125" bestFit="1" customWidth="1"/>
    <col min="102" max="102" width="31.5703125" bestFit="1" customWidth="1"/>
    <col min="103" max="103" width="6.42578125" bestFit="1" customWidth="1"/>
    <col min="104" max="104" width="8.140625" bestFit="1" customWidth="1"/>
    <col min="105" max="105" width="26.85546875" bestFit="1" customWidth="1"/>
    <col min="106" max="106" width="18.85546875" bestFit="1" customWidth="1"/>
    <col min="107" max="107" width="22.42578125" bestFit="1" customWidth="1"/>
    <col min="108" max="108" width="19.7109375" bestFit="1" customWidth="1"/>
    <col min="109" max="109" width="21.85546875" bestFit="1" customWidth="1"/>
    <col min="110" max="110" width="21.28515625" bestFit="1" customWidth="1"/>
    <col min="111" max="111" width="15.5703125" bestFit="1" customWidth="1"/>
    <col min="112" max="112" width="21" bestFit="1" customWidth="1"/>
    <col min="113" max="113" width="11.7109375" bestFit="1" customWidth="1"/>
    <col min="114" max="114" width="16.42578125" bestFit="1" customWidth="1"/>
    <col min="115" max="115" width="9.85546875" bestFit="1" customWidth="1"/>
    <col min="116" max="116" width="16.42578125" bestFit="1" customWidth="1"/>
    <col min="117" max="117" width="15.28515625" bestFit="1" customWidth="1"/>
    <col min="118" max="118" width="10.42578125" bestFit="1" customWidth="1"/>
    <col min="119" max="119" width="8" bestFit="1" customWidth="1"/>
    <col min="120" max="120" width="21.7109375" bestFit="1" customWidth="1"/>
    <col min="121" max="121" width="22.140625" bestFit="1" customWidth="1"/>
    <col min="123" max="123" width="20.85546875" bestFit="1" customWidth="1"/>
    <col min="124" max="124" width="17.140625" bestFit="1" customWidth="1"/>
    <col min="125" max="125" width="14.85546875" bestFit="1" customWidth="1"/>
    <col min="126" max="126" width="22.42578125" bestFit="1" customWidth="1"/>
    <col min="127" max="127" width="12.7109375" bestFit="1" customWidth="1"/>
    <col min="128" max="128" width="15" bestFit="1" customWidth="1"/>
    <col min="129" max="129" width="12.7109375" bestFit="1" customWidth="1"/>
    <col min="130" max="130" width="14.5703125" bestFit="1" customWidth="1"/>
    <col min="131" max="131" width="5.85546875" bestFit="1" customWidth="1"/>
    <col min="132" max="132" width="15.5703125" bestFit="1" customWidth="1"/>
    <col min="133" max="133" width="16.42578125" bestFit="1" customWidth="1"/>
    <col min="134" max="134" width="6.42578125" bestFit="1" customWidth="1"/>
    <col min="135" max="135" width="8.140625" bestFit="1" customWidth="1"/>
    <col min="136" max="136" width="26.85546875" bestFit="1" customWidth="1"/>
    <col min="137" max="137" width="15.85546875" bestFit="1" customWidth="1"/>
  </cols>
  <sheetData>
    <row r="7" spans="1:22" x14ac:dyDescent="0.25">
      <c r="E7" s="50" t="s">
        <v>77</v>
      </c>
      <c r="F7" t="s" vm="1">
        <v>33</v>
      </c>
      <c r="R7" s="50" t="s">
        <v>77</v>
      </c>
      <c r="S7" t="s" vm="1">
        <v>33</v>
      </c>
    </row>
    <row r="9" spans="1:22" x14ac:dyDescent="0.25">
      <c r="A9" s="50" t="s">
        <v>131</v>
      </c>
      <c r="B9" t="s">
        <v>25</v>
      </c>
      <c r="C9" t="s">
        <v>130</v>
      </c>
      <c r="E9" s="50" t="s">
        <v>132</v>
      </c>
      <c r="F9" s="50" t="s">
        <v>129</v>
      </c>
      <c r="R9" s="50" t="s">
        <v>132</v>
      </c>
      <c r="S9" s="50" t="s">
        <v>129</v>
      </c>
    </row>
    <row r="10" spans="1:22" x14ac:dyDescent="0.25">
      <c r="A10" s="1" t="s">
        <v>152</v>
      </c>
      <c r="B10" s="51">
        <v>115302.80625879722</v>
      </c>
      <c r="C10" s="52">
        <v>0.79904087756188646</v>
      </c>
      <c r="E10" s="50" t="s">
        <v>127</v>
      </c>
      <c r="F10" t="s">
        <v>9</v>
      </c>
      <c r="G10" t="s">
        <v>11</v>
      </c>
      <c r="H10" t="s">
        <v>13</v>
      </c>
      <c r="I10" t="s">
        <v>15</v>
      </c>
      <c r="R10" s="50" t="s">
        <v>127</v>
      </c>
      <c r="S10" t="s">
        <v>10</v>
      </c>
      <c r="T10" t="s">
        <v>12</v>
      </c>
      <c r="U10" t="s">
        <v>14</v>
      </c>
      <c r="V10" t="s">
        <v>44</v>
      </c>
    </row>
    <row r="11" spans="1:22" x14ac:dyDescent="0.25">
      <c r="A11" s="1" t="s">
        <v>153</v>
      </c>
      <c r="B11" s="51">
        <v>118761.89044656114</v>
      </c>
      <c r="C11" s="52">
        <v>0.85829608283308279</v>
      </c>
      <c r="E11" s="1" t="s">
        <v>152</v>
      </c>
      <c r="F11" s="53">
        <v>12023.518620775505</v>
      </c>
      <c r="G11" s="53">
        <v>31632.257204842495</v>
      </c>
      <c r="H11" s="53">
        <v>23128.108775404224</v>
      </c>
      <c r="I11" s="53">
        <v>35273.847168260814</v>
      </c>
      <c r="J11" s="53"/>
      <c r="K11" s="53"/>
      <c r="L11" s="57"/>
      <c r="M11" s="57"/>
      <c r="N11" s="57"/>
      <c r="O11" s="57"/>
      <c r="P11" s="57"/>
      <c r="R11" s="1" t="s">
        <v>152</v>
      </c>
      <c r="S11" s="53">
        <v>16401.450126074356</v>
      </c>
      <c r="T11" s="53">
        <v>31067.125406550505</v>
      </c>
      <c r="U11" s="53">
        <v>39060.712424119287</v>
      </c>
      <c r="V11" s="53">
        <v>15528.443812538881</v>
      </c>
    </row>
    <row r="12" spans="1:22" x14ac:dyDescent="0.25">
      <c r="A12" s="1" t="s">
        <v>154</v>
      </c>
      <c r="B12" s="51">
        <v>115199.03373316431</v>
      </c>
      <c r="C12" s="52">
        <v>0.76672751661483607</v>
      </c>
      <c r="E12" s="1" t="s">
        <v>153</v>
      </c>
      <c r="F12" s="53">
        <v>11894.970766132357</v>
      </c>
      <c r="G12" s="53">
        <v>32838.838861917866</v>
      </c>
      <c r="H12" s="53">
        <v>21769.636886875916</v>
      </c>
      <c r="I12" s="53">
        <v>36332.062583308631</v>
      </c>
      <c r="J12" s="53"/>
      <c r="K12" s="53"/>
      <c r="L12" s="57"/>
      <c r="M12" s="57"/>
      <c r="N12" s="57"/>
      <c r="O12" s="57"/>
      <c r="P12" s="57"/>
      <c r="R12" s="1" t="s">
        <v>153</v>
      </c>
      <c r="S12" s="53">
        <v>16822.569064192194</v>
      </c>
      <c r="T12" s="53">
        <v>32172.833540030737</v>
      </c>
      <c r="U12" s="53">
        <v>37857.273268431556</v>
      </c>
      <c r="V12" s="53">
        <v>15982.833225580287</v>
      </c>
    </row>
    <row r="13" spans="1:22" x14ac:dyDescent="0.25">
      <c r="A13" s="1" t="s">
        <v>155</v>
      </c>
      <c r="B13" s="51">
        <v>111743.06272116938</v>
      </c>
      <c r="C13" s="52">
        <v>0.85494873018177286</v>
      </c>
      <c r="E13" s="1" t="s">
        <v>154</v>
      </c>
      <c r="F13" s="53">
        <v>12251.819889116328</v>
      </c>
      <c r="G13" s="53">
        <v>34094.709676089311</v>
      </c>
      <c r="H13" s="53">
        <v>22422.725993482192</v>
      </c>
      <c r="I13" s="53">
        <v>32251.101487757747</v>
      </c>
      <c r="J13" s="53"/>
      <c r="K13" s="53"/>
      <c r="L13" s="57"/>
      <c r="M13" s="57"/>
      <c r="N13" s="57"/>
      <c r="O13" s="57"/>
      <c r="P13" s="57"/>
      <c r="R13" s="1" t="s">
        <v>154</v>
      </c>
      <c r="S13" s="53">
        <v>16696.001856192448</v>
      </c>
      <c r="T13" s="53">
        <v>32951.276205901428</v>
      </c>
      <c r="U13" s="53">
        <v>34922.453941365464</v>
      </c>
      <c r="V13" s="53">
        <v>16450.625042986241</v>
      </c>
    </row>
    <row r="14" spans="1:22" x14ac:dyDescent="0.25">
      <c r="A14" s="1" t="s">
        <v>156</v>
      </c>
      <c r="B14" s="51">
        <v>115095.35460280447</v>
      </c>
      <c r="C14" s="52">
        <v>0.88392582834946609</v>
      </c>
      <c r="E14" s="1" t="s">
        <v>155</v>
      </c>
      <c r="F14" s="53">
        <v>12619.374485789818</v>
      </c>
      <c r="G14" s="53">
        <v>33412.815482567523</v>
      </c>
      <c r="H14" s="53">
        <v>23095.407773286661</v>
      </c>
      <c r="I14" s="53">
        <v>32042.492079250555</v>
      </c>
      <c r="J14" s="53"/>
      <c r="K14" s="53"/>
      <c r="L14" s="57"/>
      <c r="M14" s="57"/>
      <c r="N14" s="57"/>
      <c r="O14" s="57"/>
      <c r="P14" s="57"/>
      <c r="R14" s="1" t="s">
        <v>155</v>
      </c>
      <c r="S14" s="53">
        <v>16544.446047727837</v>
      </c>
      <c r="T14" s="53">
        <v>32735.772467637176</v>
      </c>
      <c r="U14" s="53">
        <v>35415.541118793895</v>
      </c>
      <c r="V14" s="53">
        <v>16474.330186735646</v>
      </c>
    </row>
    <row r="15" spans="1:22" x14ac:dyDescent="0.25">
      <c r="A15" s="1" t="s">
        <v>157</v>
      </c>
      <c r="B15" s="51">
        <v>118548.2152408886</v>
      </c>
      <c r="C15" s="52">
        <v>0.80283340891690558</v>
      </c>
      <c r="E15" s="1" t="s">
        <v>156</v>
      </c>
      <c r="F15" s="53">
        <v>12632.607716303912</v>
      </c>
      <c r="G15" s="53">
        <v>34041.889936105057</v>
      </c>
      <c r="H15" s="53">
        <v>23516.567964248505</v>
      </c>
      <c r="I15" s="53">
        <v>33003.766841628072</v>
      </c>
      <c r="J15" s="53"/>
      <c r="K15" s="53"/>
      <c r="L15" s="57"/>
      <c r="M15" s="57"/>
      <c r="N15" s="57"/>
      <c r="O15" s="57"/>
      <c r="P15" s="57"/>
      <c r="R15" s="1" t="s">
        <v>156</v>
      </c>
      <c r="S15" s="53">
        <v>16972.670686046178</v>
      </c>
      <c r="T15" s="53">
        <v>33633.811682883032</v>
      </c>
      <c r="U15" s="53">
        <v>35914.630074865592</v>
      </c>
      <c r="V15" s="53">
        <v>16673.720014490755</v>
      </c>
    </row>
    <row r="16" spans="1:22" x14ac:dyDescent="0.25">
      <c r="A16" s="1" t="s">
        <v>158</v>
      </c>
      <c r="B16" s="51">
        <v>122104.66169811526</v>
      </c>
      <c r="C16" s="52">
        <v>0.83166674738698654</v>
      </c>
      <c r="E16" s="1" t="s">
        <v>157</v>
      </c>
      <c r="F16" s="53">
        <v>12268.277323852715</v>
      </c>
      <c r="G16" s="53">
        <v>34756.150578634668</v>
      </c>
      <c r="H16" s="53">
        <v>24222.065003175961</v>
      </c>
      <c r="I16" s="53">
        <v>31886.790375003955</v>
      </c>
      <c r="J16" s="53"/>
      <c r="K16" s="53"/>
      <c r="L16" s="57"/>
      <c r="M16" s="57"/>
      <c r="N16" s="57"/>
      <c r="O16" s="57"/>
      <c r="P16" s="57"/>
      <c r="R16" s="1" t="s">
        <v>157</v>
      </c>
      <c r="S16" s="53">
        <v>15498.436000701864</v>
      </c>
      <c r="T16" s="53">
        <v>34839.877520995695</v>
      </c>
      <c r="U16" s="53">
        <v>36078.104053261457</v>
      </c>
      <c r="V16" s="53">
        <v>16716.865705708278</v>
      </c>
    </row>
    <row r="17" spans="1:22" x14ac:dyDescent="0.25">
      <c r="A17" s="1" t="s">
        <v>159</v>
      </c>
      <c r="B17" s="51">
        <v>118441.5218471718</v>
      </c>
      <c r="C17" s="52">
        <v>0.84920971353163421</v>
      </c>
      <c r="E17" s="1" t="s">
        <v>158</v>
      </c>
      <c r="F17" s="53">
        <v>12261.712260179256</v>
      </c>
      <c r="G17" s="53">
        <v>33779.331407246937</v>
      </c>
      <c r="H17" s="53">
        <v>24616.367415971006</v>
      </c>
      <c r="I17" s="53">
        <v>31209.315594442724</v>
      </c>
      <c r="R17" s="1" t="s">
        <v>158</v>
      </c>
      <c r="S17" s="53">
        <v>14253.124387410255</v>
      </c>
      <c r="T17" s="53">
        <v>34959.127561984642</v>
      </c>
      <c r="U17" s="53">
        <v>36255.721268516114</v>
      </c>
      <c r="V17" s="53">
        <v>16398.753459928896</v>
      </c>
    </row>
    <row r="18" spans="1:22" x14ac:dyDescent="0.25">
      <c r="A18" s="1" t="s">
        <v>160</v>
      </c>
      <c r="B18" s="51">
        <v>121994.76750258695</v>
      </c>
      <c r="C18" s="52">
        <v>0.76779678144155106</v>
      </c>
      <c r="E18" s="1" t="s">
        <v>159</v>
      </c>
      <c r="F18" s="53">
        <v>12284.108795255632</v>
      </c>
      <c r="G18" s="53">
        <v>35063.768967627708</v>
      </c>
      <c r="H18" s="53">
        <v>25354.858438450141</v>
      </c>
      <c r="I18" s="53">
        <v>31818.882410318252</v>
      </c>
      <c r="R18" s="1" t="s">
        <v>159</v>
      </c>
      <c r="S18" s="53">
        <v>14695.650614526821</v>
      </c>
      <c r="T18" s="53">
        <v>35538.499884924749</v>
      </c>
      <c r="U18" s="53">
        <v>37408.669551696039</v>
      </c>
      <c r="V18" s="53">
        <v>16878.79856050411</v>
      </c>
    </row>
    <row r="19" spans="1:22" x14ac:dyDescent="0.25">
      <c r="A19" s="1" t="s">
        <v>161</v>
      </c>
      <c r="B19" s="51">
        <v>125654.61052766457</v>
      </c>
      <c r="C19" s="52">
        <v>0.78628782484049153</v>
      </c>
      <c r="E19" s="1" t="s">
        <v>160</v>
      </c>
      <c r="F19" s="53">
        <v>12261.005678721382</v>
      </c>
      <c r="G19" s="53">
        <v>33960.72740327553</v>
      </c>
      <c r="H19" s="53">
        <v>23642.783191670154</v>
      </c>
      <c r="I19" s="53">
        <v>31891.324722341862</v>
      </c>
      <c r="R19" s="1" t="s">
        <v>160</v>
      </c>
      <c r="S19" s="53">
        <v>14396.980448587292</v>
      </c>
      <c r="T19" s="53">
        <v>34379.033843088793</v>
      </c>
      <c r="U19" s="53">
        <v>36085.907223091592</v>
      </c>
      <c r="V19" s="53">
        <v>16893.919481241257</v>
      </c>
    </row>
    <row r="20" spans="1:22" x14ac:dyDescent="0.25">
      <c r="A20" s="1" t="s">
        <v>162</v>
      </c>
      <c r="B20" s="51">
        <v>129424.24884349451</v>
      </c>
      <c r="C20" s="52">
        <v>0.67467631779081616</v>
      </c>
      <c r="E20" s="1" t="s">
        <v>161</v>
      </c>
      <c r="F20" s="53">
        <v>12560.932549544288</v>
      </c>
      <c r="G20" s="53">
        <v>34671.088505040869</v>
      </c>
      <c r="H20" s="53">
        <v>22367.103675060986</v>
      </c>
      <c r="I20" s="53">
        <v>32318.789967840552</v>
      </c>
      <c r="R20" s="1" t="s">
        <v>161</v>
      </c>
      <c r="S20" s="53">
        <v>14246.931265742358</v>
      </c>
      <c r="T20" s="53">
        <v>35031.468007029092</v>
      </c>
      <c r="U20" s="53">
        <v>35250.691095258109</v>
      </c>
      <c r="V20" s="53">
        <v>17388.824329457133</v>
      </c>
    </row>
    <row r="21" spans="1:22" x14ac:dyDescent="0.25">
      <c r="A21" s="1" t="s">
        <v>163</v>
      </c>
      <c r="B21" s="51">
        <v>125541.52137818967</v>
      </c>
      <c r="C21" s="52">
        <v>0.67128242223700796</v>
      </c>
      <c r="E21" s="1" t="s">
        <v>162</v>
      </c>
      <c r="F21" s="53">
        <v>12937.760526030614</v>
      </c>
      <c r="G21" s="53">
        <v>33652.236125090356</v>
      </c>
      <c r="H21" s="53">
        <v>22711.256369208888</v>
      </c>
      <c r="I21" s="53">
        <v>31770.59223197246</v>
      </c>
      <c r="R21" s="1" t="s">
        <v>162</v>
      </c>
      <c r="S21" s="53">
        <v>13077.437931891032</v>
      </c>
      <c r="T21" s="53">
        <v>34842.949748030172</v>
      </c>
      <c r="U21" s="53">
        <v>36063.094012950249</v>
      </c>
      <c r="V21" s="53">
        <v>17088.36355943088</v>
      </c>
    </row>
    <row r="22" spans="1:22" x14ac:dyDescent="0.25">
      <c r="A22" s="1" t="s">
        <v>128</v>
      </c>
      <c r="B22" s="51">
        <v>1437811.6948006083</v>
      </c>
      <c r="C22" s="52">
        <v>0.79358712837495049</v>
      </c>
      <c r="E22" s="1" t="s">
        <v>163</v>
      </c>
      <c r="F22" s="53">
        <v>13048.062304080984</v>
      </c>
      <c r="G22" s="53">
        <v>34473.278900889258</v>
      </c>
      <c r="H22" s="53">
        <v>23392.594060285151</v>
      </c>
      <c r="I22" s="53">
        <v>31240.964881794564</v>
      </c>
      <c r="R22" s="1" t="s">
        <v>163</v>
      </c>
      <c r="S22" s="53">
        <v>12195.175258216324</v>
      </c>
      <c r="T22" s="53">
        <v>35626.992907407563</v>
      </c>
      <c r="U22" s="53">
        <v>37214.104421538948</v>
      </c>
      <c r="V22" s="53">
        <v>17118.627559887129</v>
      </c>
    </row>
    <row r="25" spans="1:22" x14ac:dyDescent="0.25">
      <c r="E25" s="50" t="s">
        <v>77</v>
      </c>
      <c r="F25" t="s" vm="1">
        <v>33</v>
      </c>
      <c r="R25" s="50" t="s">
        <v>77</v>
      </c>
      <c r="S25" t="s" vm="1">
        <v>33</v>
      </c>
    </row>
    <row r="27" spans="1:22" x14ac:dyDescent="0.25">
      <c r="E27" s="50" t="s">
        <v>127</v>
      </c>
      <c r="F27" t="s">
        <v>132</v>
      </c>
      <c r="R27" s="50" t="s">
        <v>127</v>
      </c>
      <c r="S27" t="s">
        <v>132</v>
      </c>
    </row>
    <row r="28" spans="1:22" x14ac:dyDescent="0.25">
      <c r="E28" s="1" t="s">
        <v>9</v>
      </c>
      <c r="F28" s="53">
        <v>149044.15091578284</v>
      </c>
      <c r="R28" s="1" t="s">
        <v>10</v>
      </c>
      <c r="S28" s="53">
        <v>181800.87368730892</v>
      </c>
    </row>
    <row r="29" spans="1:22" x14ac:dyDescent="0.25">
      <c r="E29" s="1" t="s">
        <v>11</v>
      </c>
      <c r="F29" s="53">
        <v>406377.09304932784</v>
      </c>
      <c r="R29" s="1" t="s">
        <v>12</v>
      </c>
      <c r="S29" s="53">
        <v>407778.76877646364</v>
      </c>
    </row>
    <row r="30" spans="1:22" x14ac:dyDescent="0.25">
      <c r="E30" s="1" t="s">
        <v>13</v>
      </c>
      <c r="F30" s="53">
        <v>280239.47554711963</v>
      </c>
      <c r="R30" s="1" t="s">
        <v>14</v>
      </c>
      <c r="S30" s="53">
        <v>437526.90245388838</v>
      </c>
    </row>
    <row r="31" spans="1:22" x14ac:dyDescent="0.25">
      <c r="E31" s="1" t="s">
        <v>15</v>
      </c>
      <c r="F31" s="53">
        <v>391039.93034392048</v>
      </c>
      <c r="R31" s="1" t="s">
        <v>44</v>
      </c>
      <c r="S31" s="53">
        <v>199594.10493848956</v>
      </c>
    </row>
    <row r="32" spans="1:22" x14ac:dyDescent="0.25">
      <c r="E32" s="1" t="s">
        <v>128</v>
      </c>
      <c r="F32" s="53">
        <v>1226700.6498561511</v>
      </c>
      <c r="R32" s="1" t="s">
        <v>128</v>
      </c>
      <c r="S32" s="53">
        <v>1226700.6498561511</v>
      </c>
    </row>
    <row r="35" spans="5:18" x14ac:dyDescent="0.25">
      <c r="E35" s="50" t="s">
        <v>134</v>
      </c>
      <c r="F35" t="s">
        <v>133</v>
      </c>
      <c r="G35" t="s">
        <v>132</v>
      </c>
      <c r="H35" t="s">
        <v>6</v>
      </c>
      <c r="I35" t="s">
        <v>7</v>
      </c>
      <c r="K35" s="37" t="s">
        <v>4</v>
      </c>
      <c r="L35" s="58" t="s">
        <v>141</v>
      </c>
      <c r="M35" s="58" t="s">
        <v>142</v>
      </c>
      <c r="N35" s="58" t="s">
        <v>143</v>
      </c>
      <c r="O35" s="58" t="s">
        <v>144</v>
      </c>
      <c r="P35" s="58" t="s">
        <v>145</v>
      </c>
      <c r="R35" s="1"/>
    </row>
    <row r="36" spans="5:18" x14ac:dyDescent="0.25">
      <c r="E36" s="1" t="s">
        <v>25</v>
      </c>
      <c r="F36" s="54">
        <v>1598981.0752410197</v>
      </c>
      <c r="G36" s="54">
        <v>1437811.6948006083</v>
      </c>
      <c r="H36" s="51">
        <v>-161169.38044041139</v>
      </c>
      <c r="I36" s="52">
        <v>-0.112093524502012</v>
      </c>
      <c r="J36" s="52"/>
      <c r="K36" t="s">
        <v>25</v>
      </c>
      <c r="L36" s="59">
        <f>MIN(IF($I36&gt;0,$I36,0),1)</f>
        <v>0</v>
      </c>
      <c r="M36" s="59">
        <f>ABS(MIN(IF($I36&lt;0,$I36,0),1))</f>
        <v>0.112093524502012</v>
      </c>
      <c r="N36" s="59">
        <f>MAX(IF(I36&gt;0,1-L36,0),0)</f>
        <v>0</v>
      </c>
      <c r="O36" s="59">
        <f>IF(I36&lt;0,MIN(1-M36,1),0)</f>
        <v>0.88790647549798796</v>
      </c>
      <c r="P36" s="59" t="str">
        <f>IF(L36&gt;0,"▲",IF(M36&gt;0,"▼",""))&amp;TEXT(IF(L36&gt;0,ABS(I36),IF(M36&gt;0,ABS(I36),"")),"0%")</f>
        <v>▼11%</v>
      </c>
      <c r="Q36" s="52"/>
      <c r="R36" s="52"/>
    </row>
    <row r="37" spans="5:18" x14ac:dyDescent="0.25">
      <c r="E37" s="1" t="s">
        <v>32</v>
      </c>
      <c r="F37" s="54">
        <v>1544833.8435078308</v>
      </c>
      <c r="G37" s="54">
        <v>1141028.8540207355</v>
      </c>
      <c r="H37" s="51">
        <v>-403804.98948709527</v>
      </c>
      <c r="I37" s="52">
        <v>-0.35389551111190137</v>
      </c>
      <c r="J37" s="52"/>
      <c r="K37" t="s">
        <v>32</v>
      </c>
      <c r="L37" s="59">
        <f t="shared" ref="L37" si="0">MIN(IF($I37&gt;0,$I37,0),1)</f>
        <v>0</v>
      </c>
      <c r="M37" s="59">
        <f t="shared" ref="M37:M38" si="1">ABS(MIN(IF($I37&lt;0,$I37,0),1))</f>
        <v>0.35389551111190137</v>
      </c>
      <c r="N37" s="59">
        <f>MAX(IF(I37&gt;0,1-L37,0),0)</f>
        <v>0</v>
      </c>
      <c r="O37" s="59">
        <f t="shared" ref="O37:O38" si="2">IF(I37&lt;0,MIN(1-M37,1),0)</f>
        <v>0.64610448888809868</v>
      </c>
      <c r="P37" s="59" t="str">
        <f t="shared" ref="P37:P38" si="3">IF(L37&gt;0,"▲",IF(M37&gt;0,"▼",""))&amp;TEXT(IF(L37&gt;0,ABS(I37),IF(M37&gt;0,ABS(I37),"")),"0%")</f>
        <v>▼35%</v>
      </c>
      <c r="Q37" s="52"/>
      <c r="R37" s="52"/>
    </row>
    <row r="38" spans="5:18" x14ac:dyDescent="0.25">
      <c r="E38" s="1" t="s">
        <v>86</v>
      </c>
      <c r="F38" s="54">
        <v>-168761.27486835566</v>
      </c>
      <c r="G38" s="54">
        <v>-85671.795835414858</v>
      </c>
      <c r="H38" s="51">
        <v>83089.479032940799</v>
      </c>
      <c r="I38" s="52">
        <v>0.96985802880290994</v>
      </c>
      <c r="J38" s="52"/>
      <c r="K38" t="s">
        <v>137</v>
      </c>
      <c r="L38" s="59">
        <f>MIN(IF($I38&gt;0,$I38,0),1)</f>
        <v>0.96985802880290994</v>
      </c>
      <c r="M38" s="59">
        <f t="shared" si="1"/>
        <v>0</v>
      </c>
      <c r="N38" s="59">
        <f t="shared" ref="N38" si="4">MAX(IF(I38&gt;0,1-L38,0),0)</f>
        <v>3.0141971197090056E-2</v>
      </c>
      <c r="O38" s="59">
        <f t="shared" si="2"/>
        <v>0</v>
      </c>
      <c r="P38" s="59" t="str">
        <f t="shared" si="3"/>
        <v>▲97%</v>
      </c>
      <c r="Q38" s="52"/>
      <c r="R38" s="52"/>
    </row>
    <row r="39" spans="5:18" x14ac:dyDescent="0.25">
      <c r="E39" s="1" t="s">
        <v>128</v>
      </c>
      <c r="F39" s="54">
        <v>2975053.6438804949</v>
      </c>
      <c r="G39" s="54">
        <v>2493168.7529859282</v>
      </c>
      <c r="H39" s="51">
        <v>-481884.89089456666</v>
      </c>
      <c r="I39" s="52">
        <v>-0.19328209946376079</v>
      </c>
      <c r="J39" s="52"/>
      <c r="K39" s="52"/>
      <c r="L39" s="59"/>
      <c r="M39" s="59"/>
      <c r="N39" s="59"/>
      <c r="O39" s="59"/>
      <c r="P39" s="59"/>
    </row>
    <row r="40" spans="5:18" x14ac:dyDescent="0.25">
      <c r="L40" s="59"/>
      <c r="M40" s="59"/>
      <c r="N40" s="59"/>
      <c r="O40" s="59"/>
      <c r="P40" s="59"/>
    </row>
    <row r="41" spans="5:18" x14ac:dyDescent="0.25">
      <c r="E41" s="50" t="s">
        <v>135</v>
      </c>
      <c r="F41" t="s">
        <v>19</v>
      </c>
      <c r="G41" t="s">
        <v>132</v>
      </c>
      <c r="H41" t="s">
        <v>6</v>
      </c>
      <c r="I41" t="s">
        <v>7</v>
      </c>
      <c r="K41" s="37" t="s">
        <v>19</v>
      </c>
      <c r="L41" s="58" t="s">
        <v>141</v>
      </c>
      <c r="M41" s="58" t="s">
        <v>142</v>
      </c>
      <c r="N41" s="58" t="s">
        <v>143</v>
      </c>
      <c r="O41" s="58" t="s">
        <v>144</v>
      </c>
      <c r="P41" s="58"/>
    </row>
    <row r="42" spans="5:18" x14ac:dyDescent="0.25">
      <c r="E42" s="1" t="s">
        <v>25</v>
      </c>
      <c r="F42" s="51">
        <v>1820035.5320941249</v>
      </c>
      <c r="G42" s="54">
        <v>1437811.6948006083</v>
      </c>
      <c r="H42" s="51">
        <v>-382223.83729351661</v>
      </c>
      <c r="I42" s="52">
        <v>-0.21000899738134868</v>
      </c>
      <c r="J42" s="52"/>
      <c r="K42" t="s">
        <v>25</v>
      </c>
      <c r="L42" s="59">
        <f>MIN(IF($I42&gt;0,$I42,0),1)</f>
        <v>0</v>
      </c>
      <c r="M42" s="59">
        <f>ABS(MIN(IF($I42&lt;0,$I42,0),1))</f>
        <v>0.21000899738134868</v>
      </c>
      <c r="N42" s="59">
        <f>MAX(IF(I42&gt;0,1-L42,0),0)</f>
        <v>0</v>
      </c>
      <c r="O42" s="59">
        <f>IF(I42&lt;0,MIN(1-M42,1),0)</f>
        <v>0.78999100261865129</v>
      </c>
      <c r="P42" s="59" t="str">
        <f t="shared" ref="P42:P44" si="5">IF(L42&gt;0,"▲",IF(M42&gt;0,"▼",""))&amp;TEXT(IF(L42&gt;0,ABS(I42),IF(M42&gt;0,ABS(I42),"")),"0%")</f>
        <v>▼21%</v>
      </c>
    </row>
    <row r="43" spans="5:18" x14ac:dyDescent="0.25">
      <c r="E43" s="1" t="s">
        <v>32</v>
      </c>
      <c r="F43" s="51">
        <v>1475705.0728183798</v>
      </c>
      <c r="G43" s="54">
        <v>1141028.8540207355</v>
      </c>
      <c r="H43" s="51">
        <v>-334676.21879764437</v>
      </c>
      <c r="I43" s="52">
        <v>-0.22679072191468583</v>
      </c>
      <c r="J43" s="52"/>
      <c r="K43" t="s">
        <v>32</v>
      </c>
      <c r="L43" s="59">
        <f t="shared" ref="L43:L44" si="6">MIN(IF($I43&gt;0,$I43,0),1)</f>
        <v>0</v>
      </c>
      <c r="M43" s="59">
        <f t="shared" ref="M43:M44" si="7">ABS(MIN(IF($I43&lt;0,$I43,0),1))</f>
        <v>0.22679072191468583</v>
      </c>
      <c r="N43" s="59">
        <f>MAX(IF(I43&gt;0,1-L43,0),0)</f>
        <v>0</v>
      </c>
      <c r="O43" s="59">
        <f>IF(I43&lt;0,MIN(1-M43,1),0)</f>
        <v>0.77320927808531414</v>
      </c>
      <c r="P43" s="59" t="str">
        <f t="shared" si="5"/>
        <v>▼23%</v>
      </c>
    </row>
    <row r="44" spans="5:18" x14ac:dyDescent="0.25">
      <c r="E44" s="1" t="s">
        <v>86</v>
      </c>
      <c r="F44" s="51">
        <v>-195765.73969128806</v>
      </c>
      <c r="G44" s="54">
        <v>-85671.795835414858</v>
      </c>
      <c r="H44" s="51">
        <v>110093.94385587321</v>
      </c>
      <c r="I44" s="52">
        <v>0.56237595009977426</v>
      </c>
      <c r="J44" s="52"/>
      <c r="K44" t="s">
        <v>137</v>
      </c>
      <c r="L44" s="59">
        <f t="shared" si="6"/>
        <v>0.56237595009977426</v>
      </c>
      <c r="M44" s="59">
        <f t="shared" si="7"/>
        <v>0</v>
      </c>
      <c r="N44" s="59">
        <f t="shared" ref="N44" si="8">MAX(IF(I44&gt;0,1-L44,0),0)</f>
        <v>0.43762404990022574</v>
      </c>
      <c r="O44" s="59">
        <f t="shared" ref="O44" si="9">IF(I44&lt;0,MIN(1-M44,1),0)</f>
        <v>0</v>
      </c>
      <c r="P44" s="59" t="str">
        <f t="shared" si="5"/>
        <v>▲56%</v>
      </c>
    </row>
    <row r="45" spans="5:18" x14ac:dyDescent="0.25">
      <c r="E45" s="1" t="s">
        <v>128</v>
      </c>
      <c r="F45" s="51">
        <v>3099974.8652212177</v>
      </c>
      <c r="G45" s="54">
        <v>2493168.7529859282</v>
      </c>
      <c r="H45" s="51">
        <v>-606806.11223528953</v>
      </c>
      <c r="I45" s="52">
        <v>-0.19574549427580187</v>
      </c>
      <c r="J45" s="52"/>
      <c r="K45" s="52"/>
      <c r="L45" s="59"/>
      <c r="M45" s="59"/>
      <c r="N45" s="59"/>
      <c r="O45" s="59"/>
      <c r="P45" s="59"/>
    </row>
    <row r="46" spans="5:18" x14ac:dyDescent="0.25">
      <c r="L46" s="59"/>
      <c r="M46" s="59"/>
      <c r="N46" s="59"/>
      <c r="O46" s="59"/>
      <c r="P46" s="59"/>
    </row>
    <row r="47" spans="5:18" x14ac:dyDescent="0.25">
      <c r="E47" s="50" t="s">
        <v>136</v>
      </c>
      <c r="F47" t="s">
        <v>21</v>
      </c>
      <c r="G47" t="s">
        <v>132</v>
      </c>
      <c r="H47" t="s">
        <v>6</v>
      </c>
      <c r="I47" t="s">
        <v>7</v>
      </c>
      <c r="K47" s="37" t="s">
        <v>21</v>
      </c>
      <c r="L47" s="58" t="s">
        <v>141</v>
      </c>
      <c r="M47" s="58" t="s">
        <v>142</v>
      </c>
      <c r="N47" s="58" t="s">
        <v>143</v>
      </c>
      <c r="O47" s="58" t="s">
        <v>144</v>
      </c>
      <c r="P47" s="58"/>
    </row>
    <row r="48" spans="5:18" x14ac:dyDescent="0.25">
      <c r="E48" s="1" t="s">
        <v>25</v>
      </c>
      <c r="F48" s="51">
        <v>1314398.1510941251</v>
      </c>
      <c r="G48" s="54">
        <v>1437811.6948006083</v>
      </c>
      <c r="H48" s="51">
        <v>123413.54370648321</v>
      </c>
      <c r="I48" s="52">
        <v>9.3893576770289797E-2</v>
      </c>
      <c r="J48" s="52"/>
      <c r="K48" t="s">
        <v>25</v>
      </c>
      <c r="L48" s="59">
        <f>MIN(IF($I48&gt;0,$I48,0),1)</f>
        <v>9.3893576770289797E-2</v>
      </c>
      <c r="M48" s="59">
        <f>ABS(MIN(IF($I48&lt;0,$I48,0),1))</f>
        <v>0</v>
      </c>
      <c r="N48" s="59">
        <f>MAX(IF(I48&gt;0,1-L48,0),0)</f>
        <v>0.90610642322971024</v>
      </c>
      <c r="O48" s="59">
        <f>IF(I48&lt;0,MIN(1-M48,1),0)</f>
        <v>0</v>
      </c>
      <c r="P48" s="59" t="str">
        <f t="shared" ref="P48:P50" si="10">IF(L48&gt;0,"▲",IF(M48&gt;0,"▼",""))&amp;TEXT(IF(L48&gt;0,ABS(I48),IF(M48&gt;0,ABS(I48),"")),"0%")</f>
        <v>▲9%</v>
      </c>
    </row>
    <row r="49" spans="5:22" x14ac:dyDescent="0.25">
      <c r="E49" s="1" t="s">
        <v>32</v>
      </c>
      <c r="F49" s="51">
        <v>1089230.3540183799</v>
      </c>
      <c r="G49" s="54">
        <v>1141028.8540207355</v>
      </c>
      <c r="H49" s="51">
        <v>51798.500002355548</v>
      </c>
      <c r="I49" s="52">
        <v>4.7555138186574523E-2</v>
      </c>
      <c r="J49" s="52"/>
      <c r="K49" t="s">
        <v>32</v>
      </c>
      <c r="L49" s="59">
        <f t="shared" ref="L49:L50" si="11">MIN(IF($I49&gt;0,$I49,0),1)</f>
        <v>4.7555138186574523E-2</v>
      </c>
      <c r="M49" s="59">
        <f t="shared" ref="M49:M50" si="12">ABS(MIN(IF($I49&lt;0,$I49,0),1))</f>
        <v>0</v>
      </c>
      <c r="N49" s="59">
        <f>MAX(IF(I49&gt;0,1-L49,0),0)</f>
        <v>0.95244486181342547</v>
      </c>
      <c r="O49" s="59">
        <f t="shared" ref="O49:O50" si="13">IF(I49&lt;0,MIN(1-M49,1),0)</f>
        <v>0</v>
      </c>
      <c r="P49" s="59" t="str">
        <f t="shared" si="10"/>
        <v>▲5%</v>
      </c>
    </row>
    <row r="50" spans="5:22" x14ac:dyDescent="0.25">
      <c r="E50" s="1" t="s">
        <v>86</v>
      </c>
      <c r="F50" s="51">
        <v>-103902.54642703829</v>
      </c>
      <c r="G50" s="54">
        <v>-85671.795835414858</v>
      </c>
      <c r="H50" s="51">
        <v>18230.750591623437</v>
      </c>
      <c r="I50" s="52">
        <v>0.17546009427618123</v>
      </c>
      <c r="J50" s="52"/>
      <c r="K50" t="s">
        <v>137</v>
      </c>
      <c r="L50" s="59">
        <f t="shared" si="11"/>
        <v>0.17546009427618123</v>
      </c>
      <c r="M50" s="59">
        <f t="shared" si="12"/>
        <v>0</v>
      </c>
      <c r="N50" s="59">
        <f t="shared" ref="N50" si="14">MAX(IF(I50&gt;0,1-L50,0),0)</f>
        <v>0.82453990572381874</v>
      </c>
      <c r="O50" s="59">
        <f t="shared" si="13"/>
        <v>0</v>
      </c>
      <c r="P50" s="59" t="str">
        <f t="shared" si="10"/>
        <v>▲18%</v>
      </c>
    </row>
    <row r="51" spans="5:22" x14ac:dyDescent="0.25">
      <c r="E51" s="1" t="s">
        <v>128</v>
      </c>
      <c r="F51" s="51">
        <v>2299725.9586854666</v>
      </c>
      <c r="G51" s="54">
        <v>2493168.7529859282</v>
      </c>
      <c r="H51" s="51">
        <v>193442.79430046165</v>
      </c>
      <c r="I51" s="52">
        <v>8.4115584976496238E-2</v>
      </c>
      <c r="J51" s="52"/>
      <c r="K51" s="52"/>
      <c r="L51" s="60"/>
      <c r="M51" s="60"/>
      <c r="N51" s="60"/>
      <c r="O51" s="60"/>
      <c r="P51" s="59"/>
    </row>
    <row r="54" spans="5:22" x14ac:dyDescent="0.25">
      <c r="E54" s="1" t="s">
        <v>103</v>
      </c>
      <c r="F54" s="1" t="s">
        <v>138</v>
      </c>
      <c r="G54" s="1" t="s">
        <v>139</v>
      </c>
      <c r="H54" s="1" t="s">
        <v>140</v>
      </c>
    </row>
    <row r="55" spans="5:22" x14ac:dyDescent="0.25">
      <c r="E55" t="s">
        <v>25</v>
      </c>
      <c r="F55" s="61">
        <f>H36</f>
        <v>-161169.38044041139</v>
      </c>
      <c r="G55" s="61">
        <f>H42</f>
        <v>-382223.83729351661</v>
      </c>
      <c r="H55" s="61">
        <f>H48</f>
        <v>123413.54370648321</v>
      </c>
    </row>
    <row r="56" spans="5:22" x14ac:dyDescent="0.25">
      <c r="E56" t="s">
        <v>32</v>
      </c>
      <c r="F56" s="61">
        <f t="shared" ref="F56:F57" si="15">H37</f>
        <v>-403804.98948709527</v>
      </c>
      <c r="G56" s="61">
        <f t="shared" ref="G56:G57" si="16">H43</f>
        <v>-334676.21879764437</v>
      </c>
      <c r="H56" s="61">
        <f t="shared" ref="H56:H57" si="17">H49</f>
        <v>51798.500002355548</v>
      </c>
    </row>
    <row r="57" spans="5:22" x14ac:dyDescent="0.25">
      <c r="E57" t="s">
        <v>137</v>
      </c>
      <c r="F57" s="61">
        <f t="shared" si="15"/>
        <v>83089.479032940799</v>
      </c>
      <c r="G57" s="61">
        <f t="shared" si="16"/>
        <v>110093.94385587321</v>
      </c>
      <c r="H57" s="61">
        <f t="shared" si="17"/>
        <v>18230.750591623437</v>
      </c>
    </row>
    <row r="60" spans="5:22" x14ac:dyDescent="0.25">
      <c r="E60" s="50" t="s">
        <v>77</v>
      </c>
      <c r="F60" t="s" vm="1">
        <v>33</v>
      </c>
      <c r="R60" s="50" t="s">
        <v>77</v>
      </c>
      <c r="S60" t="s" vm="1">
        <v>33</v>
      </c>
    </row>
    <row r="62" spans="5:22" x14ac:dyDescent="0.25">
      <c r="E62" s="50" t="s">
        <v>127</v>
      </c>
      <c r="F62" t="s">
        <v>133</v>
      </c>
      <c r="G62" t="s">
        <v>132</v>
      </c>
      <c r="H62" t="s">
        <v>150</v>
      </c>
      <c r="I62" t="s">
        <v>151</v>
      </c>
      <c r="R62" s="50" t="s">
        <v>127</v>
      </c>
      <c r="S62" t="s">
        <v>133</v>
      </c>
      <c r="T62" t="s">
        <v>132</v>
      </c>
      <c r="U62" t="s">
        <v>150</v>
      </c>
      <c r="V62" t="s">
        <v>151</v>
      </c>
    </row>
    <row r="63" spans="5:22" x14ac:dyDescent="0.25">
      <c r="E63" s="1" t="s">
        <v>9</v>
      </c>
      <c r="F63" s="54">
        <v>288324.39562665403</v>
      </c>
      <c r="G63" s="53">
        <v>149044.15091578284</v>
      </c>
      <c r="H63" s="51">
        <v>-139280.24471087119</v>
      </c>
      <c r="I63" s="52">
        <v>-0.93448983978962896</v>
      </c>
      <c r="R63" s="1" t="s">
        <v>10</v>
      </c>
      <c r="S63" s="54">
        <v>417152.93128268339</v>
      </c>
      <c r="T63" s="53">
        <v>181800.87368730892</v>
      </c>
      <c r="U63" s="51">
        <v>-235352.05759537447</v>
      </c>
      <c r="V63" s="52">
        <v>-1.2945595520083786</v>
      </c>
    </row>
    <row r="64" spans="5:22" x14ac:dyDescent="0.25">
      <c r="E64" s="1" t="s">
        <v>11</v>
      </c>
      <c r="F64" s="54">
        <v>433207.69949583354</v>
      </c>
      <c r="G64" s="53">
        <v>406377.09304932784</v>
      </c>
      <c r="H64" s="51">
        <v>-26830.606446505699</v>
      </c>
      <c r="I64" s="52">
        <v>-6.6023914500635703E-2</v>
      </c>
      <c r="R64" s="1" t="s">
        <v>12</v>
      </c>
      <c r="S64" s="54">
        <v>576705.74077978067</v>
      </c>
      <c r="T64" s="53">
        <v>407778.76877646364</v>
      </c>
      <c r="U64" s="51">
        <v>-168926.97200331703</v>
      </c>
      <c r="V64" s="52">
        <v>-0.41426132240817937</v>
      </c>
    </row>
    <row r="65" spans="5:22" x14ac:dyDescent="0.25">
      <c r="E65" s="1" t="s">
        <v>13</v>
      </c>
      <c r="F65" s="54">
        <v>339589.86616891791</v>
      </c>
      <c r="G65" s="53">
        <v>280239.47554711963</v>
      </c>
      <c r="H65" s="51">
        <v>-59350.390621798288</v>
      </c>
      <c r="I65" s="52">
        <v>-0.21178454786188422</v>
      </c>
      <c r="R65" s="1" t="s">
        <v>14</v>
      </c>
      <c r="S65" s="54">
        <v>557002.19829209358</v>
      </c>
      <c r="T65" s="53">
        <v>437526.90245388838</v>
      </c>
      <c r="U65" s="51">
        <v>-119475.2958382052</v>
      </c>
      <c r="V65" s="52">
        <v>-0.27306959907636053</v>
      </c>
    </row>
    <row r="66" spans="5:22" x14ac:dyDescent="0.25">
      <c r="E66" s="1" t="s">
        <v>15</v>
      </c>
      <c r="F66" s="54">
        <v>652473.15708478075</v>
      </c>
      <c r="G66" s="53">
        <v>391039.93034392048</v>
      </c>
      <c r="H66" s="51">
        <v>-261433.22674086026</v>
      </c>
      <c r="I66" s="52">
        <v>-0.66855890269551033</v>
      </c>
      <c r="R66" s="1" t="s">
        <v>44</v>
      </c>
      <c r="S66" s="54">
        <v>162734.24802162722</v>
      </c>
      <c r="T66" s="53">
        <v>199594.10493848956</v>
      </c>
      <c r="U66" s="51">
        <v>36859.856916862336</v>
      </c>
      <c r="V66" s="52">
        <v>0.18467407606162375</v>
      </c>
    </row>
    <row r="67" spans="5:22" x14ac:dyDescent="0.25">
      <c r="E67" s="1" t="s">
        <v>128</v>
      </c>
      <c r="F67" s="54">
        <v>1713595.1183761882</v>
      </c>
      <c r="G67" s="53">
        <v>1226700.6498561511</v>
      </c>
      <c r="H67" s="51">
        <v>-486894.46852003713</v>
      </c>
      <c r="I67" s="52">
        <v>-0.39691384249053163</v>
      </c>
      <c r="R67" s="1" t="s">
        <v>128</v>
      </c>
      <c r="S67" s="54">
        <v>1713595.1183761882</v>
      </c>
      <c r="T67" s="53">
        <v>1226700.6498561511</v>
      </c>
      <c r="U67" s="51">
        <v>-486894.46852003713</v>
      </c>
      <c r="V67" s="52">
        <v>-0.39691384249053163</v>
      </c>
    </row>
    <row r="70" spans="5:22" x14ac:dyDescent="0.25">
      <c r="E70" s="50" t="s">
        <v>77</v>
      </c>
      <c r="F70" t="s" vm="1">
        <v>33</v>
      </c>
      <c r="R70" s="50" t="s">
        <v>77</v>
      </c>
      <c r="S70" t="s" vm="1">
        <v>33</v>
      </c>
    </row>
    <row r="72" spans="5:22" x14ac:dyDescent="0.25">
      <c r="E72" s="50" t="s">
        <v>127</v>
      </c>
      <c r="F72" t="s">
        <v>19</v>
      </c>
      <c r="G72" t="s">
        <v>132</v>
      </c>
      <c r="H72" t="s">
        <v>146</v>
      </c>
      <c r="I72" t="s">
        <v>147</v>
      </c>
      <c r="R72" s="50" t="s">
        <v>127</v>
      </c>
      <c r="S72" t="s">
        <v>19</v>
      </c>
      <c r="T72" t="s">
        <v>132</v>
      </c>
      <c r="U72" t="s">
        <v>146</v>
      </c>
      <c r="V72" t="s">
        <v>147</v>
      </c>
    </row>
    <row r="73" spans="5:22" x14ac:dyDescent="0.25">
      <c r="E73" s="1" t="s">
        <v>9</v>
      </c>
      <c r="F73" s="51">
        <v>186041.77585563355</v>
      </c>
      <c r="G73" s="53">
        <v>149044.15091578284</v>
      </c>
      <c r="H73" s="51">
        <v>-36997.624939850706</v>
      </c>
      <c r="I73" s="52">
        <v>-0.19886729617416934</v>
      </c>
      <c r="R73" s="1" t="s">
        <v>10</v>
      </c>
      <c r="S73" s="51">
        <v>345149.04574716493</v>
      </c>
      <c r="T73" s="53">
        <v>181800.87368730892</v>
      </c>
      <c r="U73" s="51">
        <v>-163348.17205985601</v>
      </c>
      <c r="V73" s="52">
        <v>-0.47326850261528719</v>
      </c>
    </row>
    <row r="74" spans="5:22" x14ac:dyDescent="0.25">
      <c r="E74" s="1" t="s">
        <v>11</v>
      </c>
      <c r="F74" s="51">
        <v>474959.40778463968</v>
      </c>
      <c r="G74" s="53">
        <v>406377.09304932784</v>
      </c>
      <c r="H74" s="51">
        <v>-68582.31473531184</v>
      </c>
      <c r="I74" s="52">
        <v>-0.14439616020072402</v>
      </c>
      <c r="R74" s="1" t="s">
        <v>12</v>
      </c>
      <c r="S74" s="51">
        <v>454792.85522019194</v>
      </c>
      <c r="T74" s="53">
        <v>407778.76877646364</v>
      </c>
      <c r="U74" s="51">
        <v>-47014.086443728302</v>
      </c>
      <c r="V74" s="52">
        <v>-0.1033747252273038</v>
      </c>
    </row>
    <row r="75" spans="5:22" x14ac:dyDescent="0.25">
      <c r="E75" s="1" t="s">
        <v>13</v>
      </c>
      <c r="F75" s="51">
        <v>347914.55385484797</v>
      </c>
      <c r="G75" s="53">
        <v>280239.47554711963</v>
      </c>
      <c r="H75" s="51">
        <v>-67675.078307728341</v>
      </c>
      <c r="I75" s="52">
        <v>-0.19451637638580302</v>
      </c>
      <c r="R75" s="1" t="s">
        <v>14</v>
      </c>
      <c r="S75" s="51">
        <v>634320.39576154039</v>
      </c>
      <c r="T75" s="53">
        <v>437526.90245388838</v>
      </c>
      <c r="U75" s="51">
        <v>-196793.49330765201</v>
      </c>
      <c r="V75" s="52">
        <v>-0.31024304850136403</v>
      </c>
    </row>
    <row r="76" spans="5:22" x14ac:dyDescent="0.25">
      <c r="E76" s="1" t="s">
        <v>15</v>
      </c>
      <c r="F76" s="51">
        <v>662555.07501454628</v>
      </c>
      <c r="G76" s="53">
        <v>391039.93034392048</v>
      </c>
      <c r="H76" s="51">
        <v>-271515.1446706258</v>
      </c>
      <c r="I76" s="52">
        <v>-0.40980011309197917</v>
      </c>
      <c r="R76" s="1" t="s">
        <v>44</v>
      </c>
      <c r="S76" s="51">
        <v>237208.51578077063</v>
      </c>
      <c r="T76" s="53">
        <v>199594.10493848956</v>
      </c>
      <c r="U76" s="51">
        <v>-37614.410842281068</v>
      </c>
      <c r="V76" s="52">
        <v>-0.15857108130571715</v>
      </c>
    </row>
    <row r="77" spans="5:22" x14ac:dyDescent="0.25">
      <c r="E77" s="1" t="s">
        <v>128</v>
      </c>
      <c r="F77" s="51">
        <v>1671470.8125096683</v>
      </c>
      <c r="G77" s="53">
        <v>1226700.6498561511</v>
      </c>
      <c r="H77" s="51">
        <v>-444770.16265351721</v>
      </c>
      <c r="I77" s="52">
        <v>-0.2660950818433418</v>
      </c>
      <c r="R77" s="1" t="s">
        <v>128</v>
      </c>
      <c r="S77" s="51">
        <v>1671470.8125096683</v>
      </c>
      <c r="T77" s="53">
        <v>1226700.6498561511</v>
      </c>
      <c r="U77" s="51">
        <v>-444770.16265351721</v>
      </c>
      <c r="V77" s="52">
        <v>-0.2660950818433418</v>
      </c>
    </row>
    <row r="80" spans="5:22" x14ac:dyDescent="0.25">
      <c r="E80" s="50" t="s">
        <v>77</v>
      </c>
      <c r="F80" t="s" vm="1">
        <v>33</v>
      </c>
      <c r="R80" s="50" t="s">
        <v>77</v>
      </c>
      <c r="S80" t="s" vm="1">
        <v>33</v>
      </c>
    </row>
    <row r="82" spans="5:22" x14ac:dyDescent="0.25">
      <c r="E82" s="50" t="s">
        <v>127</v>
      </c>
      <c r="F82" t="s">
        <v>21</v>
      </c>
      <c r="G82" t="s">
        <v>132</v>
      </c>
      <c r="H82" t="s">
        <v>148</v>
      </c>
      <c r="I82" t="s">
        <v>149</v>
      </c>
      <c r="R82" s="50" t="s">
        <v>127</v>
      </c>
      <c r="S82" t="s">
        <v>21</v>
      </c>
      <c r="T82" t="s">
        <v>132</v>
      </c>
      <c r="U82" t="s">
        <v>148</v>
      </c>
      <c r="V82" t="s">
        <v>149</v>
      </c>
    </row>
    <row r="83" spans="5:22" x14ac:dyDescent="0.25">
      <c r="E83" s="1" t="s">
        <v>9</v>
      </c>
      <c r="F83" s="51">
        <v>133217.19939438347</v>
      </c>
      <c r="G83" s="53">
        <v>149044.15091578284</v>
      </c>
      <c r="H83" s="51">
        <v>15826.951521399373</v>
      </c>
      <c r="I83" s="52">
        <v>0.11880561664222052</v>
      </c>
      <c r="R83" s="1" t="s">
        <v>10</v>
      </c>
      <c r="S83" s="51">
        <v>243403.20845116494</v>
      </c>
      <c r="T83" s="53">
        <v>181800.87368730892</v>
      </c>
      <c r="U83" s="51">
        <v>-61602.334763856023</v>
      </c>
      <c r="V83" s="52">
        <v>-0.25308760371667643</v>
      </c>
    </row>
    <row r="84" spans="5:22" x14ac:dyDescent="0.25">
      <c r="E84" s="1" t="s">
        <v>11</v>
      </c>
      <c r="F84" s="51">
        <v>346733.86120263982</v>
      </c>
      <c r="G84" s="53">
        <v>406377.09304932784</v>
      </c>
      <c r="H84" s="51">
        <v>59643.231846688024</v>
      </c>
      <c r="I84" s="52">
        <v>0.17201444254627052</v>
      </c>
      <c r="R84" s="1" t="s">
        <v>12</v>
      </c>
      <c r="S84" s="51">
        <v>334034.398419192</v>
      </c>
      <c r="T84" s="53">
        <v>407778.76877646364</v>
      </c>
      <c r="U84" s="51">
        <v>73744.370357271633</v>
      </c>
      <c r="V84" s="52">
        <v>0.22076879119714826</v>
      </c>
    </row>
    <row r="85" spans="5:22" x14ac:dyDescent="0.25">
      <c r="E85" s="1" t="s">
        <v>13</v>
      </c>
      <c r="F85" s="51">
        <v>253260.13285234827</v>
      </c>
      <c r="G85" s="53">
        <v>280239.47554711963</v>
      </c>
      <c r="H85" s="51">
        <v>26979.34269477136</v>
      </c>
      <c r="I85" s="52">
        <v>0.10652818661553981</v>
      </c>
      <c r="R85" s="1" t="s">
        <v>14</v>
      </c>
      <c r="S85" s="51">
        <v>443239.76381928992</v>
      </c>
      <c r="T85" s="53">
        <v>437526.90245388838</v>
      </c>
      <c r="U85" s="51">
        <v>-5712.8613654015353</v>
      </c>
      <c r="V85" s="52">
        <v>-1.2888873769300818E-2</v>
      </c>
    </row>
    <row r="86" spans="5:22" x14ac:dyDescent="0.25">
      <c r="E86" s="1" t="s">
        <v>15</v>
      </c>
      <c r="F86" s="51">
        <v>459921.70699604641</v>
      </c>
      <c r="G86" s="53">
        <v>391039.93034392048</v>
      </c>
      <c r="H86" s="51">
        <v>-68881.776652125933</v>
      </c>
      <c r="I86" s="52">
        <v>-0.14976848364480014</v>
      </c>
      <c r="R86" s="1" t="s">
        <v>44</v>
      </c>
      <c r="S86" s="51">
        <v>172455.52975577069</v>
      </c>
      <c r="T86" s="53">
        <v>199594.10493848956</v>
      </c>
      <c r="U86" s="51">
        <v>27138.575182718865</v>
      </c>
      <c r="V86" s="52">
        <v>0.15736564215222421</v>
      </c>
    </row>
    <row r="87" spans="5:22" x14ac:dyDescent="0.25">
      <c r="E87" s="1" t="s">
        <v>128</v>
      </c>
      <c r="F87" s="51">
        <v>1193132.9004454182</v>
      </c>
      <c r="G87" s="53">
        <v>1226700.6498561511</v>
      </c>
      <c r="H87" s="51">
        <v>33567.749410732882</v>
      </c>
      <c r="I87" s="52">
        <v>2.8134124369717264E-2</v>
      </c>
      <c r="R87" s="1" t="s">
        <v>128</v>
      </c>
      <c r="S87" s="51">
        <v>1193132.9004454182</v>
      </c>
      <c r="T87" s="53">
        <v>1226700.6498561511</v>
      </c>
      <c r="U87" s="51">
        <v>33567.749410732882</v>
      </c>
      <c r="V87" s="52">
        <v>2.8134124369717264E-2</v>
      </c>
    </row>
  </sheetData>
  <pageMargins left="0.7" right="0.7" top="0.78740157499999996" bottom="0.78740157499999996"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DCAD3-77F5-43D0-83EF-48A10A6DD7E2}">
  <sheetPr>
    <tabColor theme="5" tint="0.79998168889431442"/>
  </sheetPr>
  <dimension ref="B1:N38"/>
  <sheetViews>
    <sheetView zoomScaleNormal="100" workbookViewId="0">
      <selection activeCell="K9" sqref="K9"/>
    </sheetView>
  </sheetViews>
  <sheetFormatPr baseColWidth="10" defaultRowHeight="15" x14ac:dyDescent="0.25"/>
  <cols>
    <col min="1" max="1" width="3.42578125" customWidth="1"/>
    <col min="2" max="2" width="32.42578125" bestFit="1" customWidth="1"/>
    <col min="3" max="3" width="20.28515625" customWidth="1"/>
    <col min="4" max="4" width="34.5703125" bestFit="1" customWidth="1"/>
    <col min="6" max="6" width="23" bestFit="1" customWidth="1"/>
    <col min="8" max="8" width="19.7109375" customWidth="1"/>
    <col min="10" max="10" width="29.140625" bestFit="1" customWidth="1"/>
    <col min="11" max="12" width="11.42578125" style="38"/>
    <col min="13" max="13" width="14.140625" customWidth="1"/>
  </cols>
  <sheetData>
    <row r="1" spans="2:14" x14ac:dyDescent="0.25">
      <c r="J1" t="s">
        <v>106</v>
      </c>
    </row>
    <row r="2" spans="2:14" s="37" customFormat="1" ht="15.75" x14ac:dyDescent="0.25">
      <c r="B2" s="44" t="s">
        <v>76</v>
      </c>
      <c r="C2" s="45" t="s">
        <v>77</v>
      </c>
      <c r="D2" s="46" t="s">
        <v>78</v>
      </c>
      <c r="F2" s="37" t="s">
        <v>79</v>
      </c>
      <c r="H2" s="37" t="s">
        <v>80</v>
      </c>
      <c r="J2" s="37" t="s">
        <v>80</v>
      </c>
      <c r="K2" s="48" t="s">
        <v>87</v>
      </c>
      <c r="L2" s="48"/>
      <c r="M2" s="37" t="s">
        <v>103</v>
      </c>
      <c r="N2" s="37" t="s">
        <v>104</v>
      </c>
    </row>
    <row r="3" spans="2:14" x14ac:dyDescent="0.25">
      <c r="B3" s="41" t="s">
        <v>26</v>
      </c>
      <c r="C3" s="39" t="s">
        <v>25</v>
      </c>
      <c r="D3" s="39" t="s">
        <v>25</v>
      </c>
      <c r="F3" t="s">
        <v>9</v>
      </c>
      <c r="H3">
        <v>2023</v>
      </c>
      <c r="J3" t="s">
        <v>88</v>
      </c>
      <c r="K3" s="38">
        <v>44927</v>
      </c>
      <c r="M3" t="s">
        <v>82</v>
      </c>
      <c r="N3" s="38">
        <f ca="1">EOMONTH(TODAY(),0)</f>
        <v>45808</v>
      </c>
    </row>
    <row r="4" spans="2:14" x14ac:dyDescent="0.25">
      <c r="B4" s="40" t="s">
        <v>29</v>
      </c>
      <c r="C4" s="40" t="s">
        <v>28</v>
      </c>
      <c r="D4" s="40" t="s">
        <v>28</v>
      </c>
      <c r="F4" t="s">
        <v>11</v>
      </c>
      <c r="H4">
        <v>2024</v>
      </c>
      <c r="J4" t="s">
        <v>89</v>
      </c>
      <c r="K4" s="38">
        <v>45291</v>
      </c>
      <c r="N4" s="38"/>
    </row>
    <row r="5" spans="2:14" x14ac:dyDescent="0.25">
      <c r="B5" s="41" t="s">
        <v>30</v>
      </c>
      <c r="C5" s="41" t="s">
        <v>28</v>
      </c>
      <c r="D5" s="41" t="s">
        <v>28</v>
      </c>
      <c r="F5" t="s">
        <v>13</v>
      </c>
      <c r="H5">
        <v>2025</v>
      </c>
      <c r="J5" t="s">
        <v>90</v>
      </c>
      <c r="K5" s="38">
        <v>45292</v>
      </c>
    </row>
    <row r="6" spans="2:14" x14ac:dyDescent="0.25">
      <c r="B6" s="40" t="s">
        <v>32</v>
      </c>
      <c r="C6" s="40" t="s">
        <v>32</v>
      </c>
      <c r="D6" s="40" t="s">
        <v>32</v>
      </c>
      <c r="F6" t="s">
        <v>15</v>
      </c>
      <c r="H6" t="s">
        <v>81</v>
      </c>
      <c r="J6" t="s">
        <v>91</v>
      </c>
      <c r="K6" s="38">
        <v>45657</v>
      </c>
    </row>
    <row r="7" spans="2:14" x14ac:dyDescent="0.25">
      <c r="B7" s="41" t="s">
        <v>34</v>
      </c>
      <c r="C7" s="41" t="s">
        <v>33</v>
      </c>
      <c r="D7" s="41" t="s">
        <v>10</v>
      </c>
      <c r="H7" t="s">
        <v>82</v>
      </c>
      <c r="J7" t="s">
        <v>92</v>
      </c>
      <c r="K7" s="38">
        <v>45658</v>
      </c>
    </row>
    <row r="8" spans="2:14" x14ac:dyDescent="0.25">
      <c r="B8" s="40" t="s">
        <v>35</v>
      </c>
      <c r="C8" s="40" t="s">
        <v>33</v>
      </c>
      <c r="D8" s="40" t="s">
        <v>12</v>
      </c>
      <c r="H8" t="s">
        <v>83</v>
      </c>
      <c r="J8" t="s">
        <v>93</v>
      </c>
      <c r="K8" s="38">
        <v>46022</v>
      </c>
    </row>
    <row r="9" spans="2:14" x14ac:dyDescent="0.25">
      <c r="B9" s="41" t="s">
        <v>36</v>
      </c>
      <c r="C9" s="41" t="s">
        <v>33</v>
      </c>
      <c r="D9" s="41" t="s">
        <v>10</v>
      </c>
      <c r="H9" t="s">
        <v>84</v>
      </c>
      <c r="J9" t="s">
        <v>94</v>
      </c>
      <c r="K9" s="38">
        <f ca="1">EOMONTH(CurrentMonth,-1)+1</f>
        <v>45778</v>
      </c>
    </row>
    <row r="10" spans="2:14" x14ac:dyDescent="0.25">
      <c r="B10" s="40" t="s">
        <v>37</v>
      </c>
      <c r="C10" s="40" t="s">
        <v>33</v>
      </c>
      <c r="D10" s="40" t="s">
        <v>12</v>
      </c>
      <c r="H10" t="s">
        <v>85</v>
      </c>
      <c r="J10" t="s">
        <v>95</v>
      </c>
      <c r="K10" s="38">
        <f ca="1">EOMONTH(CurrentMonth,0)</f>
        <v>45808</v>
      </c>
    </row>
    <row r="11" spans="2:14" x14ac:dyDescent="0.25">
      <c r="B11" s="41" t="s">
        <v>38</v>
      </c>
      <c r="C11" s="41" t="s">
        <v>33</v>
      </c>
      <c r="D11" s="41" t="s">
        <v>12</v>
      </c>
      <c r="J11" t="s">
        <v>96</v>
      </c>
      <c r="K11" s="38">
        <f ca="1">EOMONTH(CurrentMonth,-3)+1</f>
        <v>45717</v>
      </c>
    </row>
    <row r="12" spans="2:14" x14ac:dyDescent="0.25">
      <c r="B12" s="40" t="s">
        <v>40</v>
      </c>
      <c r="C12" s="40" t="s">
        <v>33</v>
      </c>
      <c r="D12" s="41" t="s">
        <v>12</v>
      </c>
      <c r="J12" t="s">
        <v>105</v>
      </c>
      <c r="K12" s="38">
        <f ca="1">EOMONTH(K11,2)</f>
        <v>45808</v>
      </c>
    </row>
    <row r="13" spans="2:14" x14ac:dyDescent="0.25">
      <c r="B13" s="41" t="s">
        <v>41</v>
      </c>
      <c r="C13" s="41" t="s">
        <v>33</v>
      </c>
      <c r="D13" s="41" t="s">
        <v>12</v>
      </c>
      <c r="J13" t="s">
        <v>97</v>
      </c>
      <c r="K13" s="38">
        <f ca="1">EOMONTH(CurrentMonth,-6)+1</f>
        <v>45627</v>
      </c>
    </row>
    <row r="14" spans="2:14" x14ac:dyDescent="0.25">
      <c r="B14" s="40" t="s">
        <v>42</v>
      </c>
      <c r="C14" s="40" t="s">
        <v>33</v>
      </c>
      <c r="D14" s="41" t="s">
        <v>12</v>
      </c>
      <c r="J14" t="s">
        <v>98</v>
      </c>
      <c r="K14" s="38">
        <f ca="1">EOMONTH(K13,5)</f>
        <v>45808</v>
      </c>
    </row>
    <row r="15" spans="2:14" x14ac:dyDescent="0.25">
      <c r="B15" s="41" t="s">
        <v>45</v>
      </c>
      <c r="C15" s="41" t="s">
        <v>33</v>
      </c>
      <c r="D15" s="41" t="s">
        <v>44</v>
      </c>
      <c r="J15" t="s">
        <v>99</v>
      </c>
      <c r="K15" s="38">
        <f ca="1">EOMONTH(CurrentMonth,-12)+1</f>
        <v>45444</v>
      </c>
    </row>
    <row r="16" spans="2:14" x14ac:dyDescent="0.25">
      <c r="B16" s="40" t="s">
        <v>46</v>
      </c>
      <c r="C16" s="40" t="s">
        <v>33</v>
      </c>
      <c r="D16" s="40" t="s">
        <v>44</v>
      </c>
      <c r="J16" t="s">
        <v>100</v>
      </c>
      <c r="K16" s="38">
        <f ca="1">EOMONTH(K15,11)</f>
        <v>45808</v>
      </c>
    </row>
    <row r="17" spans="2:12" x14ac:dyDescent="0.25">
      <c r="B17" s="41" t="s">
        <v>47</v>
      </c>
      <c r="C17" s="41" t="s">
        <v>33</v>
      </c>
      <c r="D17" s="41" t="s">
        <v>44</v>
      </c>
      <c r="J17" t="s">
        <v>101</v>
      </c>
      <c r="K17" s="38">
        <f ca="1">DATE(YEAR(CurrentMonth),1,1)</f>
        <v>45658</v>
      </c>
      <c r="L17" s="49"/>
    </row>
    <row r="18" spans="2:12" x14ac:dyDescent="0.25">
      <c r="B18" s="40" t="s">
        <v>48</v>
      </c>
      <c r="C18" s="40" t="s">
        <v>33</v>
      </c>
      <c r="D18" s="40" t="s">
        <v>44</v>
      </c>
      <c r="J18" t="s">
        <v>102</v>
      </c>
      <c r="K18" s="38">
        <f ca="1">CurrentMonth</f>
        <v>45808</v>
      </c>
      <c r="L18" s="49"/>
    </row>
    <row r="19" spans="2:12" x14ac:dyDescent="0.25">
      <c r="B19" s="41" t="s">
        <v>51</v>
      </c>
      <c r="C19" s="41" t="s">
        <v>33</v>
      </c>
      <c r="D19" s="41" t="s">
        <v>14</v>
      </c>
      <c r="J19" t="s">
        <v>107</v>
      </c>
      <c r="K19" s="38">
        <f ca="1">EOMONTH(CurrentMonth,-2)+1</f>
        <v>45748</v>
      </c>
    </row>
    <row r="20" spans="2:12" x14ac:dyDescent="0.25">
      <c r="B20" s="40" t="s">
        <v>52</v>
      </c>
      <c r="C20" s="40" t="s">
        <v>33</v>
      </c>
      <c r="D20" s="40" t="s">
        <v>14</v>
      </c>
      <c r="J20" t="s">
        <v>108</v>
      </c>
      <c r="K20" s="38">
        <f ca="1">EOMONTH(CurrentMonth,-1)</f>
        <v>45777</v>
      </c>
    </row>
    <row r="21" spans="2:12" x14ac:dyDescent="0.25">
      <c r="B21" s="41" t="s">
        <v>53</v>
      </c>
      <c r="C21" s="41" t="s">
        <v>33</v>
      </c>
      <c r="D21" s="41" t="s">
        <v>14</v>
      </c>
      <c r="J21" t="s">
        <v>109</v>
      </c>
      <c r="K21" s="38">
        <f ca="1">EDATE(K11,-3)</f>
        <v>45627</v>
      </c>
    </row>
    <row r="22" spans="2:12" x14ac:dyDescent="0.25">
      <c r="B22" s="40" t="s">
        <v>54</v>
      </c>
      <c r="C22" s="40" t="s">
        <v>33</v>
      </c>
      <c r="D22" s="40" t="s">
        <v>14</v>
      </c>
      <c r="J22" t="s">
        <v>110</v>
      </c>
      <c r="K22" s="38">
        <f ca="1">EDATE(K12,-3)</f>
        <v>45716</v>
      </c>
    </row>
    <row r="23" spans="2:12" x14ac:dyDescent="0.25">
      <c r="B23" s="41" t="s">
        <v>55</v>
      </c>
      <c r="C23" s="41" t="s">
        <v>33</v>
      </c>
      <c r="D23" s="41" t="s">
        <v>14</v>
      </c>
      <c r="J23" t="s">
        <v>111</v>
      </c>
      <c r="K23" s="38">
        <f ca="1">EDATE(K13,-6)</f>
        <v>45444</v>
      </c>
    </row>
    <row r="24" spans="2:12" x14ac:dyDescent="0.25">
      <c r="B24" s="40" t="s">
        <v>57</v>
      </c>
      <c r="C24" s="40" t="s">
        <v>33</v>
      </c>
      <c r="D24" s="40" t="s">
        <v>12</v>
      </c>
      <c r="J24" t="s">
        <v>112</v>
      </c>
      <c r="K24" s="38">
        <f ca="1">EDATE(K14,-6)</f>
        <v>45626</v>
      </c>
    </row>
    <row r="25" spans="2:12" x14ac:dyDescent="0.25">
      <c r="B25" s="41" t="s">
        <v>59</v>
      </c>
      <c r="C25" s="41" t="s">
        <v>33</v>
      </c>
      <c r="D25" s="41" t="s">
        <v>12</v>
      </c>
      <c r="J25" t="s">
        <v>113</v>
      </c>
      <c r="K25" s="38">
        <f ca="1">EDATE(K15,-12)</f>
        <v>45078</v>
      </c>
    </row>
    <row r="26" spans="2:12" x14ac:dyDescent="0.25">
      <c r="B26" s="40" t="s">
        <v>60</v>
      </c>
      <c r="C26" s="40" t="s">
        <v>33</v>
      </c>
      <c r="D26" s="41" t="s">
        <v>12</v>
      </c>
      <c r="J26" t="s">
        <v>114</v>
      </c>
      <c r="K26" s="38">
        <f ca="1">EDATE(K16,-12)</f>
        <v>45443</v>
      </c>
    </row>
    <row r="27" spans="2:12" x14ac:dyDescent="0.25">
      <c r="B27" s="41" t="s">
        <v>61</v>
      </c>
      <c r="C27" s="41" t="s">
        <v>33</v>
      </c>
      <c r="D27" s="41" t="s">
        <v>12</v>
      </c>
      <c r="J27" t="s">
        <v>115</v>
      </c>
      <c r="K27" s="38">
        <f ca="1">EDATE(K28,-(DATEDIF(K17,K18,"M")+1))+1</f>
        <v>45505</v>
      </c>
    </row>
    <row r="28" spans="2:12" x14ac:dyDescent="0.25">
      <c r="B28" s="40" t="s">
        <v>64</v>
      </c>
      <c r="C28" s="42" t="s">
        <v>86</v>
      </c>
      <c r="D28" s="42" t="s">
        <v>86</v>
      </c>
      <c r="J28" t="s">
        <v>116</v>
      </c>
      <c r="K28" s="38">
        <f ca="1">EOMONTH(K17,-1)</f>
        <v>45657</v>
      </c>
    </row>
    <row r="29" spans="2:12" x14ac:dyDescent="0.25">
      <c r="B29" s="41" t="s">
        <v>66</v>
      </c>
      <c r="C29" s="41" t="s">
        <v>65</v>
      </c>
      <c r="D29" s="41" t="s">
        <v>65</v>
      </c>
      <c r="J29" t="s">
        <v>117</v>
      </c>
      <c r="K29" s="38">
        <f ca="1">EDATE(K9,-12)</f>
        <v>45413</v>
      </c>
    </row>
    <row r="30" spans="2:12" x14ac:dyDescent="0.25">
      <c r="B30" s="40" t="s">
        <v>69</v>
      </c>
      <c r="C30" s="40" t="s">
        <v>68</v>
      </c>
      <c r="D30" s="40" t="s">
        <v>68</v>
      </c>
      <c r="J30" t="s">
        <v>118</v>
      </c>
      <c r="K30" s="38">
        <f t="shared" ref="K30:K38" ca="1" si="0">EDATE(K10,-12)</f>
        <v>45443</v>
      </c>
    </row>
    <row r="31" spans="2:12" x14ac:dyDescent="0.25">
      <c r="B31" s="41" t="s">
        <v>70</v>
      </c>
      <c r="C31" s="41" t="s">
        <v>68</v>
      </c>
      <c r="D31" s="41" t="s">
        <v>68</v>
      </c>
      <c r="J31" t="s">
        <v>119</v>
      </c>
      <c r="K31" s="38">
        <f t="shared" ca="1" si="0"/>
        <v>45352</v>
      </c>
    </row>
    <row r="32" spans="2:12" x14ac:dyDescent="0.25">
      <c r="B32" s="40" t="s">
        <v>72</v>
      </c>
      <c r="C32" s="42" t="s">
        <v>72</v>
      </c>
      <c r="D32" s="43" t="s">
        <v>72</v>
      </c>
      <c r="J32" t="s">
        <v>120</v>
      </c>
      <c r="K32" s="38">
        <f t="shared" ca="1" si="0"/>
        <v>45443</v>
      </c>
    </row>
    <row r="33" spans="2:11" x14ac:dyDescent="0.25">
      <c r="B33" s="41" t="s">
        <v>73</v>
      </c>
      <c r="C33" s="47" t="s">
        <v>73</v>
      </c>
      <c r="D33" s="39" t="s">
        <v>73</v>
      </c>
      <c r="J33" t="s">
        <v>121</v>
      </c>
      <c r="K33" s="38">
        <f t="shared" ca="1" si="0"/>
        <v>45261</v>
      </c>
    </row>
    <row r="34" spans="2:11" x14ac:dyDescent="0.25">
      <c r="J34" t="s">
        <v>122</v>
      </c>
      <c r="K34" s="38">
        <f t="shared" ca="1" si="0"/>
        <v>45443</v>
      </c>
    </row>
    <row r="35" spans="2:11" x14ac:dyDescent="0.25">
      <c r="J35" t="s">
        <v>123</v>
      </c>
      <c r="K35" s="38">
        <f t="shared" ca="1" si="0"/>
        <v>45078</v>
      </c>
    </row>
    <row r="36" spans="2:11" x14ac:dyDescent="0.25">
      <c r="J36" t="s">
        <v>124</v>
      </c>
      <c r="K36" s="38">
        <f t="shared" ca="1" si="0"/>
        <v>45443</v>
      </c>
    </row>
    <row r="37" spans="2:11" x14ac:dyDescent="0.25">
      <c r="J37" t="s">
        <v>125</v>
      </c>
      <c r="K37" s="38">
        <f t="shared" ca="1" si="0"/>
        <v>45292</v>
      </c>
    </row>
    <row r="38" spans="2:11" x14ac:dyDescent="0.25">
      <c r="J38" t="s">
        <v>126</v>
      </c>
      <c r="K38" s="38">
        <f t="shared" ca="1" si="0"/>
        <v>45443</v>
      </c>
    </row>
  </sheetData>
  <pageMargins left="0.7" right="0.7" top="0.78740157499999996" bottom="0.78740157499999996" header="0.3" footer="0.3"/>
  <pageSetup paperSize="9" orientation="portrait" horizontalDpi="4294967293" verticalDpi="0"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P304"/>
  <sheetViews>
    <sheetView showGridLines="0" zoomScaleNormal="100" workbookViewId="0">
      <pane xSplit="3" ySplit="4" topLeftCell="D35" activePane="bottomRight" state="frozen"/>
      <selection pane="topRight" activeCell="Q6" sqref="Q6:AB6"/>
      <selection pane="bottomLeft" activeCell="Q6" sqref="Q6:AB6"/>
      <selection pane="bottomRight" activeCell="D44" sqref="D44"/>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24</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100000</v>
      </c>
      <c r="E6" s="18">
        <v>103000</v>
      </c>
      <c r="F6" s="18">
        <f>E6*(0.97)</f>
        <v>99910</v>
      </c>
      <c r="G6" s="18">
        <v>102907.3</v>
      </c>
      <c r="H6" s="18">
        <f>G6*(0.97)</f>
        <v>99820.081000000006</v>
      </c>
      <c r="I6" s="18">
        <v>102814.68343</v>
      </c>
      <c r="J6" s="18">
        <v>105899.12393290001</v>
      </c>
      <c r="K6" s="18">
        <f>J6*(0.97)</f>
        <v>102722.15021491301</v>
      </c>
      <c r="L6" s="18">
        <v>105803.81472136041</v>
      </c>
      <c r="M6" s="18">
        <v>108977.92916300123</v>
      </c>
      <c r="N6" s="18">
        <v>112247.26703789127</v>
      </c>
      <c r="O6" s="18">
        <f>N6*(0.97)</f>
        <v>108879.84902675453</v>
      </c>
      <c r="P6" s="18">
        <v>112146.24449755717</v>
      </c>
      <c r="Q6" s="18">
        <v>115510.63183248389</v>
      </c>
      <c r="R6" s="18">
        <f>Q6*(0.97)</f>
        <v>112045.31287750938</v>
      </c>
      <c r="S6" s="18">
        <v>115406.67226383467</v>
      </c>
      <c r="T6" s="18">
        <f>S6*(0.97)</f>
        <v>111944.47209591963</v>
      </c>
      <c r="U6" s="18">
        <v>115302.80625879722</v>
      </c>
      <c r="V6" s="18">
        <v>118761.89044656114</v>
      </c>
      <c r="W6" s="18">
        <f t="shared" ref="W6:X6" si="35">V6*(0.97)</f>
        <v>115199.03373316431</v>
      </c>
      <c r="X6" s="18">
        <f t="shared" si="35"/>
        <v>111743.06272116938</v>
      </c>
      <c r="Y6" s="18">
        <v>115095.35460280447</v>
      </c>
      <c r="Z6" s="18">
        <v>118548.2152408886</v>
      </c>
      <c r="AA6" s="18">
        <v>122104.66169811526</v>
      </c>
      <c r="AB6" s="18">
        <f>AA6*(0.97)</f>
        <v>118441.5218471718</v>
      </c>
      <c r="AC6" s="18">
        <v>121994.76750258695</v>
      </c>
      <c r="AD6" s="18">
        <v>125654.61052766457</v>
      </c>
      <c r="AE6" s="18">
        <v>129424.24884349451</v>
      </c>
      <c r="AF6" s="18">
        <f>AE6*(0.97)</f>
        <v>125541.52137818967</v>
      </c>
      <c r="AG6" s="18">
        <v>129307.76701953537</v>
      </c>
      <c r="AH6" s="18">
        <v>133187.00003012145</v>
      </c>
      <c r="AI6" s="18">
        <f>AH6*(0.97)</f>
        <v>129191.3900292178</v>
      </c>
      <c r="AJ6" s="18">
        <v>133067.13173009435</v>
      </c>
      <c r="AK6" s="18">
        <v>137059.14568199718</v>
      </c>
      <c r="AL6" s="18">
        <v>141170.92005245711</v>
      </c>
      <c r="AM6" s="18">
        <f>AL6*(0.97)</f>
        <v>136935.7924508834</v>
      </c>
    </row>
    <row r="7" spans="1:39" s="17" customFormat="1" ht="21" customHeight="1" x14ac:dyDescent="0.25">
      <c r="A7" s="14"/>
      <c r="B7" s="5" t="s">
        <v>27</v>
      </c>
      <c r="C7" s="15"/>
      <c r="D7" s="19">
        <f t="shared" ref="D7" si="36">SUM(D6 + D5)</f>
        <v>100000</v>
      </c>
      <c r="E7" s="19">
        <f t="shared" ref="E7:AL7" si="37">SUM(E6 + E5)</f>
        <v>103000</v>
      </c>
      <c r="F7" s="19">
        <f t="shared" si="37"/>
        <v>99910</v>
      </c>
      <c r="G7" s="19">
        <f t="shared" si="37"/>
        <v>102907.3</v>
      </c>
      <c r="H7" s="19">
        <f t="shared" si="37"/>
        <v>99820.081000000006</v>
      </c>
      <c r="I7" s="19">
        <f t="shared" si="37"/>
        <v>102814.68343</v>
      </c>
      <c r="J7" s="19">
        <f t="shared" si="37"/>
        <v>105899.12393290001</v>
      </c>
      <c r="K7" s="19">
        <f t="shared" si="37"/>
        <v>102722.15021491301</v>
      </c>
      <c r="L7" s="19">
        <f t="shared" si="37"/>
        <v>105803.81472136041</v>
      </c>
      <c r="M7" s="19">
        <f t="shared" si="37"/>
        <v>108977.92916300123</v>
      </c>
      <c r="N7" s="19">
        <f t="shared" si="37"/>
        <v>112247.26703789127</v>
      </c>
      <c r="O7" s="19">
        <f t="shared" si="37"/>
        <v>108879.84902675453</v>
      </c>
      <c r="P7" s="19">
        <f t="shared" si="37"/>
        <v>112146.24449755717</v>
      </c>
      <c r="Q7" s="19">
        <f t="shared" si="37"/>
        <v>115510.63183248389</v>
      </c>
      <c r="R7" s="19">
        <f t="shared" si="37"/>
        <v>112045.31287750938</v>
      </c>
      <c r="S7" s="19">
        <f t="shared" si="37"/>
        <v>115406.67226383467</v>
      </c>
      <c r="T7" s="19">
        <f t="shared" si="37"/>
        <v>111944.47209591963</v>
      </c>
      <c r="U7" s="19">
        <f t="shared" si="37"/>
        <v>115302.80625879722</v>
      </c>
      <c r="V7" s="19">
        <f t="shared" si="37"/>
        <v>118761.89044656114</v>
      </c>
      <c r="W7" s="19">
        <f t="shared" si="37"/>
        <v>115199.03373316431</v>
      </c>
      <c r="X7" s="19">
        <f t="shared" si="37"/>
        <v>111743.06272116938</v>
      </c>
      <c r="Y7" s="19">
        <f t="shared" si="37"/>
        <v>115095.35460280447</v>
      </c>
      <c r="Z7" s="19">
        <f t="shared" si="37"/>
        <v>118548.2152408886</v>
      </c>
      <c r="AA7" s="19">
        <f t="shared" si="37"/>
        <v>122104.66169811526</v>
      </c>
      <c r="AB7" s="19">
        <f t="shared" si="37"/>
        <v>118441.5218471718</v>
      </c>
      <c r="AC7" s="19">
        <f t="shared" si="37"/>
        <v>121994.76750258695</v>
      </c>
      <c r="AD7" s="19">
        <f t="shared" si="37"/>
        <v>125654.61052766457</v>
      </c>
      <c r="AE7" s="19">
        <f t="shared" si="37"/>
        <v>129424.24884349451</v>
      </c>
      <c r="AF7" s="19">
        <f t="shared" si="37"/>
        <v>125541.52137818967</v>
      </c>
      <c r="AG7" s="19">
        <f t="shared" si="37"/>
        <v>129307.76701953537</v>
      </c>
      <c r="AH7" s="19">
        <f t="shared" si="37"/>
        <v>133187.00003012145</v>
      </c>
      <c r="AI7" s="19">
        <f t="shared" si="37"/>
        <v>129191.3900292178</v>
      </c>
      <c r="AJ7" s="19">
        <f t="shared" si="37"/>
        <v>133067.13173009435</v>
      </c>
      <c r="AK7" s="19">
        <f t="shared" si="37"/>
        <v>137059.14568199718</v>
      </c>
      <c r="AL7" s="19">
        <f t="shared" si="37"/>
        <v>141170.92005245711</v>
      </c>
      <c r="AM7" s="19">
        <f t="shared" ref="AM7" si="38">SUM(AM6 + AM5)</f>
        <v>136935.7924508834</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25000</v>
      </c>
      <c r="E9" s="18">
        <v>30900</v>
      </c>
      <c r="F9" s="18">
        <v>13987.4</v>
      </c>
      <c r="G9" s="18">
        <v>27784.971000000001</v>
      </c>
      <c r="H9" s="18">
        <v>19964.016200000002</v>
      </c>
      <c r="I9" s="18">
        <v>13365.908845900001</v>
      </c>
      <c r="J9" s="18">
        <v>22238.816025909004</v>
      </c>
      <c r="K9" s="18">
        <v>12326.658025789562</v>
      </c>
      <c r="L9" s="18">
        <v>17986.648502631269</v>
      </c>
      <c r="M9" s="18">
        <v>20705.806540970236</v>
      </c>
      <c r="N9" s="18">
        <v>20204.508066820432</v>
      </c>
      <c r="O9" s="18">
        <v>13065.581883210545</v>
      </c>
      <c r="P9" s="18">
        <v>13457.54933970686</v>
      </c>
      <c r="Q9" s="18">
        <v>20791.913729847103</v>
      </c>
      <c r="R9" s="18">
        <v>15686.343802851312</v>
      </c>
      <c r="S9" s="18">
        <v>27697.601343320319</v>
      </c>
      <c r="T9" s="18">
        <v>19030.560256306337</v>
      </c>
      <c r="U9" s="18">
        <v>21907.533189171474</v>
      </c>
      <c r="V9" s="18">
        <v>15439.045758052947</v>
      </c>
      <c r="W9" s="18">
        <v>25343.787421296147</v>
      </c>
      <c r="X9" s="18">
        <v>14526.598153752018</v>
      </c>
      <c r="Y9" s="18">
        <v>11509.535460280445</v>
      </c>
      <c r="Z9" s="18">
        <v>21338.678743359949</v>
      </c>
      <c r="AA9" s="18">
        <v>18315.699254717289</v>
      </c>
      <c r="AB9" s="18">
        <v>15397.397840132333</v>
      </c>
      <c r="AC9" s="18">
        <v>25618.901175543262</v>
      </c>
      <c r="AD9" s="18">
        <v>23874.376000256267</v>
      </c>
      <c r="AE9" s="18">
        <v>38827.274653048349</v>
      </c>
      <c r="AF9" s="18">
        <v>37662.456413456901</v>
      </c>
      <c r="AG9" s="18">
        <v>28447.708744297783</v>
      </c>
      <c r="AH9" s="18">
        <v>38624.23000873522</v>
      </c>
      <c r="AI9" s="18">
        <v>25838.27800584356</v>
      </c>
      <c r="AJ9" s="18">
        <v>25282.755028717929</v>
      </c>
      <c r="AK9" s="18">
        <v>34264.786420499295</v>
      </c>
      <c r="AL9" s="18">
        <v>22587.347208393137</v>
      </c>
      <c r="AM9" s="18">
        <v>15062.937169597175</v>
      </c>
    </row>
    <row r="10" spans="1:39" s="17" customFormat="1" ht="21" customHeight="1" x14ac:dyDescent="0.25">
      <c r="A10" s="14"/>
      <c r="B10" s="4" t="s">
        <v>30</v>
      </c>
      <c r="C10" s="15"/>
      <c r="D10" s="18">
        <v>250</v>
      </c>
      <c r="E10" s="18">
        <v>275</v>
      </c>
      <c r="F10" s="18">
        <v>302.5</v>
      </c>
      <c r="G10" s="18">
        <v>332.75</v>
      </c>
      <c r="H10" s="18">
        <v>366.02500000000003</v>
      </c>
      <c r="I10" s="18">
        <v>402.62750000000005</v>
      </c>
      <c r="J10" s="18">
        <v>442.89025000000009</v>
      </c>
      <c r="K10" s="18">
        <v>487.17927500000013</v>
      </c>
      <c r="L10" s="18">
        <v>535.89720250000016</v>
      </c>
      <c r="M10" s="18">
        <v>589.48692275000019</v>
      </c>
      <c r="N10" s="18">
        <v>648.43561502500029</v>
      </c>
      <c r="O10" s="18">
        <v>713.27917652750034</v>
      </c>
      <c r="P10" s="18">
        <v>784.60709418025044</v>
      </c>
      <c r="Q10" s="18">
        <v>863.06780359827553</v>
      </c>
      <c r="R10" s="18">
        <v>949.37458395810313</v>
      </c>
      <c r="S10" s="18">
        <v>1044.3120423539135</v>
      </c>
      <c r="T10" s="18">
        <v>1148.743246589305</v>
      </c>
      <c r="U10" s="18">
        <v>1263.6175712482357</v>
      </c>
      <c r="V10" s="18">
        <v>1389.9793283730594</v>
      </c>
      <c r="W10" s="18">
        <v>1528.9772612103654</v>
      </c>
      <c r="X10" s="18">
        <v>1681.8749873314021</v>
      </c>
      <c r="Y10" s="18">
        <v>1850.0624860645423</v>
      </c>
      <c r="Z10" s="18">
        <v>2035.0687346709967</v>
      </c>
      <c r="AA10" s="18">
        <v>2238.5756081380964</v>
      </c>
      <c r="AB10" s="18">
        <v>2462.4331689519063</v>
      </c>
      <c r="AC10" s="18">
        <v>2708.676485847097</v>
      </c>
      <c r="AD10" s="18">
        <v>2979.5441344318069</v>
      </c>
      <c r="AE10" s="18">
        <v>3277.4985478749877</v>
      </c>
      <c r="AF10" s="18">
        <v>3605.2484026624866</v>
      </c>
      <c r="AG10" s="18">
        <v>3965.7732429287357</v>
      </c>
      <c r="AH10" s="18">
        <v>4362.3505672216097</v>
      </c>
      <c r="AI10" s="18">
        <v>4798.5856239437708</v>
      </c>
      <c r="AJ10" s="18">
        <v>5278.444186338148</v>
      </c>
      <c r="AK10" s="18">
        <v>5806.2886049719637</v>
      </c>
      <c r="AL10" s="18">
        <v>6386.9174654691606</v>
      </c>
      <c r="AM10" s="18">
        <v>7025.6092120160774</v>
      </c>
    </row>
    <row r="11" spans="1:39" s="17" customFormat="1" ht="21" customHeight="1" x14ac:dyDescent="0.25">
      <c r="A11" s="14"/>
      <c r="B11" s="5" t="s">
        <v>31</v>
      </c>
      <c r="C11" s="15"/>
      <c r="D11" s="19">
        <f t="shared" ref="D11:AL11" si="39">SUM(D10, D9 + D8)</f>
        <v>25250</v>
      </c>
      <c r="E11" s="19">
        <f t="shared" si="39"/>
        <v>31175</v>
      </c>
      <c r="F11" s="19">
        <f t="shared" si="39"/>
        <v>14289.9</v>
      </c>
      <c r="G11" s="19">
        <f t="shared" si="39"/>
        <v>28117.721000000001</v>
      </c>
      <c r="H11" s="19">
        <f t="shared" si="39"/>
        <v>20330.041200000003</v>
      </c>
      <c r="I11" s="19">
        <f t="shared" si="39"/>
        <v>13768.536345900002</v>
      </c>
      <c r="J11" s="19">
        <f t="shared" si="39"/>
        <v>22681.706275909004</v>
      </c>
      <c r="K11" s="19">
        <f t="shared" si="39"/>
        <v>12813.837300789563</v>
      </c>
      <c r="L11" s="19">
        <f t="shared" si="39"/>
        <v>18522.54570513127</v>
      </c>
      <c r="M11" s="19">
        <f t="shared" si="39"/>
        <v>21295.293463720234</v>
      </c>
      <c r="N11" s="19">
        <f t="shared" si="39"/>
        <v>20852.943681845431</v>
      </c>
      <c r="O11" s="19">
        <f t="shared" si="39"/>
        <v>13778.861059738045</v>
      </c>
      <c r="P11" s="19">
        <f t="shared" si="39"/>
        <v>14242.15643388711</v>
      </c>
      <c r="Q11" s="19">
        <f t="shared" si="39"/>
        <v>21654.981533445378</v>
      </c>
      <c r="R11" s="19">
        <f t="shared" si="39"/>
        <v>16635.718386809414</v>
      </c>
      <c r="S11" s="19">
        <f t="shared" si="39"/>
        <v>28741.913385674234</v>
      </c>
      <c r="T11" s="19">
        <f t="shared" si="39"/>
        <v>20179.30350289564</v>
      </c>
      <c r="U11" s="19">
        <f t="shared" si="39"/>
        <v>23171.15076041971</v>
      </c>
      <c r="V11" s="19">
        <f t="shared" si="39"/>
        <v>16829.025086426005</v>
      </c>
      <c r="W11" s="19">
        <f t="shared" si="39"/>
        <v>26872.764682506513</v>
      </c>
      <c r="X11" s="19">
        <f t="shared" si="39"/>
        <v>16208.473141083421</v>
      </c>
      <c r="Y11" s="19">
        <f t="shared" si="39"/>
        <v>13359.597946344988</v>
      </c>
      <c r="Z11" s="19">
        <f t="shared" si="39"/>
        <v>23373.747478030946</v>
      </c>
      <c r="AA11" s="19">
        <f t="shared" si="39"/>
        <v>20554.274862855385</v>
      </c>
      <c r="AB11" s="19">
        <f t="shared" si="39"/>
        <v>17859.831009084239</v>
      </c>
      <c r="AC11" s="19">
        <f t="shared" si="39"/>
        <v>28327.577661390358</v>
      </c>
      <c r="AD11" s="19">
        <f t="shared" si="39"/>
        <v>26853.920134688073</v>
      </c>
      <c r="AE11" s="19">
        <f t="shared" si="39"/>
        <v>42104.773200923337</v>
      </c>
      <c r="AF11" s="19">
        <f t="shared" si="39"/>
        <v>41267.704816119389</v>
      </c>
      <c r="AG11" s="19">
        <f t="shared" si="39"/>
        <v>32413.481987226518</v>
      </c>
      <c r="AH11" s="19">
        <f t="shared" si="39"/>
        <v>42986.580575956832</v>
      </c>
      <c r="AI11" s="19">
        <f t="shared" si="39"/>
        <v>30636.863629787331</v>
      </c>
      <c r="AJ11" s="19">
        <f t="shared" si="39"/>
        <v>30561.199215056076</v>
      </c>
      <c r="AK11" s="19">
        <f t="shared" si="39"/>
        <v>40071.075025471262</v>
      </c>
      <c r="AL11" s="19">
        <f t="shared" si="39"/>
        <v>28974.264673862297</v>
      </c>
      <c r="AM11" s="19">
        <f t="shared" ref="AM11" si="40">SUM(AM10, AM9 + AM8)</f>
        <v>22088.546381613254</v>
      </c>
    </row>
    <row r="12" spans="1:39" s="21" customFormat="1" ht="21" customHeight="1" x14ac:dyDescent="0.25">
      <c r="B12" s="5" t="s">
        <v>32</v>
      </c>
      <c r="C12" s="22"/>
      <c r="D12" s="23">
        <f t="shared" ref="D12:AL12" si="41">D7-D11</f>
        <v>74750</v>
      </c>
      <c r="E12" s="23">
        <f t="shared" si="41"/>
        <v>71825</v>
      </c>
      <c r="F12" s="23">
        <f t="shared" si="41"/>
        <v>85620.1</v>
      </c>
      <c r="G12" s="23">
        <f t="shared" si="41"/>
        <v>74789.578999999998</v>
      </c>
      <c r="H12" s="23">
        <f t="shared" si="41"/>
        <v>79490.039799999999</v>
      </c>
      <c r="I12" s="23">
        <f t="shared" si="41"/>
        <v>89046.147084099997</v>
      </c>
      <c r="J12" s="23">
        <f t="shared" si="41"/>
        <v>83217.417656991005</v>
      </c>
      <c r="K12" s="23">
        <f t="shared" si="41"/>
        <v>89908.312914123453</v>
      </c>
      <c r="L12" s="23">
        <f t="shared" si="41"/>
        <v>87281.26901622914</v>
      </c>
      <c r="M12" s="23">
        <f t="shared" si="41"/>
        <v>87682.635699281003</v>
      </c>
      <c r="N12" s="23">
        <f t="shared" si="41"/>
        <v>91394.323356045847</v>
      </c>
      <c r="O12" s="23">
        <f t="shared" si="41"/>
        <v>95100.987967016481</v>
      </c>
      <c r="P12" s="23">
        <f t="shared" si="41"/>
        <v>97904.08806367006</v>
      </c>
      <c r="Q12" s="23">
        <f t="shared" si="41"/>
        <v>93855.65029903852</v>
      </c>
      <c r="R12" s="23">
        <f t="shared" si="41"/>
        <v>95409.594490699965</v>
      </c>
      <c r="S12" s="23">
        <f t="shared" si="41"/>
        <v>86664.758878160443</v>
      </c>
      <c r="T12" s="23">
        <f t="shared" si="41"/>
        <v>91765.168593023991</v>
      </c>
      <c r="U12" s="23">
        <f t="shared" si="41"/>
        <v>92131.655498377513</v>
      </c>
      <c r="V12" s="23">
        <f t="shared" si="41"/>
        <v>101932.86536013514</v>
      </c>
      <c r="W12" s="23">
        <f t="shared" si="41"/>
        <v>88326.269050657793</v>
      </c>
      <c r="X12" s="23">
        <f t="shared" si="41"/>
        <v>95534.589580085958</v>
      </c>
      <c r="Y12" s="23">
        <f t="shared" si="41"/>
        <v>101735.75665645947</v>
      </c>
      <c r="Z12" s="23">
        <f t="shared" si="41"/>
        <v>95174.467762857661</v>
      </c>
      <c r="AA12" s="23">
        <f t="shared" si="41"/>
        <v>101550.38683525988</v>
      </c>
      <c r="AB12" s="23">
        <f t="shared" si="41"/>
        <v>100581.69083808755</v>
      </c>
      <c r="AC12" s="23">
        <f t="shared" si="41"/>
        <v>93667.189841196596</v>
      </c>
      <c r="AD12" s="23">
        <f t="shared" si="41"/>
        <v>98800.690392976496</v>
      </c>
      <c r="AE12" s="23">
        <f t="shared" si="41"/>
        <v>87319.475642571168</v>
      </c>
      <c r="AF12" s="23">
        <f t="shared" si="41"/>
        <v>84273.816562070278</v>
      </c>
      <c r="AG12" s="23">
        <f t="shared" si="41"/>
        <v>96894.28503230885</v>
      </c>
      <c r="AH12" s="23">
        <f t="shared" si="41"/>
        <v>90200.419454164614</v>
      </c>
      <c r="AI12" s="23">
        <f t="shared" si="41"/>
        <v>98554.52639943047</v>
      </c>
      <c r="AJ12" s="23">
        <f t="shared" si="41"/>
        <v>102505.93251503826</v>
      </c>
      <c r="AK12" s="23">
        <f t="shared" si="41"/>
        <v>96988.070656525917</v>
      </c>
      <c r="AL12" s="23">
        <f t="shared" si="41"/>
        <v>112196.65537859481</v>
      </c>
      <c r="AM12" s="23">
        <f t="shared" ref="AM12" si="42">AM7-AM11</f>
        <v>114847.24606927014</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350</v>
      </c>
      <c r="E15" s="18">
        <v>360.5</v>
      </c>
      <c r="F15" s="18">
        <f>E15*(0.98)</f>
        <v>353.29</v>
      </c>
      <c r="G15" s="18">
        <v>363.88870000000003</v>
      </c>
      <c r="H15" s="18">
        <v>374.80536100000006</v>
      </c>
      <c r="I15" s="18">
        <f>H15*(0.98)</f>
        <v>367.30925378000006</v>
      </c>
      <c r="J15" s="18">
        <v>378.32853139340006</v>
      </c>
      <c r="K15" s="18">
        <v>389.67838733520205</v>
      </c>
      <c r="L15" s="18">
        <v>401.3687389552581</v>
      </c>
      <c r="M15" s="18">
        <f>L15*(0.98)</f>
        <v>393.34136417615292</v>
      </c>
      <c r="N15" s="18">
        <v>405.14160510143751</v>
      </c>
      <c r="O15" s="18">
        <v>417.29585325448062</v>
      </c>
      <c r="P15" s="18">
        <v>429.81472885211502</v>
      </c>
      <c r="Q15" s="18">
        <f>P15*(0.98)</f>
        <v>421.2184342750727</v>
      </c>
      <c r="R15" s="18">
        <v>433.85498730332489</v>
      </c>
      <c r="S15" s="18">
        <v>446.87063692242464</v>
      </c>
      <c r="T15" s="18">
        <v>460.27675603009737</v>
      </c>
      <c r="U15" s="18">
        <f>T15*(0.98)</f>
        <v>451.07122090949542</v>
      </c>
      <c r="V15" s="18">
        <v>464.60335753678032</v>
      </c>
      <c r="W15" s="18">
        <v>478.54145826288374</v>
      </c>
      <c r="X15" s="18">
        <f>W15*(0.98)</f>
        <v>468.97062909762604</v>
      </c>
      <c r="Y15" s="18">
        <v>483.03974797055486</v>
      </c>
      <c r="Z15" s="18">
        <v>497.53094040967153</v>
      </c>
      <c r="AA15" s="18">
        <f>Z15*(0.98)</f>
        <v>487.58032160147809</v>
      </c>
      <c r="AB15" s="18">
        <v>502.20773124952245</v>
      </c>
      <c r="AC15" s="18">
        <f>AB15*(0.98)</f>
        <v>492.16357662453197</v>
      </c>
      <c r="AD15" s="18">
        <v>506.92848392326795</v>
      </c>
      <c r="AE15" s="18">
        <f>AD15*(0.98)</f>
        <v>496.78991424480256</v>
      </c>
      <c r="AF15" s="18">
        <v>511.69361167214663</v>
      </c>
      <c r="AG15" s="18">
        <f>AF15*(0.98)</f>
        <v>501.45973943870371</v>
      </c>
      <c r="AH15" s="18">
        <v>516.50353162186479</v>
      </c>
      <c r="AI15" s="18">
        <v>531.99863757052071</v>
      </c>
      <c r="AJ15" s="18">
        <v>547.95859669763638</v>
      </c>
      <c r="AK15" s="18">
        <f>AJ15*(0.98)</f>
        <v>536.99942476368369</v>
      </c>
      <c r="AL15" s="18">
        <v>553.10940750659427</v>
      </c>
      <c r="AM15" s="18">
        <v>569.70268973179213</v>
      </c>
    </row>
    <row r="16" spans="1:39" s="17" customFormat="1" ht="21" customHeight="1" x14ac:dyDescent="0.25">
      <c r="B16" s="4" t="s">
        <v>36</v>
      </c>
      <c r="C16" s="15"/>
      <c r="D16" s="18">
        <v>1000</v>
      </c>
      <c r="E16" s="18">
        <v>1040</v>
      </c>
      <c r="F16" s="18">
        <f>E16*(0.9)</f>
        <v>936</v>
      </c>
      <c r="G16" s="18">
        <v>973.44</v>
      </c>
      <c r="H16" s="18">
        <v>1012.3776000000001</v>
      </c>
      <c r="I16" s="18">
        <f t="shared" ref="I16:I22" si="43">H16*(0.98)</f>
        <v>992.1300480000001</v>
      </c>
      <c r="J16" s="18">
        <v>1031.81524992</v>
      </c>
      <c r="K16" s="18">
        <v>1073.0878599168</v>
      </c>
      <c r="L16" s="18">
        <v>1116.0113743134721</v>
      </c>
      <c r="M16" s="18">
        <f t="shared" ref="M16:M22" si="44">L16*(0.98)</f>
        <v>1093.6911468272026</v>
      </c>
      <c r="N16" s="18">
        <v>1137.4387927002908</v>
      </c>
      <c r="O16" s="18">
        <v>1182.9363444083026</v>
      </c>
      <c r="P16" s="18">
        <v>1230.2537981846347</v>
      </c>
      <c r="Q16" s="18">
        <f t="shared" ref="Q16:Q22" si="45">P16*(0.98)</f>
        <v>1205.6487222209419</v>
      </c>
      <c r="R16" s="18">
        <v>1253.8746711097797</v>
      </c>
      <c r="S16" s="18">
        <v>1304.0296579541709</v>
      </c>
      <c r="T16" s="18">
        <v>1356.1908442723379</v>
      </c>
      <c r="U16" s="18">
        <f t="shared" ref="U16:U22" si="46">T16*(0.98)</f>
        <v>1329.0670273868911</v>
      </c>
      <c r="V16" s="18">
        <v>1382.2297084823667</v>
      </c>
      <c r="W16" s="18">
        <v>1437.5188968216614</v>
      </c>
      <c r="X16" s="18">
        <f t="shared" ref="X16:X22" si="47">W16*(0.98)</f>
        <v>1408.7685188852281</v>
      </c>
      <c r="Y16" s="18">
        <v>1465.1192596406372</v>
      </c>
      <c r="Z16" s="18">
        <v>1523.7240300262627</v>
      </c>
      <c r="AA16" s="18">
        <f t="shared" ref="AA16:AA22" si="48">Z16*(0.98)</f>
        <v>1493.2495494257373</v>
      </c>
      <c r="AB16" s="18">
        <v>1552.979531402767</v>
      </c>
      <c r="AC16" s="18">
        <f t="shared" ref="AC16:AC22" si="49">AB16*(0.98)</f>
        <v>1521.9199407747117</v>
      </c>
      <c r="AD16" s="18">
        <v>1582.7967384057001</v>
      </c>
      <c r="AE16" s="18">
        <f t="shared" ref="AE16:AE22" si="50">AD16*(0.98)</f>
        <v>1551.140803637586</v>
      </c>
      <c r="AF16" s="18">
        <v>1613.1864357830896</v>
      </c>
      <c r="AG16" s="18">
        <f t="shared" ref="AG16:AG22" si="51">AF16*(0.98)</f>
        <v>1580.9227070674278</v>
      </c>
      <c r="AH16" s="18">
        <v>1644.159615350125</v>
      </c>
      <c r="AI16" s="18">
        <v>1709.9259999641301</v>
      </c>
      <c r="AJ16" s="18">
        <v>1778.3230399626955</v>
      </c>
      <c r="AK16" s="18">
        <f t="shared" ref="AK16:AK22" si="52">AJ16*(0.98)</f>
        <v>1742.7565791634415</v>
      </c>
      <c r="AL16" s="18">
        <v>1812.4668423299793</v>
      </c>
      <c r="AM16" s="18">
        <v>1884.9655160231785</v>
      </c>
    </row>
    <row r="17" spans="2:39" s="17" customFormat="1" ht="21" customHeight="1" x14ac:dyDescent="0.25">
      <c r="B17" s="4" t="s">
        <v>37</v>
      </c>
      <c r="C17" s="15"/>
      <c r="D17" s="18">
        <v>4000</v>
      </c>
      <c r="E17" s="18">
        <v>4200</v>
      </c>
      <c r="F17" s="18">
        <f t="shared" ref="F17:F22" si="53">E17*(0.98)</f>
        <v>4116</v>
      </c>
      <c r="G17" s="18">
        <v>4321.8</v>
      </c>
      <c r="H17" s="18">
        <v>4537.8900000000003</v>
      </c>
      <c r="I17" s="18">
        <f t="shared" si="43"/>
        <v>4447.1322</v>
      </c>
      <c r="J17" s="18">
        <v>4669.4888099999998</v>
      </c>
      <c r="K17" s="18">
        <v>4902.9632505</v>
      </c>
      <c r="L17" s="18">
        <v>5148.1114130249998</v>
      </c>
      <c r="M17" s="18">
        <f t="shared" si="44"/>
        <v>5045.1491847644993</v>
      </c>
      <c r="N17" s="18">
        <v>5297.4066440027245</v>
      </c>
      <c r="O17" s="18">
        <v>5562.2769762028611</v>
      </c>
      <c r="P17" s="18">
        <v>5840.3908250130044</v>
      </c>
      <c r="Q17" s="18">
        <f t="shared" si="45"/>
        <v>5723.5830085127445</v>
      </c>
      <c r="R17" s="18">
        <v>6009.7621589383816</v>
      </c>
      <c r="S17" s="18">
        <v>6310.2502668853012</v>
      </c>
      <c r="T17" s="18">
        <v>6625.7627802295665</v>
      </c>
      <c r="U17" s="18">
        <f t="shared" si="46"/>
        <v>6493.2475246249751</v>
      </c>
      <c r="V17" s="18">
        <v>6817.9099008562243</v>
      </c>
      <c r="W17" s="18">
        <v>7158.8053958990358</v>
      </c>
      <c r="X17" s="18">
        <f t="shared" si="47"/>
        <v>7015.6292879810553</v>
      </c>
      <c r="Y17" s="18">
        <v>7366.4107523801085</v>
      </c>
      <c r="Z17" s="18">
        <v>7734.7312899991139</v>
      </c>
      <c r="AA17" s="18">
        <f t="shared" si="48"/>
        <v>7580.0366641991313</v>
      </c>
      <c r="AB17" s="18">
        <v>7959.0384974090884</v>
      </c>
      <c r="AC17" s="18">
        <f t="shared" si="49"/>
        <v>7799.857727460907</v>
      </c>
      <c r="AD17" s="18">
        <v>8189.8506138339526</v>
      </c>
      <c r="AE17" s="18">
        <f t="shared" si="50"/>
        <v>8026.0536015572734</v>
      </c>
      <c r="AF17" s="18">
        <v>8427.3562816351368</v>
      </c>
      <c r="AG17" s="18">
        <f t="shared" si="51"/>
        <v>8258.8091560024332</v>
      </c>
      <c r="AH17" s="18">
        <v>8671.7496138025544</v>
      </c>
      <c r="AI17" s="18">
        <v>9105.3370944926828</v>
      </c>
      <c r="AJ17" s="18">
        <v>9560.6039492173168</v>
      </c>
      <c r="AK17" s="18">
        <f t="shared" si="52"/>
        <v>9369.3918702329702</v>
      </c>
      <c r="AL17" s="18">
        <v>9837.861463744619</v>
      </c>
      <c r="AM17" s="18">
        <v>10329.75453693185</v>
      </c>
    </row>
    <row r="18" spans="2:39" s="17" customFormat="1" ht="21" customHeight="1" x14ac:dyDescent="0.25">
      <c r="B18" s="4" t="s">
        <v>38</v>
      </c>
      <c r="C18" s="15"/>
      <c r="D18" s="18">
        <v>250</v>
      </c>
      <c r="E18" s="18">
        <v>257.5</v>
      </c>
      <c r="F18" s="18">
        <f t="shared" si="53"/>
        <v>252.35</v>
      </c>
      <c r="G18" s="18">
        <v>259.9205</v>
      </c>
      <c r="H18" s="18">
        <v>267.71811500000001</v>
      </c>
      <c r="I18" s="18">
        <f t="shared" si="43"/>
        <v>262.36375270000002</v>
      </c>
      <c r="J18" s="18">
        <v>270.23466528100005</v>
      </c>
      <c r="K18" s="18">
        <v>278.34170523943004</v>
      </c>
      <c r="L18" s="18">
        <v>286.69195639661297</v>
      </c>
      <c r="M18" s="18">
        <f t="shared" si="44"/>
        <v>280.95811726868072</v>
      </c>
      <c r="N18" s="18">
        <v>289.38686078674118</v>
      </c>
      <c r="O18" s="18">
        <v>298.06846661034342</v>
      </c>
      <c r="P18" s="18">
        <v>307.01052060865374</v>
      </c>
      <c r="Q18" s="18">
        <f t="shared" si="45"/>
        <v>300.87031019648066</v>
      </c>
      <c r="R18" s="18">
        <v>309.89641950237507</v>
      </c>
      <c r="S18" s="18">
        <v>319.19331208744632</v>
      </c>
      <c r="T18" s="18">
        <v>328.76911145006972</v>
      </c>
      <c r="U18" s="18">
        <f t="shared" si="46"/>
        <v>322.19372922106834</v>
      </c>
      <c r="V18" s="18">
        <v>331.8595410977004</v>
      </c>
      <c r="W18" s="18">
        <v>341.81532733063142</v>
      </c>
      <c r="X18" s="18">
        <f t="shared" si="47"/>
        <v>334.97902078401876</v>
      </c>
      <c r="Y18" s="18">
        <v>345.02839140753935</v>
      </c>
      <c r="Z18" s="18">
        <v>355.37924314976556</v>
      </c>
      <c r="AA18" s="18">
        <f t="shared" si="48"/>
        <v>348.27165828677022</v>
      </c>
      <c r="AB18" s="18">
        <v>358.71980803537332</v>
      </c>
      <c r="AC18" s="18">
        <f t="shared" si="49"/>
        <v>351.54541187466583</v>
      </c>
      <c r="AD18" s="18">
        <v>362.0917742309058</v>
      </c>
      <c r="AE18" s="18">
        <f t="shared" si="50"/>
        <v>354.84993874628765</v>
      </c>
      <c r="AF18" s="18">
        <v>365.49543690867631</v>
      </c>
      <c r="AG18" s="18">
        <f t="shared" si="51"/>
        <v>358.18552817050278</v>
      </c>
      <c r="AH18" s="18">
        <v>368.93109401561787</v>
      </c>
      <c r="AI18" s="18">
        <v>379.99902683608644</v>
      </c>
      <c r="AJ18" s="18">
        <v>391.39899764116905</v>
      </c>
      <c r="AK18" s="18">
        <f t="shared" si="52"/>
        <v>383.57101768834565</v>
      </c>
      <c r="AL18" s="18">
        <v>395.07814821899603</v>
      </c>
      <c r="AM18" s="18">
        <v>406.93049266556591</v>
      </c>
    </row>
    <row r="19" spans="2:39" s="21" customFormat="1" ht="21" customHeight="1" x14ac:dyDescent="0.25">
      <c r="B19" s="6" t="s">
        <v>39</v>
      </c>
      <c r="C19" s="22"/>
      <c r="D19" s="18">
        <v>0</v>
      </c>
      <c r="E19" s="18">
        <v>0</v>
      </c>
      <c r="F19" s="18">
        <f t="shared" si="53"/>
        <v>0</v>
      </c>
      <c r="G19" s="18">
        <v>0</v>
      </c>
      <c r="H19" s="18">
        <v>0</v>
      </c>
      <c r="I19" s="18">
        <f t="shared" si="43"/>
        <v>0</v>
      </c>
      <c r="J19" s="18">
        <v>0</v>
      </c>
      <c r="K19" s="18">
        <v>0</v>
      </c>
      <c r="L19" s="18">
        <v>0</v>
      </c>
      <c r="M19" s="18">
        <f t="shared" si="44"/>
        <v>0</v>
      </c>
      <c r="N19" s="18">
        <v>0</v>
      </c>
      <c r="O19" s="18">
        <v>0</v>
      </c>
      <c r="P19" s="18">
        <v>0</v>
      </c>
      <c r="Q19" s="18">
        <f t="shared" si="45"/>
        <v>0</v>
      </c>
      <c r="R19" s="18">
        <v>0</v>
      </c>
      <c r="S19" s="18">
        <v>0</v>
      </c>
      <c r="T19" s="18">
        <v>0</v>
      </c>
      <c r="U19" s="18">
        <f t="shared" si="46"/>
        <v>0</v>
      </c>
      <c r="V19" s="18">
        <v>0</v>
      </c>
      <c r="W19" s="18">
        <v>0</v>
      </c>
      <c r="X19" s="18">
        <f t="shared" si="47"/>
        <v>0</v>
      </c>
      <c r="Y19" s="18">
        <v>0</v>
      </c>
      <c r="Z19" s="18">
        <v>0</v>
      </c>
      <c r="AA19" s="18">
        <f t="shared" si="48"/>
        <v>0</v>
      </c>
      <c r="AB19" s="18">
        <v>0</v>
      </c>
      <c r="AC19" s="18">
        <f t="shared" si="49"/>
        <v>0</v>
      </c>
      <c r="AD19" s="18">
        <v>0</v>
      </c>
      <c r="AE19" s="18">
        <f t="shared" si="50"/>
        <v>0</v>
      </c>
      <c r="AF19" s="18">
        <v>0</v>
      </c>
      <c r="AG19" s="18">
        <f t="shared" si="51"/>
        <v>0</v>
      </c>
      <c r="AH19" s="18">
        <v>0</v>
      </c>
      <c r="AI19" s="18">
        <v>0</v>
      </c>
      <c r="AJ19" s="18">
        <v>0</v>
      </c>
      <c r="AK19" s="18">
        <f t="shared" si="52"/>
        <v>0</v>
      </c>
      <c r="AL19" s="18">
        <v>0</v>
      </c>
      <c r="AM19" s="18">
        <v>0</v>
      </c>
    </row>
    <row r="20" spans="2:39" s="17" customFormat="1" ht="21" customHeight="1" x14ac:dyDescent="0.25">
      <c r="B20" s="7" t="s">
        <v>40</v>
      </c>
      <c r="C20" s="15"/>
      <c r="D20" s="18">
        <v>800</v>
      </c>
      <c r="E20" s="18">
        <v>840</v>
      </c>
      <c r="F20" s="18">
        <f t="shared" si="53"/>
        <v>823.19999999999993</v>
      </c>
      <c r="G20" s="18">
        <v>864.36</v>
      </c>
      <c r="H20" s="18">
        <v>907.57800000000009</v>
      </c>
      <c r="I20" s="18">
        <f t="shared" si="43"/>
        <v>889.42644000000007</v>
      </c>
      <c r="J20" s="18">
        <v>933.89776200000006</v>
      </c>
      <c r="K20" s="18">
        <v>980.59265010000013</v>
      </c>
      <c r="L20" s="18">
        <v>1029.6222826050002</v>
      </c>
      <c r="M20" s="18">
        <f t="shared" si="44"/>
        <v>1009.0298369529003</v>
      </c>
      <c r="N20" s="18">
        <v>1059.4813288005453</v>
      </c>
      <c r="O20" s="18">
        <v>1112.4553952405727</v>
      </c>
      <c r="P20" s="18">
        <v>1168.0781650026013</v>
      </c>
      <c r="Q20" s="18">
        <f t="shared" si="45"/>
        <v>1144.7166017025493</v>
      </c>
      <c r="R20" s="18">
        <v>1201.9524317876767</v>
      </c>
      <c r="S20" s="18">
        <v>1262.0500533770605</v>
      </c>
      <c r="T20" s="18">
        <v>1325.1525560459136</v>
      </c>
      <c r="U20" s="18">
        <f t="shared" si="46"/>
        <v>1298.6495049249952</v>
      </c>
      <c r="V20" s="18">
        <v>1363.581980171245</v>
      </c>
      <c r="W20" s="18">
        <v>1431.7610791798074</v>
      </c>
      <c r="X20" s="18">
        <f t="shared" si="47"/>
        <v>1403.1258575962113</v>
      </c>
      <c r="Y20" s="18">
        <v>1473.282150476022</v>
      </c>
      <c r="Z20" s="18">
        <v>1546.9462579998233</v>
      </c>
      <c r="AA20" s="18">
        <f t="shared" si="48"/>
        <v>1516.0073328398269</v>
      </c>
      <c r="AB20" s="18">
        <v>1591.8076994818182</v>
      </c>
      <c r="AC20" s="18">
        <f t="shared" si="49"/>
        <v>1559.9715454921818</v>
      </c>
      <c r="AD20" s="18">
        <v>1637.9701227667911</v>
      </c>
      <c r="AE20" s="18">
        <f t="shared" si="50"/>
        <v>1605.2107203114551</v>
      </c>
      <c r="AF20" s="18">
        <v>1685.471256327028</v>
      </c>
      <c r="AG20" s="18">
        <f t="shared" si="51"/>
        <v>1651.7618312004874</v>
      </c>
      <c r="AH20" s="18">
        <v>1734.3499227605118</v>
      </c>
      <c r="AI20" s="18">
        <v>1821.0674188985374</v>
      </c>
      <c r="AJ20" s="18">
        <v>1912.1207898434643</v>
      </c>
      <c r="AK20" s="18">
        <f t="shared" si="52"/>
        <v>1873.8783740465949</v>
      </c>
      <c r="AL20" s="18">
        <v>1967.5722927489248</v>
      </c>
      <c r="AM20" s="18">
        <v>2065.950907386371</v>
      </c>
    </row>
    <row r="21" spans="2:39" s="17" customFormat="1" ht="21" customHeight="1" x14ac:dyDescent="0.25">
      <c r="B21" s="7" t="s">
        <v>41</v>
      </c>
      <c r="C21" s="15"/>
      <c r="D21" s="18">
        <v>3500</v>
      </c>
      <c r="E21" s="18">
        <v>3605</v>
      </c>
      <c r="F21" s="18">
        <f t="shared" si="53"/>
        <v>3532.9</v>
      </c>
      <c r="G21" s="18">
        <v>3638.8870000000002</v>
      </c>
      <c r="H21" s="18">
        <v>3748.0536100000004</v>
      </c>
      <c r="I21" s="18">
        <f t="shared" si="43"/>
        <v>3673.0925378000002</v>
      </c>
      <c r="J21" s="18">
        <v>3783.2853139340004</v>
      </c>
      <c r="K21" s="18">
        <v>3896.7838733520207</v>
      </c>
      <c r="L21" s="18">
        <v>4013.6873895525814</v>
      </c>
      <c r="M21" s="18">
        <f t="shared" si="44"/>
        <v>3933.4136417615296</v>
      </c>
      <c r="N21" s="18">
        <v>4051.4160510143756</v>
      </c>
      <c r="O21" s="18">
        <v>4172.958532544807</v>
      </c>
      <c r="P21" s="18">
        <v>4298.1472885211515</v>
      </c>
      <c r="Q21" s="18">
        <f t="shared" si="45"/>
        <v>4212.1843427507283</v>
      </c>
      <c r="R21" s="18">
        <v>4338.5498730332502</v>
      </c>
      <c r="S21" s="18">
        <v>4468.7063692242482</v>
      </c>
      <c r="T21" s="18">
        <v>4602.7675603009757</v>
      </c>
      <c r="U21" s="18">
        <f t="shared" si="46"/>
        <v>4510.7122090949561</v>
      </c>
      <c r="V21" s="18">
        <v>4646.0335753678046</v>
      </c>
      <c r="W21" s="18">
        <v>4785.4145826288386</v>
      </c>
      <c r="X21" s="18">
        <f t="shared" si="47"/>
        <v>4689.7062909762617</v>
      </c>
      <c r="Y21" s="18">
        <v>4830.3974797055498</v>
      </c>
      <c r="Z21" s="18">
        <v>4975.3094040967162</v>
      </c>
      <c r="AA21" s="18">
        <f t="shared" si="48"/>
        <v>4875.8032160147814</v>
      </c>
      <c r="AB21" s="18">
        <v>5022.0773124952248</v>
      </c>
      <c r="AC21" s="18">
        <f t="shared" ref="AC21:AF21" si="54">AB21*(0.9)</f>
        <v>4519.8695812457026</v>
      </c>
      <c r="AD21" s="18">
        <f t="shared" si="54"/>
        <v>4067.8826231211324</v>
      </c>
      <c r="AE21" s="18">
        <f t="shared" si="54"/>
        <v>3661.0943608090192</v>
      </c>
      <c r="AF21" s="18">
        <f t="shared" si="54"/>
        <v>3294.9849247281172</v>
      </c>
      <c r="AG21" s="18">
        <f t="shared" si="51"/>
        <v>3229.0852262335547</v>
      </c>
      <c r="AH21" s="18">
        <v>3325.9577830205617</v>
      </c>
      <c r="AI21" s="18">
        <v>3425.7365165111787</v>
      </c>
      <c r="AJ21" s="18">
        <v>3528.5086120065143</v>
      </c>
      <c r="AK21" s="18">
        <f t="shared" ref="AK21:AM21" si="55">AJ21*(0.9)</f>
        <v>3175.6577508058631</v>
      </c>
      <c r="AL21" s="18">
        <f t="shared" si="55"/>
        <v>2858.0919757252768</v>
      </c>
      <c r="AM21" s="18">
        <f t="shared" si="55"/>
        <v>2572.2827781527494</v>
      </c>
    </row>
    <row r="22" spans="2:39" s="17" customFormat="1" ht="21" customHeight="1" x14ac:dyDescent="0.25">
      <c r="B22" s="7" t="s">
        <v>42</v>
      </c>
      <c r="C22" s="15"/>
      <c r="D22" s="18">
        <v>350</v>
      </c>
      <c r="E22" s="18">
        <v>360.5</v>
      </c>
      <c r="F22" s="18">
        <f t="shared" si="53"/>
        <v>353.29</v>
      </c>
      <c r="G22" s="18">
        <v>363.88870000000003</v>
      </c>
      <c r="H22" s="18">
        <v>374.80536100000006</v>
      </c>
      <c r="I22" s="18">
        <f t="shared" si="43"/>
        <v>367.30925378000006</v>
      </c>
      <c r="J22" s="18">
        <v>378.32853139340006</v>
      </c>
      <c r="K22" s="18">
        <v>389.67838733520205</v>
      </c>
      <c r="L22" s="18">
        <v>401.3687389552581</v>
      </c>
      <c r="M22" s="18">
        <f t="shared" si="44"/>
        <v>393.34136417615292</v>
      </c>
      <c r="N22" s="18">
        <v>405.14160510143751</v>
      </c>
      <c r="O22" s="18">
        <v>417.29585325448062</v>
      </c>
      <c r="P22" s="18">
        <v>429.81472885211502</v>
      </c>
      <c r="Q22" s="18">
        <f t="shared" si="45"/>
        <v>421.2184342750727</v>
      </c>
      <c r="R22" s="18">
        <v>433.85498730332489</v>
      </c>
      <c r="S22" s="18">
        <v>446.87063692242464</v>
      </c>
      <c r="T22" s="18">
        <v>460.27675603009737</v>
      </c>
      <c r="U22" s="18">
        <f t="shared" si="46"/>
        <v>451.07122090949542</v>
      </c>
      <c r="V22" s="18">
        <v>464.60335753678032</v>
      </c>
      <c r="W22" s="18">
        <v>478.54145826288374</v>
      </c>
      <c r="X22" s="18">
        <f t="shared" si="47"/>
        <v>468.97062909762604</v>
      </c>
      <c r="Y22" s="18">
        <v>483.03974797055486</v>
      </c>
      <c r="Z22" s="18">
        <v>497.53094040967153</v>
      </c>
      <c r="AA22" s="18">
        <f t="shared" si="48"/>
        <v>487.58032160147809</v>
      </c>
      <c r="AB22" s="18">
        <v>502.20773124952245</v>
      </c>
      <c r="AC22" s="18">
        <f t="shared" si="49"/>
        <v>492.16357662453197</v>
      </c>
      <c r="AD22" s="18">
        <v>506.92848392326795</v>
      </c>
      <c r="AE22" s="18">
        <f t="shared" si="50"/>
        <v>496.78991424480256</v>
      </c>
      <c r="AF22" s="18">
        <v>511.69361167214663</v>
      </c>
      <c r="AG22" s="18">
        <f t="shared" si="51"/>
        <v>501.45973943870371</v>
      </c>
      <c r="AH22" s="18">
        <v>516.50353162186479</v>
      </c>
      <c r="AI22" s="18">
        <v>531.99863757052071</v>
      </c>
      <c r="AJ22" s="18">
        <v>547.95859669763638</v>
      </c>
      <c r="AK22" s="18">
        <f t="shared" si="52"/>
        <v>536.99942476368369</v>
      </c>
      <c r="AL22" s="18">
        <v>553.10940750659427</v>
      </c>
      <c r="AM22" s="18">
        <v>569.70268973179213</v>
      </c>
    </row>
    <row r="23" spans="2:39" s="17" customFormat="1" ht="21" customHeight="1" x14ac:dyDescent="0.25">
      <c r="B23" s="6" t="s">
        <v>43</v>
      </c>
      <c r="C23" s="15"/>
      <c r="D23" s="19">
        <f t="shared" ref="D23:AL23" si="56">SUM(D22, D21, D20 + D19)</f>
        <v>4650</v>
      </c>
      <c r="E23" s="19">
        <f t="shared" si="56"/>
        <v>4805.5</v>
      </c>
      <c r="F23" s="19">
        <f t="shared" si="56"/>
        <v>4709.3900000000003</v>
      </c>
      <c r="G23" s="19">
        <f t="shared" si="56"/>
        <v>4867.1356999999998</v>
      </c>
      <c r="H23" s="19">
        <f t="shared" si="56"/>
        <v>5030.436971000001</v>
      </c>
      <c r="I23" s="19">
        <f t="shared" si="56"/>
        <v>4929.8282315800006</v>
      </c>
      <c r="J23" s="19">
        <f t="shared" si="56"/>
        <v>5095.5116073274003</v>
      </c>
      <c r="K23" s="19">
        <f t="shared" si="56"/>
        <v>5267.054910787223</v>
      </c>
      <c r="L23" s="19">
        <f t="shared" si="56"/>
        <v>5444.67841111284</v>
      </c>
      <c r="M23" s="19">
        <f t="shared" si="56"/>
        <v>5335.7848428905827</v>
      </c>
      <c r="N23" s="19">
        <f t="shared" si="56"/>
        <v>5516.0389849163585</v>
      </c>
      <c r="O23" s="19">
        <f t="shared" si="56"/>
        <v>5702.7097810398609</v>
      </c>
      <c r="P23" s="19">
        <f t="shared" si="56"/>
        <v>5896.0401823758675</v>
      </c>
      <c r="Q23" s="19">
        <f t="shared" si="56"/>
        <v>5778.1193787283501</v>
      </c>
      <c r="R23" s="19">
        <f t="shared" si="56"/>
        <v>5974.3572921242521</v>
      </c>
      <c r="S23" s="19">
        <f t="shared" si="56"/>
        <v>6177.6270595237329</v>
      </c>
      <c r="T23" s="19">
        <f t="shared" si="56"/>
        <v>6388.196872376986</v>
      </c>
      <c r="U23" s="19">
        <f t="shared" si="56"/>
        <v>6260.4329349294467</v>
      </c>
      <c r="V23" s="19">
        <f t="shared" si="56"/>
        <v>6474.2189130758297</v>
      </c>
      <c r="W23" s="19">
        <f t="shared" si="56"/>
        <v>6695.7171200715293</v>
      </c>
      <c r="X23" s="19">
        <f t="shared" si="56"/>
        <v>6561.8027776700992</v>
      </c>
      <c r="Y23" s="19">
        <f t="shared" si="56"/>
        <v>6786.7193781521273</v>
      </c>
      <c r="Z23" s="19">
        <f t="shared" si="56"/>
        <v>7019.7866025062112</v>
      </c>
      <c r="AA23" s="19">
        <f t="shared" si="56"/>
        <v>6879.3908704560863</v>
      </c>
      <c r="AB23" s="19">
        <f t="shared" si="56"/>
        <v>7116.0927432265653</v>
      </c>
      <c r="AC23" s="19">
        <f t="shared" si="56"/>
        <v>6572.004703362416</v>
      </c>
      <c r="AD23" s="19">
        <f t="shared" si="56"/>
        <v>6212.7812298111912</v>
      </c>
      <c r="AE23" s="19">
        <f t="shared" si="56"/>
        <v>5763.0949953652762</v>
      </c>
      <c r="AF23" s="19">
        <f t="shared" si="56"/>
        <v>5492.1497927272922</v>
      </c>
      <c r="AG23" s="19">
        <f t="shared" si="56"/>
        <v>5382.3067968727464</v>
      </c>
      <c r="AH23" s="19">
        <f t="shared" si="56"/>
        <v>5576.8112374029379</v>
      </c>
      <c r="AI23" s="19">
        <f t="shared" si="56"/>
        <v>5778.8025729802366</v>
      </c>
      <c r="AJ23" s="19">
        <f t="shared" si="56"/>
        <v>5988.5879985476149</v>
      </c>
      <c r="AK23" s="19">
        <f t="shared" si="56"/>
        <v>5586.5355496161419</v>
      </c>
      <c r="AL23" s="19">
        <f t="shared" si="56"/>
        <v>5378.7736759807958</v>
      </c>
      <c r="AM23" s="19">
        <f t="shared" ref="AM23" si="57">SUM(AM22, AM21, AM20 + AM19)</f>
        <v>5207.9363752709123</v>
      </c>
    </row>
    <row r="24" spans="2:39" s="21" customFormat="1" ht="21" customHeight="1" x14ac:dyDescent="0.25">
      <c r="B24" s="6" t="s">
        <v>44</v>
      </c>
      <c r="C24" s="22"/>
      <c r="D24" s="18">
        <v>0</v>
      </c>
      <c r="E24" s="18">
        <v>0</v>
      </c>
      <c r="F24" s="18">
        <f t="shared" ref="F24:F28" si="58">E24*(0.98)</f>
        <v>0</v>
      </c>
      <c r="G24" s="18">
        <v>0</v>
      </c>
      <c r="H24" s="18">
        <v>0</v>
      </c>
      <c r="I24" s="18">
        <f t="shared" ref="I24:I28" si="59">H24*(0.98)</f>
        <v>0</v>
      </c>
      <c r="J24" s="18">
        <v>0</v>
      </c>
      <c r="K24" s="18">
        <v>0</v>
      </c>
      <c r="L24" s="18">
        <v>0</v>
      </c>
      <c r="M24" s="18">
        <f t="shared" ref="M24:M28" si="60">L24*(0.98)</f>
        <v>0</v>
      </c>
      <c r="N24" s="18">
        <v>0</v>
      </c>
      <c r="O24" s="18">
        <v>0</v>
      </c>
      <c r="P24" s="18">
        <v>0</v>
      </c>
      <c r="Q24" s="18">
        <f t="shared" ref="Q24:Q28" si="61">P24*(0.98)</f>
        <v>0</v>
      </c>
      <c r="R24" s="18">
        <v>0</v>
      </c>
      <c r="S24" s="18">
        <v>0</v>
      </c>
      <c r="T24" s="18">
        <v>0</v>
      </c>
      <c r="U24" s="18">
        <f t="shared" ref="U24:U28" si="62">T24*(0.98)</f>
        <v>0</v>
      </c>
      <c r="V24" s="18">
        <v>0</v>
      </c>
      <c r="W24" s="18">
        <v>0</v>
      </c>
      <c r="X24" s="18">
        <f t="shared" ref="X24:X28" si="63">W24*(0.98)</f>
        <v>0</v>
      </c>
      <c r="Y24" s="18">
        <v>0</v>
      </c>
      <c r="Z24" s="18">
        <v>0</v>
      </c>
      <c r="AA24" s="18">
        <f t="shared" ref="AA24:AA28" si="64">Z24*(0.98)</f>
        <v>0</v>
      </c>
      <c r="AB24" s="18">
        <v>0</v>
      </c>
      <c r="AC24" s="18">
        <f t="shared" ref="AC24:AC28" si="65">AB24*(0.98)</f>
        <v>0</v>
      </c>
      <c r="AD24" s="18">
        <v>0</v>
      </c>
      <c r="AE24" s="18">
        <f t="shared" ref="AE24:AE28" si="66">AD24*(0.98)</f>
        <v>0</v>
      </c>
      <c r="AF24" s="18">
        <v>0</v>
      </c>
      <c r="AG24" s="18">
        <f t="shared" ref="AG24:AG28" si="67">AF24*(0.98)</f>
        <v>0</v>
      </c>
      <c r="AH24" s="18">
        <v>0</v>
      </c>
      <c r="AI24" s="18">
        <v>0</v>
      </c>
      <c r="AJ24" s="18">
        <v>0</v>
      </c>
      <c r="AK24" s="18">
        <f t="shared" ref="AK24:AK28" si="68">AJ24*(0.98)</f>
        <v>0</v>
      </c>
      <c r="AL24" s="18">
        <v>0</v>
      </c>
      <c r="AM24" s="18">
        <v>0</v>
      </c>
    </row>
    <row r="25" spans="2:39" s="17" customFormat="1" ht="21" customHeight="1" x14ac:dyDescent="0.25">
      <c r="B25" s="7" t="s">
        <v>45</v>
      </c>
      <c r="C25" s="15"/>
      <c r="D25" s="18">
        <v>1000</v>
      </c>
      <c r="E25" s="18">
        <v>1020</v>
      </c>
      <c r="F25" s="18">
        <f t="shared" si="58"/>
        <v>999.6</v>
      </c>
      <c r="G25" s="18">
        <v>1019.592</v>
      </c>
      <c r="H25" s="18">
        <v>1039.9838400000001</v>
      </c>
      <c r="I25" s="18">
        <f t="shared" si="59"/>
        <v>1019.1841632000001</v>
      </c>
      <c r="J25" s="18">
        <v>1039.567846464</v>
      </c>
      <c r="K25" s="18">
        <v>1060.35920339328</v>
      </c>
      <c r="L25" s="18">
        <v>1081.5663874611457</v>
      </c>
      <c r="M25" s="18">
        <f t="shared" si="60"/>
        <v>1059.9350597119228</v>
      </c>
      <c r="N25" s="18">
        <v>1081.1337609061613</v>
      </c>
      <c r="O25" s="18">
        <v>1102.7564361242846</v>
      </c>
      <c r="P25" s="18">
        <v>1124.8115648467704</v>
      </c>
      <c r="Q25" s="18">
        <f t="shared" si="61"/>
        <v>1102.315333549835</v>
      </c>
      <c r="R25" s="18">
        <v>1124.3616402208318</v>
      </c>
      <c r="S25" s="18">
        <v>1146.8488730252484</v>
      </c>
      <c r="T25" s="18">
        <v>1169.7858504857534</v>
      </c>
      <c r="U25" s="18">
        <f t="shared" si="62"/>
        <v>1146.3901334760383</v>
      </c>
      <c r="V25" s="18">
        <v>1169.3179361455591</v>
      </c>
      <c r="W25" s="18">
        <v>1192.7042948684702</v>
      </c>
      <c r="X25" s="18">
        <f t="shared" si="63"/>
        <v>1168.8502089711008</v>
      </c>
      <c r="Y25" s="18">
        <v>1192.2272131505229</v>
      </c>
      <c r="Z25" s="18">
        <v>1216.0717574135333</v>
      </c>
      <c r="AA25" s="18">
        <f t="shared" si="64"/>
        <v>1191.7503222652626</v>
      </c>
      <c r="AB25" s="18">
        <v>1215.5853287105679</v>
      </c>
      <c r="AC25" s="18">
        <f t="shared" si="65"/>
        <v>1191.2736221363564</v>
      </c>
      <c r="AD25" s="18">
        <v>1215.0990945790836</v>
      </c>
      <c r="AE25" s="18">
        <f t="shared" si="66"/>
        <v>1190.797112687502</v>
      </c>
      <c r="AF25" s="18">
        <v>1214.6130549412521</v>
      </c>
      <c r="AG25" s="18">
        <f t="shared" si="67"/>
        <v>1190.3207938424271</v>
      </c>
      <c r="AH25" s="18">
        <v>1214.1272097192757</v>
      </c>
      <c r="AI25" s="18">
        <v>1238.4097539136612</v>
      </c>
      <c r="AJ25" s="18">
        <v>1263.1779489919345</v>
      </c>
      <c r="AK25" s="18">
        <f t="shared" si="68"/>
        <v>1237.9143900120957</v>
      </c>
      <c r="AL25" s="18">
        <v>1262.6726778123377</v>
      </c>
      <c r="AM25" s="18">
        <v>1287.9261313685845</v>
      </c>
    </row>
    <row r="26" spans="2:39" s="17" customFormat="1" ht="21" customHeight="1" x14ac:dyDescent="0.25">
      <c r="B26" s="7" t="s">
        <v>46</v>
      </c>
      <c r="C26" s="15"/>
      <c r="D26" s="18">
        <v>2500</v>
      </c>
      <c r="E26" s="18">
        <v>2575</v>
      </c>
      <c r="F26" s="18">
        <f t="shared" si="58"/>
        <v>2523.5</v>
      </c>
      <c r="G26" s="18">
        <v>2599.2049999999999</v>
      </c>
      <c r="H26" s="18">
        <v>2677.1811499999999</v>
      </c>
      <c r="I26" s="18">
        <f t="shared" si="59"/>
        <v>2623.6375269999999</v>
      </c>
      <c r="J26" s="18">
        <v>2702.3466528099998</v>
      </c>
      <c r="K26" s="18">
        <v>2783.4170523942998</v>
      </c>
      <c r="L26" s="18">
        <v>2866.9195639661289</v>
      </c>
      <c r="M26" s="18">
        <f t="shared" si="60"/>
        <v>2809.5811726868064</v>
      </c>
      <c r="N26" s="18">
        <v>2893.8686078674109</v>
      </c>
      <c r="O26" s="18">
        <v>2980.6846661034333</v>
      </c>
      <c r="P26" s="18">
        <v>3070.1052060865363</v>
      </c>
      <c r="Q26" s="18">
        <f t="shared" si="61"/>
        <v>3008.7031019648057</v>
      </c>
      <c r="R26" s="18">
        <v>3098.9641950237501</v>
      </c>
      <c r="S26" s="18">
        <v>3191.9331208744625</v>
      </c>
      <c r="T26" s="18">
        <v>3287.6911145006966</v>
      </c>
      <c r="U26" s="18">
        <f t="shared" si="62"/>
        <v>3221.9372922106827</v>
      </c>
      <c r="V26" s="18">
        <v>3318.5954109770032</v>
      </c>
      <c r="W26" s="18">
        <v>3418.1532733063136</v>
      </c>
      <c r="X26" s="18">
        <f t="shared" si="63"/>
        <v>3349.7902078401871</v>
      </c>
      <c r="Y26" s="18">
        <v>3450.2839140753927</v>
      </c>
      <c r="Z26" s="18">
        <v>3553.7924314976544</v>
      </c>
      <c r="AA26" s="18">
        <f t="shared" si="64"/>
        <v>3482.7165828677012</v>
      </c>
      <c r="AB26" s="18">
        <v>3587.1980803537322</v>
      </c>
      <c r="AC26" s="18">
        <f t="shared" si="65"/>
        <v>3515.4541187466575</v>
      </c>
      <c r="AD26" s="18">
        <v>3620.9177423090573</v>
      </c>
      <c r="AE26" s="18">
        <f t="shared" si="66"/>
        <v>3548.4993874628763</v>
      </c>
      <c r="AF26" s="18">
        <v>3654.9543690867627</v>
      </c>
      <c r="AG26" s="18">
        <f t="shared" si="67"/>
        <v>3581.8552817050272</v>
      </c>
      <c r="AH26" s="18">
        <v>3689.3109401561783</v>
      </c>
      <c r="AI26" s="18">
        <v>3799.9902683608639</v>
      </c>
      <c r="AJ26" s="18">
        <v>3913.9899764116899</v>
      </c>
      <c r="AK26" s="18">
        <f t="shared" si="68"/>
        <v>3835.7101768834559</v>
      </c>
      <c r="AL26" s="18">
        <v>3950.7814821899597</v>
      </c>
      <c r="AM26" s="18">
        <v>4069.3049266556586</v>
      </c>
    </row>
    <row r="27" spans="2:39" s="17" customFormat="1" ht="21" customHeight="1" x14ac:dyDescent="0.25">
      <c r="B27" s="7" t="s">
        <v>47</v>
      </c>
      <c r="C27" s="15"/>
      <c r="D27" s="18">
        <v>1500</v>
      </c>
      <c r="E27" s="18">
        <v>1545</v>
      </c>
      <c r="F27" s="18">
        <f t="shared" si="58"/>
        <v>1514.1</v>
      </c>
      <c r="G27" s="18">
        <v>1559.5229999999999</v>
      </c>
      <c r="H27" s="18">
        <v>1606.3086899999998</v>
      </c>
      <c r="I27" s="18">
        <f t="shared" si="59"/>
        <v>1574.1825161999998</v>
      </c>
      <c r="J27" s="18">
        <v>1621.4079916859998</v>
      </c>
      <c r="K27" s="18">
        <v>1670.0502314365799</v>
      </c>
      <c r="L27" s="18">
        <v>1720.1517383796775</v>
      </c>
      <c r="M27" s="18">
        <f t="shared" si="60"/>
        <v>1685.7487036120838</v>
      </c>
      <c r="N27" s="18">
        <v>1736.3211647204464</v>
      </c>
      <c r="O27" s="18">
        <v>1788.4107996620598</v>
      </c>
      <c r="P27" s="18">
        <v>1842.0631236519216</v>
      </c>
      <c r="Q27" s="18">
        <f t="shared" si="61"/>
        <v>1805.221861178883</v>
      </c>
      <c r="R27" s="18">
        <v>1859.3785170142496</v>
      </c>
      <c r="S27" s="18">
        <v>1915.1598725246772</v>
      </c>
      <c r="T27" s="18">
        <v>1972.6146687004175</v>
      </c>
      <c r="U27" s="18">
        <f t="shared" si="62"/>
        <v>1933.1623753264091</v>
      </c>
      <c r="V27" s="18">
        <v>1991.1572465862014</v>
      </c>
      <c r="W27" s="18">
        <v>2050.8919639837873</v>
      </c>
      <c r="X27" s="18">
        <f t="shared" si="63"/>
        <v>2009.8741247041114</v>
      </c>
      <c r="Y27" s="18">
        <v>2070.1703484452346</v>
      </c>
      <c r="Z27" s="18">
        <v>2132.2754588985918</v>
      </c>
      <c r="AA27" s="18">
        <f t="shared" si="64"/>
        <v>2089.6299497206201</v>
      </c>
      <c r="AB27" s="18">
        <v>2152.3188482122387</v>
      </c>
      <c r="AC27" s="18">
        <f t="shared" si="65"/>
        <v>2109.272471247994</v>
      </c>
      <c r="AD27" s="18">
        <v>2172.5506453854337</v>
      </c>
      <c r="AE27" s="18">
        <f t="shared" si="66"/>
        <v>2129.0996324777248</v>
      </c>
      <c r="AF27" s="18">
        <v>2192.9726214520565</v>
      </c>
      <c r="AG27" s="18">
        <f t="shared" si="67"/>
        <v>2149.1131690230154</v>
      </c>
      <c r="AH27" s="18">
        <v>2213.5865640937059</v>
      </c>
      <c r="AI27" s="18">
        <v>2279.994161016517</v>
      </c>
      <c r="AJ27" s="18">
        <v>2348.3939858470126</v>
      </c>
      <c r="AK27" s="18">
        <f t="shared" si="68"/>
        <v>2301.4261061300722</v>
      </c>
      <c r="AL27" s="18">
        <v>2370.4688893139746</v>
      </c>
      <c r="AM27" s="18">
        <v>2441.5829559933941</v>
      </c>
    </row>
    <row r="28" spans="2:39" s="17" customFormat="1" ht="21" customHeight="1" x14ac:dyDescent="0.25">
      <c r="B28" s="7" t="s">
        <v>48</v>
      </c>
      <c r="C28" s="15"/>
      <c r="D28" s="18">
        <v>2000</v>
      </c>
      <c r="E28" s="18">
        <v>2060</v>
      </c>
      <c r="F28" s="18">
        <f t="shared" si="58"/>
        <v>2018.8</v>
      </c>
      <c r="G28" s="18">
        <v>2079.364</v>
      </c>
      <c r="H28" s="18">
        <v>2141.7449200000001</v>
      </c>
      <c r="I28" s="18">
        <f t="shared" si="59"/>
        <v>2098.9100216000002</v>
      </c>
      <c r="J28" s="18">
        <v>2161.8773222480004</v>
      </c>
      <c r="K28" s="18">
        <v>2226.7336419154403</v>
      </c>
      <c r="L28" s="18">
        <v>2293.5356511729037</v>
      </c>
      <c r="M28" s="18">
        <f t="shared" si="60"/>
        <v>2247.6649381494458</v>
      </c>
      <c r="N28" s="18">
        <v>2315.0948862939294</v>
      </c>
      <c r="O28" s="18">
        <v>2384.5477328827474</v>
      </c>
      <c r="P28" s="18">
        <v>2456.0841648692299</v>
      </c>
      <c r="Q28" s="18">
        <f t="shared" si="61"/>
        <v>2406.9624815718453</v>
      </c>
      <c r="R28" s="18">
        <v>2479.1713560190005</v>
      </c>
      <c r="S28" s="18">
        <v>2553.5464966995705</v>
      </c>
      <c r="T28" s="18">
        <v>2630.1528916005577</v>
      </c>
      <c r="U28" s="18">
        <f t="shared" si="62"/>
        <v>2577.5498337685467</v>
      </c>
      <c r="V28" s="18">
        <v>2654.8763287816032</v>
      </c>
      <c r="W28" s="18">
        <v>2734.5226186450514</v>
      </c>
      <c r="X28" s="18">
        <f t="shared" si="63"/>
        <v>2679.8321662721501</v>
      </c>
      <c r="Y28" s="18">
        <v>2760.2271312603148</v>
      </c>
      <c r="Z28" s="18">
        <v>2843.0339451981245</v>
      </c>
      <c r="AA28" s="18">
        <f t="shared" si="64"/>
        <v>2786.1732662941617</v>
      </c>
      <c r="AB28" s="18">
        <v>2869.7584642829866</v>
      </c>
      <c r="AC28" s="18">
        <f t="shared" si="65"/>
        <v>2812.3632949973266</v>
      </c>
      <c r="AD28" s="18">
        <v>2896.7341938472464</v>
      </c>
      <c r="AE28" s="18">
        <f t="shared" si="66"/>
        <v>2838.7995099703012</v>
      </c>
      <c r="AF28" s="18">
        <v>2923.9634952694105</v>
      </c>
      <c r="AG28" s="18">
        <f t="shared" si="67"/>
        <v>2865.4842253640222</v>
      </c>
      <c r="AH28" s="18">
        <v>2951.448752124943</v>
      </c>
      <c r="AI28" s="18">
        <v>3039.9922146886915</v>
      </c>
      <c r="AJ28" s="18">
        <v>3131.1919811293524</v>
      </c>
      <c r="AK28" s="18">
        <f t="shared" si="68"/>
        <v>3068.5681415067652</v>
      </c>
      <c r="AL28" s="18">
        <v>3160.6251857519683</v>
      </c>
      <c r="AM28" s="18">
        <v>3255.4439413245273</v>
      </c>
    </row>
    <row r="29" spans="2:39" s="17" customFormat="1" ht="21" customHeight="1" x14ac:dyDescent="0.25">
      <c r="B29" s="6" t="s">
        <v>49</v>
      </c>
      <c r="C29" s="15"/>
      <c r="D29" s="19">
        <f t="shared" ref="D29:AL29" si="69">SUM(D28, D27, D26, D25 + D24)</f>
        <v>7000</v>
      </c>
      <c r="E29" s="19">
        <f t="shared" si="69"/>
        <v>7200</v>
      </c>
      <c r="F29" s="19">
        <f t="shared" si="69"/>
        <v>7056</v>
      </c>
      <c r="G29" s="19">
        <f t="shared" si="69"/>
        <v>7257.6839999999993</v>
      </c>
      <c r="H29" s="19">
        <f t="shared" si="69"/>
        <v>7465.2185999999992</v>
      </c>
      <c r="I29" s="19">
        <f t="shared" si="69"/>
        <v>7315.9142279999996</v>
      </c>
      <c r="J29" s="19">
        <f t="shared" si="69"/>
        <v>7525.1998132080007</v>
      </c>
      <c r="K29" s="19">
        <f t="shared" si="69"/>
        <v>7740.5601291395997</v>
      </c>
      <c r="L29" s="19">
        <f t="shared" si="69"/>
        <v>7962.1733409798562</v>
      </c>
      <c r="M29" s="19">
        <f t="shared" si="69"/>
        <v>7802.9298741602588</v>
      </c>
      <c r="N29" s="19">
        <f t="shared" si="69"/>
        <v>8026.4184197879476</v>
      </c>
      <c r="O29" s="19">
        <f t="shared" si="69"/>
        <v>8256.3996347725242</v>
      </c>
      <c r="P29" s="19">
        <f t="shared" si="69"/>
        <v>8493.0640594544584</v>
      </c>
      <c r="Q29" s="19">
        <f t="shared" si="69"/>
        <v>8323.2027782653695</v>
      </c>
      <c r="R29" s="19">
        <f t="shared" si="69"/>
        <v>8561.875708277832</v>
      </c>
      <c r="S29" s="19">
        <f t="shared" si="69"/>
        <v>8807.4883631239591</v>
      </c>
      <c r="T29" s="19">
        <f t="shared" si="69"/>
        <v>9060.2445252874259</v>
      </c>
      <c r="U29" s="19">
        <f t="shared" si="69"/>
        <v>8879.0396347816768</v>
      </c>
      <c r="V29" s="19">
        <f t="shared" si="69"/>
        <v>9133.946922490366</v>
      </c>
      <c r="W29" s="19">
        <f t="shared" si="69"/>
        <v>9396.2721508036229</v>
      </c>
      <c r="X29" s="19">
        <f t="shared" si="69"/>
        <v>9208.3467077875484</v>
      </c>
      <c r="Y29" s="19">
        <f t="shared" si="69"/>
        <v>9472.9086069314653</v>
      </c>
      <c r="Z29" s="19">
        <f t="shared" si="69"/>
        <v>9745.1735930079049</v>
      </c>
      <c r="AA29" s="19">
        <f t="shared" si="69"/>
        <v>9550.2701211477452</v>
      </c>
      <c r="AB29" s="19">
        <f t="shared" si="69"/>
        <v>9824.8607215595239</v>
      </c>
      <c r="AC29" s="19">
        <f t="shared" si="69"/>
        <v>9628.3635071283352</v>
      </c>
      <c r="AD29" s="19">
        <f t="shared" si="69"/>
        <v>9905.30167612082</v>
      </c>
      <c r="AE29" s="19">
        <f t="shared" si="69"/>
        <v>9707.1956425984044</v>
      </c>
      <c r="AF29" s="19">
        <f t="shared" si="69"/>
        <v>9986.5035407494815</v>
      </c>
      <c r="AG29" s="19">
        <f t="shared" si="69"/>
        <v>9786.7734699344928</v>
      </c>
      <c r="AH29" s="19">
        <f t="shared" si="69"/>
        <v>10068.473466094103</v>
      </c>
      <c r="AI29" s="19">
        <f t="shared" si="69"/>
        <v>10358.386397979733</v>
      </c>
      <c r="AJ29" s="19">
        <f t="shared" si="69"/>
        <v>10656.753892379991</v>
      </c>
      <c r="AK29" s="19">
        <f t="shared" si="69"/>
        <v>10443.61881453239</v>
      </c>
      <c r="AL29" s="19">
        <f t="shared" si="69"/>
        <v>10744.54823506824</v>
      </c>
      <c r="AM29" s="19">
        <f t="shared" ref="AM29" si="70">SUM(AM28, AM27, AM26, AM25 + AM24)</f>
        <v>11054.257955342164</v>
      </c>
    </row>
    <row r="30" spans="2:39" s="21" customFormat="1" ht="21" customHeight="1" x14ac:dyDescent="0.25">
      <c r="B30" s="6" t="s">
        <v>50</v>
      </c>
      <c r="C30" s="22"/>
      <c r="D30" s="18">
        <v>0</v>
      </c>
      <c r="E30" s="18">
        <v>0</v>
      </c>
      <c r="F30" s="18">
        <f t="shared" ref="F30:F35" si="71">E30*(0.98)</f>
        <v>0</v>
      </c>
      <c r="G30" s="18">
        <v>0</v>
      </c>
      <c r="H30" s="18">
        <v>0</v>
      </c>
      <c r="I30" s="18">
        <f t="shared" ref="I30:I35" si="72">H30*(0.98)</f>
        <v>0</v>
      </c>
      <c r="J30" s="18">
        <v>0</v>
      </c>
      <c r="K30" s="18">
        <v>0</v>
      </c>
      <c r="L30" s="18">
        <v>0</v>
      </c>
      <c r="M30" s="18">
        <f t="shared" ref="M30:M35" si="73">L30*(0.98)</f>
        <v>0</v>
      </c>
      <c r="N30" s="18">
        <v>0</v>
      </c>
      <c r="O30" s="18">
        <v>0</v>
      </c>
      <c r="P30" s="18">
        <v>0</v>
      </c>
      <c r="Q30" s="18">
        <f t="shared" ref="Q30:Q35" si="74">P30*(0.98)</f>
        <v>0</v>
      </c>
      <c r="R30" s="18">
        <v>0</v>
      </c>
      <c r="S30" s="18">
        <v>0</v>
      </c>
      <c r="T30" s="18">
        <v>0</v>
      </c>
      <c r="U30" s="18">
        <f t="shared" ref="U30:U35" si="75">T30*(0.98)</f>
        <v>0</v>
      </c>
      <c r="V30" s="18">
        <v>0</v>
      </c>
      <c r="W30" s="18">
        <v>0</v>
      </c>
      <c r="X30" s="18">
        <f t="shared" ref="X30:X35" si="76">W30*(0.98)</f>
        <v>0</v>
      </c>
      <c r="Y30" s="18">
        <v>0</v>
      </c>
      <c r="Z30" s="18">
        <v>0</v>
      </c>
      <c r="AA30" s="18">
        <f t="shared" ref="AA30:AA35" si="77">Z30*(0.98)</f>
        <v>0</v>
      </c>
      <c r="AB30" s="18">
        <v>0</v>
      </c>
      <c r="AC30" s="18">
        <f t="shared" ref="AC30:AC35" si="78">AB30*(0.98)</f>
        <v>0</v>
      </c>
      <c r="AD30" s="18">
        <v>0</v>
      </c>
      <c r="AE30" s="18">
        <f t="shared" ref="AE30:AE35" si="79">AD30*(0.98)</f>
        <v>0</v>
      </c>
      <c r="AF30" s="18">
        <v>0</v>
      </c>
      <c r="AG30" s="18">
        <f t="shared" ref="AG30:AG35" si="80">AF30*(0.98)</f>
        <v>0</v>
      </c>
      <c r="AH30" s="18">
        <v>0</v>
      </c>
      <c r="AI30" s="18">
        <v>0</v>
      </c>
      <c r="AJ30" s="18">
        <v>0</v>
      </c>
      <c r="AK30" s="18">
        <f t="shared" ref="AK30:AK35" si="81">AJ30*(0.98)</f>
        <v>0</v>
      </c>
      <c r="AL30" s="18">
        <v>0</v>
      </c>
      <c r="AM30" s="18">
        <v>0</v>
      </c>
    </row>
    <row r="31" spans="2:39" s="17" customFormat="1" ht="21" customHeight="1" x14ac:dyDescent="0.25">
      <c r="B31" s="7" t="s">
        <v>51</v>
      </c>
      <c r="C31" s="15"/>
      <c r="D31" s="18">
        <v>5000</v>
      </c>
      <c r="E31" s="18">
        <v>5250</v>
      </c>
      <c r="F31" s="18">
        <f t="shared" si="71"/>
        <v>5145</v>
      </c>
      <c r="G31" s="18">
        <f t="shared" ref="G31:I31" si="82">F31*(0.9)</f>
        <v>4630.5</v>
      </c>
      <c r="H31" s="18">
        <f t="shared" si="82"/>
        <v>4167.45</v>
      </c>
      <c r="I31" s="18">
        <f t="shared" si="82"/>
        <v>3750.7049999999999</v>
      </c>
      <c r="J31" s="18">
        <v>3938.2402500000003</v>
      </c>
      <c r="K31" s="18">
        <v>4135.1522625000007</v>
      </c>
      <c r="L31" s="18">
        <v>4341.9098756250005</v>
      </c>
      <c r="M31" s="18">
        <f t="shared" si="73"/>
        <v>4255.0716781125002</v>
      </c>
      <c r="N31" s="18">
        <v>4467.8252620181256</v>
      </c>
      <c r="O31" s="18">
        <v>4691.2165251190318</v>
      </c>
      <c r="P31" s="18">
        <v>4925.7773513749835</v>
      </c>
      <c r="Q31" s="18">
        <f t="shared" si="74"/>
        <v>4827.261804347484</v>
      </c>
      <c r="R31" s="18">
        <f t="shared" ref="R31:S31" si="83">Q31*(0.9)</f>
        <v>4344.5356239127359</v>
      </c>
      <c r="S31" s="18">
        <f t="shared" si="83"/>
        <v>3910.0820615214625</v>
      </c>
      <c r="T31" s="18">
        <v>4105.5861645975356</v>
      </c>
      <c r="U31" s="18">
        <f t="shared" si="75"/>
        <v>4023.4744413055846</v>
      </c>
      <c r="V31" s="18">
        <v>4224.6481633708636</v>
      </c>
      <c r="W31" s="18">
        <v>4435.8805715394074</v>
      </c>
      <c r="X31" s="18">
        <f t="shared" si="76"/>
        <v>4347.1629601086188</v>
      </c>
      <c r="Y31" s="18">
        <f t="shared" ref="Y31:AA31" si="84">X31*(0.9)</f>
        <v>3912.4466640977571</v>
      </c>
      <c r="Z31" s="18">
        <f t="shared" si="84"/>
        <v>3521.2019976879815</v>
      </c>
      <c r="AA31" s="18">
        <f t="shared" si="84"/>
        <v>3169.0817979191834</v>
      </c>
      <c r="AB31" s="18">
        <v>3327.5358878151428</v>
      </c>
      <c r="AC31" s="18">
        <f t="shared" si="78"/>
        <v>3260.9851700588397</v>
      </c>
      <c r="AD31" s="18">
        <v>3424.0344285617816</v>
      </c>
      <c r="AE31" s="18">
        <f t="shared" si="79"/>
        <v>3355.5537399905461</v>
      </c>
      <c r="AF31" s="18">
        <v>3523.3314269900734</v>
      </c>
      <c r="AG31" s="18">
        <f t="shared" ref="AG31:AI31" si="85">AF31*(0.9)</f>
        <v>3170.9982842910663</v>
      </c>
      <c r="AH31" s="18">
        <f t="shared" si="85"/>
        <v>2853.8984558619595</v>
      </c>
      <c r="AI31" s="18">
        <f t="shared" si="85"/>
        <v>2568.5086102757637</v>
      </c>
      <c r="AJ31" s="18">
        <v>2696.934040789552</v>
      </c>
      <c r="AK31" s="18">
        <f t="shared" si="81"/>
        <v>2642.995359973761</v>
      </c>
      <c r="AL31" s="18">
        <v>2775.1451279724492</v>
      </c>
      <c r="AM31" s="18">
        <v>2913.902384371072</v>
      </c>
    </row>
    <row r="32" spans="2:39" s="17" customFormat="1" ht="21" customHeight="1" x14ac:dyDescent="0.25">
      <c r="B32" s="7" t="s">
        <v>52</v>
      </c>
      <c r="C32" s="15"/>
      <c r="D32" s="18">
        <v>500</v>
      </c>
      <c r="E32" s="18">
        <v>515</v>
      </c>
      <c r="F32" s="18">
        <f t="shared" si="71"/>
        <v>504.7</v>
      </c>
      <c r="G32" s="18">
        <v>519.84100000000001</v>
      </c>
      <c r="H32" s="18">
        <v>535.43623000000002</v>
      </c>
      <c r="I32" s="18">
        <f t="shared" si="72"/>
        <v>524.72750540000004</v>
      </c>
      <c r="J32" s="18">
        <v>540.4693305620001</v>
      </c>
      <c r="K32" s="18">
        <v>556.68341047886008</v>
      </c>
      <c r="L32" s="18">
        <v>573.38391279322593</v>
      </c>
      <c r="M32" s="18">
        <f t="shared" si="73"/>
        <v>561.91623453736145</v>
      </c>
      <c r="N32" s="18">
        <v>578.77372157348236</v>
      </c>
      <c r="O32" s="18">
        <v>596.13693322068684</v>
      </c>
      <c r="P32" s="18">
        <v>614.02104121730747</v>
      </c>
      <c r="Q32" s="18">
        <f t="shared" si="74"/>
        <v>601.74062039296132</v>
      </c>
      <c r="R32" s="18">
        <v>619.79283900475014</v>
      </c>
      <c r="S32" s="18">
        <v>638.38662417489263</v>
      </c>
      <c r="T32" s="18">
        <v>657.53822290013943</v>
      </c>
      <c r="U32" s="18">
        <f t="shared" si="75"/>
        <v>644.38745844213668</v>
      </c>
      <c r="V32" s="18">
        <v>663.7190821954008</v>
      </c>
      <c r="W32" s="18">
        <v>683.63065466126284</v>
      </c>
      <c r="X32" s="18">
        <f t="shared" si="76"/>
        <v>669.95804156803752</v>
      </c>
      <c r="Y32" s="18">
        <v>690.05678281507869</v>
      </c>
      <c r="Z32" s="18">
        <v>710.75848629953111</v>
      </c>
      <c r="AA32" s="18">
        <f t="shared" si="77"/>
        <v>696.54331657354044</v>
      </c>
      <c r="AB32" s="18">
        <v>717.43961607074664</v>
      </c>
      <c r="AC32" s="18">
        <f t="shared" si="78"/>
        <v>703.09082374933166</v>
      </c>
      <c r="AD32" s="18">
        <v>724.1835484618116</v>
      </c>
      <c r="AE32" s="18">
        <f t="shared" si="79"/>
        <v>709.6998774925753</v>
      </c>
      <c r="AF32" s="18">
        <v>730.99087381735262</v>
      </c>
      <c r="AG32" s="18">
        <f t="shared" si="80"/>
        <v>716.37105634100556</v>
      </c>
      <c r="AH32" s="18">
        <v>737.86218803123575</v>
      </c>
      <c r="AI32" s="18">
        <v>759.99805367217289</v>
      </c>
      <c r="AJ32" s="18">
        <v>782.79799528233809</v>
      </c>
      <c r="AK32" s="18">
        <f t="shared" si="81"/>
        <v>767.1420353766913</v>
      </c>
      <c r="AL32" s="18">
        <v>790.15629643799207</v>
      </c>
      <c r="AM32" s="18">
        <v>813.86098533113181</v>
      </c>
    </row>
    <row r="33" spans="2:39" s="17" customFormat="1" ht="21" customHeight="1" x14ac:dyDescent="0.25">
      <c r="B33" s="7" t="s">
        <v>53</v>
      </c>
      <c r="C33" s="15"/>
      <c r="D33" s="18">
        <v>450</v>
      </c>
      <c r="E33" s="18">
        <v>463.5</v>
      </c>
      <c r="F33" s="18">
        <f t="shared" si="71"/>
        <v>454.23</v>
      </c>
      <c r="G33" s="18">
        <v>467.85690000000005</v>
      </c>
      <c r="H33" s="18">
        <v>481.89260700000005</v>
      </c>
      <c r="I33" s="18">
        <f t="shared" si="72"/>
        <v>472.25475486000005</v>
      </c>
      <c r="J33" s="18">
        <v>486.42239750580006</v>
      </c>
      <c r="K33" s="18">
        <v>501.01506943097405</v>
      </c>
      <c r="L33" s="18">
        <v>516.04552151390328</v>
      </c>
      <c r="M33" s="18">
        <f t="shared" si="73"/>
        <v>505.72461108362523</v>
      </c>
      <c r="N33" s="18">
        <v>520.89634941613406</v>
      </c>
      <c r="O33" s="18">
        <v>536.52323989861804</v>
      </c>
      <c r="P33" s="18">
        <v>552.6189370955766</v>
      </c>
      <c r="Q33" s="18">
        <f t="shared" si="74"/>
        <v>541.56655835366507</v>
      </c>
      <c r="R33" s="18">
        <v>557.813555104275</v>
      </c>
      <c r="S33" s="18">
        <v>574.5479617574033</v>
      </c>
      <c r="T33" s="18">
        <v>591.78440061012543</v>
      </c>
      <c r="U33" s="18">
        <f t="shared" si="75"/>
        <v>579.94871259792296</v>
      </c>
      <c r="V33" s="18">
        <v>597.34717397586064</v>
      </c>
      <c r="W33" s="18">
        <v>615.26758919513645</v>
      </c>
      <c r="X33" s="18">
        <f t="shared" si="76"/>
        <v>602.96223741123367</v>
      </c>
      <c r="Y33" s="18">
        <v>621.05110453357065</v>
      </c>
      <c r="Z33" s="18">
        <v>639.68263766957784</v>
      </c>
      <c r="AA33" s="18">
        <f t="shared" si="77"/>
        <v>626.88898491618625</v>
      </c>
      <c r="AB33" s="18">
        <v>645.69565446367187</v>
      </c>
      <c r="AC33" s="18">
        <f t="shared" si="78"/>
        <v>632.78174137439839</v>
      </c>
      <c r="AD33" s="18">
        <v>651.76519361563032</v>
      </c>
      <c r="AE33" s="18">
        <f t="shared" si="79"/>
        <v>638.7298897433177</v>
      </c>
      <c r="AF33" s="18">
        <v>657.89178643561729</v>
      </c>
      <c r="AG33" s="18">
        <f t="shared" si="80"/>
        <v>644.73395070690492</v>
      </c>
      <c r="AH33" s="18">
        <v>664.07596922811206</v>
      </c>
      <c r="AI33" s="18">
        <v>683.99824830495538</v>
      </c>
      <c r="AJ33" s="18">
        <v>704.51819575410411</v>
      </c>
      <c r="AK33" s="18">
        <f t="shared" si="81"/>
        <v>690.42783183902202</v>
      </c>
      <c r="AL33" s="18">
        <v>711.14066679419273</v>
      </c>
      <c r="AM33" s="18">
        <v>732.47488679801847</v>
      </c>
    </row>
    <row r="34" spans="2:39" s="17" customFormat="1" ht="21" customHeight="1" x14ac:dyDescent="0.25">
      <c r="B34" s="7" t="s">
        <v>54</v>
      </c>
      <c r="C34" s="15"/>
      <c r="D34" s="18">
        <v>50</v>
      </c>
      <c r="E34" s="18">
        <v>52.5</v>
      </c>
      <c r="F34" s="18">
        <f t="shared" si="71"/>
        <v>51.449999999999996</v>
      </c>
      <c r="G34" s="18">
        <v>54.022500000000001</v>
      </c>
      <c r="H34" s="18">
        <v>56.723625000000006</v>
      </c>
      <c r="I34" s="18">
        <f t="shared" si="72"/>
        <v>55.589152500000004</v>
      </c>
      <c r="J34" s="18">
        <v>58.368610125000004</v>
      </c>
      <c r="K34" s="18">
        <v>61.287040631250008</v>
      </c>
      <c r="L34" s="18">
        <v>64.351392662812515</v>
      </c>
      <c r="M34" s="18">
        <f t="shared" si="73"/>
        <v>63.064364809556267</v>
      </c>
      <c r="N34" s="18">
        <v>66.217583050034079</v>
      </c>
      <c r="O34" s="18">
        <v>69.528462202535792</v>
      </c>
      <c r="P34" s="18">
        <v>73.00488531266258</v>
      </c>
      <c r="Q34" s="18">
        <f t="shared" si="74"/>
        <v>71.544787606409329</v>
      </c>
      <c r="R34" s="18">
        <v>75.122026986729793</v>
      </c>
      <c r="S34" s="18">
        <v>78.878128336066283</v>
      </c>
      <c r="T34" s="18">
        <v>82.822034752869598</v>
      </c>
      <c r="U34" s="18">
        <f t="shared" si="75"/>
        <v>81.1655940578122</v>
      </c>
      <c r="V34" s="18">
        <v>85.223873760702816</v>
      </c>
      <c r="W34" s="18">
        <v>89.485067448737965</v>
      </c>
      <c r="X34" s="18">
        <f t="shared" si="76"/>
        <v>87.695366099763206</v>
      </c>
      <c r="Y34" s="18">
        <v>92.080134404751377</v>
      </c>
      <c r="Z34" s="18">
        <v>96.684141124988955</v>
      </c>
      <c r="AA34" s="18">
        <f t="shared" si="77"/>
        <v>94.750458302489179</v>
      </c>
      <c r="AB34" s="18">
        <v>99.487981217613637</v>
      </c>
      <c r="AC34" s="18">
        <f t="shared" si="78"/>
        <v>97.498221593261363</v>
      </c>
      <c r="AD34" s="18">
        <v>102.37313267292444</v>
      </c>
      <c r="AE34" s="18">
        <f t="shared" si="79"/>
        <v>100.32567001946595</v>
      </c>
      <c r="AF34" s="18">
        <v>105.34195352043925</v>
      </c>
      <c r="AG34" s="18">
        <f t="shared" si="80"/>
        <v>103.23511445003047</v>
      </c>
      <c r="AH34" s="18">
        <v>108.39687017253199</v>
      </c>
      <c r="AI34" s="18">
        <v>113.81671368115859</v>
      </c>
      <c r="AJ34" s="18">
        <v>119.50754936521652</v>
      </c>
      <c r="AK34" s="18">
        <f t="shared" si="81"/>
        <v>117.11739837791218</v>
      </c>
      <c r="AL34" s="18">
        <v>122.9732682968078</v>
      </c>
      <c r="AM34" s="18">
        <v>129.12193171164819</v>
      </c>
    </row>
    <row r="35" spans="2:39" s="17" customFormat="1" ht="21" customHeight="1" x14ac:dyDescent="0.25">
      <c r="B35" s="7" t="s">
        <v>55</v>
      </c>
      <c r="C35" s="15"/>
      <c r="D35" s="18">
        <v>0</v>
      </c>
      <c r="E35" s="18">
        <v>0</v>
      </c>
      <c r="F35" s="18">
        <f t="shared" si="71"/>
        <v>0</v>
      </c>
      <c r="G35" s="18">
        <v>0</v>
      </c>
      <c r="H35" s="18">
        <v>0</v>
      </c>
      <c r="I35" s="18">
        <f t="shared" si="72"/>
        <v>0</v>
      </c>
      <c r="J35" s="18">
        <v>0</v>
      </c>
      <c r="K35" s="18">
        <v>0</v>
      </c>
      <c r="L35" s="18">
        <v>0</v>
      </c>
      <c r="M35" s="18">
        <f t="shared" si="73"/>
        <v>0</v>
      </c>
      <c r="N35" s="18">
        <v>0</v>
      </c>
      <c r="O35" s="18">
        <v>0</v>
      </c>
      <c r="P35" s="18">
        <v>0</v>
      </c>
      <c r="Q35" s="18">
        <f t="shared" si="74"/>
        <v>0</v>
      </c>
      <c r="R35" s="18">
        <v>0</v>
      </c>
      <c r="S35" s="18">
        <v>0</v>
      </c>
      <c r="T35" s="18">
        <v>0</v>
      </c>
      <c r="U35" s="18">
        <f t="shared" si="75"/>
        <v>0</v>
      </c>
      <c r="V35" s="18">
        <v>0</v>
      </c>
      <c r="W35" s="18">
        <v>0</v>
      </c>
      <c r="X35" s="18">
        <f t="shared" si="76"/>
        <v>0</v>
      </c>
      <c r="Y35" s="18">
        <v>0</v>
      </c>
      <c r="Z35" s="18">
        <v>0</v>
      </c>
      <c r="AA35" s="18">
        <f t="shared" si="77"/>
        <v>0</v>
      </c>
      <c r="AB35" s="18">
        <v>0</v>
      </c>
      <c r="AC35" s="18">
        <f t="shared" si="78"/>
        <v>0</v>
      </c>
      <c r="AD35" s="18">
        <v>0</v>
      </c>
      <c r="AE35" s="18">
        <f t="shared" si="79"/>
        <v>0</v>
      </c>
      <c r="AF35" s="18">
        <v>0</v>
      </c>
      <c r="AG35" s="18">
        <f t="shared" si="80"/>
        <v>0</v>
      </c>
      <c r="AH35" s="18">
        <v>0</v>
      </c>
      <c r="AI35" s="18">
        <v>0</v>
      </c>
      <c r="AJ35" s="18">
        <v>0</v>
      </c>
      <c r="AK35" s="18">
        <f t="shared" si="81"/>
        <v>0</v>
      </c>
      <c r="AL35" s="18">
        <v>0</v>
      </c>
      <c r="AM35" s="18">
        <v>0</v>
      </c>
    </row>
    <row r="36" spans="2:39" s="17" customFormat="1" ht="21" customHeight="1" x14ac:dyDescent="0.25">
      <c r="B36" s="6" t="s">
        <v>56</v>
      </c>
      <c r="C36" s="15"/>
      <c r="D36" s="19">
        <f t="shared" ref="D36:AL36" si="86">SUM(D35, D34, D33, D32, D31 + D30)</f>
        <v>6000</v>
      </c>
      <c r="E36" s="19">
        <f t="shared" si="86"/>
        <v>6281</v>
      </c>
      <c r="F36" s="19">
        <f t="shared" si="86"/>
        <v>6155.38</v>
      </c>
      <c r="G36" s="19">
        <f t="shared" si="86"/>
        <v>5672.2204000000002</v>
      </c>
      <c r="H36" s="19">
        <f t="shared" si="86"/>
        <v>5241.5024620000004</v>
      </c>
      <c r="I36" s="19">
        <f t="shared" si="86"/>
        <v>4803.2764127600003</v>
      </c>
      <c r="J36" s="19">
        <f t="shared" si="86"/>
        <v>5023.5005881928009</v>
      </c>
      <c r="K36" s="19">
        <f t="shared" si="86"/>
        <v>5254.1377830410847</v>
      </c>
      <c r="L36" s="19">
        <f t="shared" si="86"/>
        <v>5495.6907025949422</v>
      </c>
      <c r="M36" s="19">
        <f t="shared" si="86"/>
        <v>5385.7768885430432</v>
      </c>
      <c r="N36" s="19">
        <f t="shared" si="86"/>
        <v>5633.7129160577761</v>
      </c>
      <c r="O36" s="19">
        <f t="shared" si="86"/>
        <v>5893.4051604408724</v>
      </c>
      <c r="P36" s="19">
        <f t="shared" si="86"/>
        <v>6165.4222150005298</v>
      </c>
      <c r="Q36" s="19">
        <f t="shared" si="86"/>
        <v>6042.11377070052</v>
      </c>
      <c r="R36" s="19">
        <f t="shared" si="86"/>
        <v>5597.2640450084909</v>
      </c>
      <c r="S36" s="19">
        <f t="shared" si="86"/>
        <v>5201.894775789825</v>
      </c>
      <c r="T36" s="19">
        <f t="shared" si="86"/>
        <v>5437.7308228606698</v>
      </c>
      <c r="U36" s="19">
        <f t="shared" si="86"/>
        <v>5328.9762064034567</v>
      </c>
      <c r="V36" s="19">
        <f t="shared" si="86"/>
        <v>5570.9382933028282</v>
      </c>
      <c r="W36" s="19">
        <f t="shared" si="86"/>
        <v>5824.2638828445452</v>
      </c>
      <c r="X36" s="19">
        <f t="shared" si="86"/>
        <v>5707.7786051876537</v>
      </c>
      <c r="Y36" s="19">
        <f t="shared" si="86"/>
        <v>5315.6346858511579</v>
      </c>
      <c r="Z36" s="19">
        <f t="shared" si="86"/>
        <v>4968.3272627820788</v>
      </c>
      <c r="AA36" s="19">
        <f t="shared" si="86"/>
        <v>4587.264557711399</v>
      </c>
      <c r="AB36" s="19">
        <f t="shared" si="86"/>
        <v>4790.1591395671749</v>
      </c>
      <c r="AC36" s="19">
        <f t="shared" si="86"/>
        <v>4694.3559567758311</v>
      </c>
      <c r="AD36" s="19">
        <f t="shared" si="86"/>
        <v>4902.3563033121482</v>
      </c>
      <c r="AE36" s="19">
        <f t="shared" si="86"/>
        <v>4804.3091772459047</v>
      </c>
      <c r="AF36" s="19">
        <f t="shared" si="86"/>
        <v>5017.5560407634821</v>
      </c>
      <c r="AG36" s="19">
        <f t="shared" si="86"/>
        <v>4635.3384057890071</v>
      </c>
      <c r="AH36" s="19">
        <f t="shared" si="86"/>
        <v>4364.2334832938395</v>
      </c>
      <c r="AI36" s="19">
        <f t="shared" si="86"/>
        <v>4126.3216259340506</v>
      </c>
      <c r="AJ36" s="19">
        <f t="shared" si="86"/>
        <v>4303.7577811912106</v>
      </c>
      <c r="AK36" s="19">
        <f t="shared" si="86"/>
        <v>4217.6826255673859</v>
      </c>
      <c r="AL36" s="19">
        <f t="shared" si="86"/>
        <v>4399.4153595014413</v>
      </c>
      <c r="AM36" s="19">
        <f t="shared" ref="AM36" si="87">SUM(AM35, AM34, AM33, AM32, AM31 + AM30)</f>
        <v>4589.360188211871</v>
      </c>
    </row>
    <row r="37" spans="2:39" s="17" customFormat="1" ht="21" customHeight="1" x14ac:dyDescent="0.25">
      <c r="B37" s="7" t="s">
        <v>57</v>
      </c>
      <c r="C37" s="15"/>
      <c r="D37" s="18">
        <v>150</v>
      </c>
      <c r="E37" s="18">
        <v>157.5</v>
      </c>
      <c r="F37" s="18">
        <f t="shared" ref="F37:F41" si="88">E37*(0.98)</f>
        <v>154.35</v>
      </c>
      <c r="G37" s="18">
        <v>162.0675</v>
      </c>
      <c r="H37" s="18">
        <v>170.170875</v>
      </c>
      <c r="I37" s="18">
        <f t="shared" ref="I37:I41" si="89">H37*(0.98)</f>
        <v>166.76745750000001</v>
      </c>
      <c r="J37" s="18">
        <v>175.10583037500001</v>
      </c>
      <c r="K37" s="18">
        <v>183.86112189375001</v>
      </c>
      <c r="L37" s="18">
        <v>193.05417798843752</v>
      </c>
      <c r="M37" s="18">
        <f t="shared" ref="M37:M41" si="90">L37*(0.98)</f>
        <v>189.19309442866876</v>
      </c>
      <c r="N37" s="18">
        <v>198.65274915010221</v>
      </c>
      <c r="O37" s="18">
        <v>208.58538660760732</v>
      </c>
      <c r="P37" s="18">
        <v>219.0146559379877</v>
      </c>
      <c r="Q37" s="18">
        <f t="shared" ref="Q37:Q41" si="91">P37*(0.98)</f>
        <v>214.63436281922793</v>
      </c>
      <c r="R37" s="18">
        <v>225.36608096018935</v>
      </c>
      <c r="S37" s="18">
        <v>236.63438500819882</v>
      </c>
      <c r="T37" s="18">
        <v>248.46610425860877</v>
      </c>
      <c r="U37" s="18">
        <f t="shared" ref="U37:U41" si="92">T37*(0.98)</f>
        <v>243.4967821734366</v>
      </c>
      <c r="V37" s="18">
        <v>255.67162128210845</v>
      </c>
      <c r="W37" s="18">
        <v>268.45520234621387</v>
      </c>
      <c r="X37" s="18">
        <f t="shared" ref="X37:X41" si="93">W37*(0.98)</f>
        <v>263.08609829928957</v>
      </c>
      <c r="Y37" s="18">
        <v>276.24040321425406</v>
      </c>
      <c r="Z37" s="18">
        <v>290.05242337496679</v>
      </c>
      <c r="AA37" s="18">
        <f t="shared" ref="AA37:AA41" si="94">Z37*(0.98)</f>
        <v>284.25137490746744</v>
      </c>
      <c r="AB37" s="18">
        <v>298.46394365284084</v>
      </c>
      <c r="AC37" s="18">
        <f t="shared" ref="AC37:AC41" si="95">AB37*(0.98)</f>
        <v>292.49466477978405</v>
      </c>
      <c r="AD37" s="18">
        <v>307.11939801877327</v>
      </c>
      <c r="AE37" s="18">
        <f t="shared" ref="AE37:AE41" si="96">AD37*(0.98)</f>
        <v>300.97701005839781</v>
      </c>
      <c r="AF37" s="18">
        <v>316.0258605613177</v>
      </c>
      <c r="AG37" s="18">
        <f t="shared" ref="AG37:AG41" si="97">AF37*(0.98)</f>
        <v>309.70534335009137</v>
      </c>
      <c r="AH37" s="18">
        <v>325.19061051759593</v>
      </c>
      <c r="AI37" s="18">
        <v>341.45014104347575</v>
      </c>
      <c r="AJ37" s="18">
        <v>358.52264809564957</v>
      </c>
      <c r="AK37" s="18">
        <f t="shared" ref="AK37:AK41" si="98">AJ37*(0.98)</f>
        <v>351.35219513373659</v>
      </c>
      <c r="AL37" s="18">
        <v>368.91980489042345</v>
      </c>
      <c r="AM37" s="18">
        <v>387.36579513494462</v>
      </c>
    </row>
    <row r="38" spans="2:39" s="21" customFormat="1" ht="21" customHeight="1" x14ac:dyDescent="0.25">
      <c r="B38" s="6" t="s">
        <v>58</v>
      </c>
      <c r="C38" s="22"/>
      <c r="D38" s="18">
        <v>0</v>
      </c>
      <c r="E38" s="18">
        <v>0</v>
      </c>
      <c r="F38" s="18">
        <f t="shared" si="88"/>
        <v>0</v>
      </c>
      <c r="G38" s="18">
        <v>0</v>
      </c>
      <c r="H38" s="18">
        <v>0</v>
      </c>
      <c r="I38" s="18">
        <f t="shared" si="89"/>
        <v>0</v>
      </c>
      <c r="J38" s="18">
        <v>0</v>
      </c>
      <c r="K38" s="18">
        <v>0</v>
      </c>
      <c r="L38" s="18">
        <v>0</v>
      </c>
      <c r="M38" s="18">
        <f t="shared" si="90"/>
        <v>0</v>
      </c>
      <c r="N38" s="18">
        <v>0</v>
      </c>
      <c r="O38" s="18">
        <v>0</v>
      </c>
      <c r="P38" s="18">
        <v>0</v>
      </c>
      <c r="Q38" s="18">
        <f t="shared" si="91"/>
        <v>0</v>
      </c>
      <c r="R38" s="18">
        <v>0</v>
      </c>
      <c r="S38" s="18">
        <v>0</v>
      </c>
      <c r="T38" s="18">
        <v>0</v>
      </c>
      <c r="U38" s="18">
        <f t="shared" si="92"/>
        <v>0</v>
      </c>
      <c r="V38" s="18">
        <v>0</v>
      </c>
      <c r="W38" s="18">
        <v>0</v>
      </c>
      <c r="X38" s="18">
        <f t="shared" si="93"/>
        <v>0</v>
      </c>
      <c r="Y38" s="18">
        <v>0</v>
      </c>
      <c r="Z38" s="18">
        <v>0</v>
      </c>
      <c r="AA38" s="18">
        <f t="shared" si="94"/>
        <v>0</v>
      </c>
      <c r="AB38" s="18">
        <v>0</v>
      </c>
      <c r="AC38" s="18">
        <f t="shared" si="95"/>
        <v>0</v>
      </c>
      <c r="AD38" s="18">
        <v>0</v>
      </c>
      <c r="AE38" s="18">
        <f t="shared" si="96"/>
        <v>0</v>
      </c>
      <c r="AF38" s="18">
        <v>0</v>
      </c>
      <c r="AG38" s="18">
        <f t="shared" si="97"/>
        <v>0</v>
      </c>
      <c r="AH38" s="18">
        <v>0</v>
      </c>
      <c r="AI38" s="18">
        <v>0</v>
      </c>
      <c r="AJ38" s="18">
        <v>0</v>
      </c>
      <c r="AK38" s="18">
        <f t="shared" si="98"/>
        <v>0</v>
      </c>
      <c r="AL38" s="18">
        <v>0</v>
      </c>
      <c r="AM38" s="18">
        <v>0</v>
      </c>
    </row>
    <row r="39" spans="2:39" s="17" customFormat="1" ht="21" customHeight="1" x14ac:dyDescent="0.25">
      <c r="B39" s="7" t="s">
        <v>59</v>
      </c>
      <c r="C39" s="15"/>
      <c r="D39" s="18">
        <v>1000</v>
      </c>
      <c r="E39" s="18">
        <v>1030</v>
      </c>
      <c r="F39" s="18">
        <f t="shared" si="88"/>
        <v>1009.4</v>
      </c>
      <c r="G39" s="18">
        <v>1039.682</v>
      </c>
      <c r="H39" s="18">
        <v>1070.87246</v>
      </c>
      <c r="I39" s="18">
        <f t="shared" si="89"/>
        <v>1049.4550108000001</v>
      </c>
      <c r="J39" s="18">
        <v>1080.9386611240002</v>
      </c>
      <c r="K39" s="18">
        <v>1113.3668209577202</v>
      </c>
      <c r="L39" s="18">
        <v>1146.7678255864519</v>
      </c>
      <c r="M39" s="18">
        <f t="shared" si="90"/>
        <v>1123.8324690747229</v>
      </c>
      <c r="N39" s="18">
        <v>1157.5474431469647</v>
      </c>
      <c r="O39" s="18">
        <v>1192.2738664413737</v>
      </c>
      <c r="P39" s="18">
        <v>1228.0420824346149</v>
      </c>
      <c r="Q39" s="18">
        <f t="shared" si="91"/>
        <v>1203.4812407859226</v>
      </c>
      <c r="R39" s="18">
        <v>1239.5856780095003</v>
      </c>
      <c r="S39" s="18">
        <v>1276.7732483497853</v>
      </c>
      <c r="T39" s="18">
        <v>1315.0764458002789</v>
      </c>
      <c r="U39" s="18">
        <f t="shared" si="92"/>
        <v>1288.7749168842734</v>
      </c>
      <c r="V39" s="18">
        <v>1327.4381643908016</v>
      </c>
      <c r="W39" s="18">
        <v>1367.2613093225257</v>
      </c>
      <c r="X39" s="18">
        <f t="shared" si="93"/>
        <v>1339.916083136075</v>
      </c>
      <c r="Y39" s="18">
        <v>1380.1135656301574</v>
      </c>
      <c r="Z39" s="18">
        <v>1421.5169725990622</v>
      </c>
      <c r="AA39" s="18">
        <f t="shared" si="94"/>
        <v>1393.0866331470809</v>
      </c>
      <c r="AB39" s="18">
        <v>1434.8792321414933</v>
      </c>
      <c r="AC39" s="18">
        <f t="shared" si="95"/>
        <v>1406.1816474986633</v>
      </c>
      <c r="AD39" s="18">
        <v>1448.3670969236232</v>
      </c>
      <c r="AE39" s="18">
        <f t="shared" si="96"/>
        <v>1419.3997549851506</v>
      </c>
      <c r="AF39" s="18">
        <v>1461.9817476347052</v>
      </c>
      <c r="AG39" s="18">
        <f t="shared" si="97"/>
        <v>1432.7421126820111</v>
      </c>
      <c r="AH39" s="18">
        <v>1475.7243760624715</v>
      </c>
      <c r="AI39" s="18">
        <v>1519.9961073443458</v>
      </c>
      <c r="AJ39" s="18">
        <v>1565.5959905646762</v>
      </c>
      <c r="AK39" s="18">
        <f t="shared" si="98"/>
        <v>1534.2840707533826</v>
      </c>
      <c r="AL39" s="18">
        <v>1580.3125928759841</v>
      </c>
      <c r="AM39" s="18">
        <v>1627.7219706622636</v>
      </c>
    </row>
    <row r="40" spans="2:39" s="17" customFormat="1" ht="21" customHeight="1" x14ac:dyDescent="0.25">
      <c r="B40" s="7" t="s">
        <v>60</v>
      </c>
      <c r="C40" s="15"/>
      <c r="D40" s="18">
        <v>400</v>
      </c>
      <c r="E40" s="18">
        <v>420</v>
      </c>
      <c r="F40" s="18">
        <f t="shared" si="88"/>
        <v>411.59999999999997</v>
      </c>
      <c r="G40" s="18">
        <v>432.18</v>
      </c>
      <c r="H40" s="18">
        <v>453.78900000000004</v>
      </c>
      <c r="I40" s="18">
        <f t="shared" si="89"/>
        <v>444.71322000000004</v>
      </c>
      <c r="J40" s="18">
        <v>466.94888100000003</v>
      </c>
      <c r="K40" s="18">
        <v>490.29632505000006</v>
      </c>
      <c r="L40" s="18">
        <v>514.81114130250012</v>
      </c>
      <c r="M40" s="18">
        <f t="shared" si="90"/>
        <v>504.51491847645013</v>
      </c>
      <c r="N40" s="18">
        <v>529.74066440027264</v>
      </c>
      <c r="O40" s="18">
        <v>556.22769762028634</v>
      </c>
      <c r="P40" s="18">
        <v>584.03908250130064</v>
      </c>
      <c r="Q40" s="18">
        <f t="shared" si="91"/>
        <v>572.35830085127463</v>
      </c>
      <c r="R40" s="18">
        <v>600.97621589383834</v>
      </c>
      <c r="S40" s="18">
        <v>631.02502668853026</v>
      </c>
      <c r="T40" s="18">
        <v>662.57627802295679</v>
      </c>
      <c r="U40" s="18">
        <f t="shared" si="92"/>
        <v>649.3247524624976</v>
      </c>
      <c r="V40" s="18">
        <v>681.79099008562252</v>
      </c>
      <c r="W40" s="18">
        <v>715.88053958990372</v>
      </c>
      <c r="X40" s="18">
        <f t="shared" si="93"/>
        <v>701.56292879810565</v>
      </c>
      <c r="Y40" s="18">
        <v>736.64107523801101</v>
      </c>
      <c r="Z40" s="18">
        <v>773.47312899991164</v>
      </c>
      <c r="AA40" s="18">
        <f t="shared" si="94"/>
        <v>758.00366641991343</v>
      </c>
      <c r="AB40" s="18">
        <v>795.9038497409091</v>
      </c>
      <c r="AC40" s="18">
        <f t="shared" si="95"/>
        <v>779.9857727460909</v>
      </c>
      <c r="AD40" s="18">
        <v>818.98506138339553</v>
      </c>
      <c r="AE40" s="18">
        <f t="shared" si="96"/>
        <v>802.60536015572757</v>
      </c>
      <c r="AF40" s="18">
        <v>842.73562816351398</v>
      </c>
      <c r="AG40" s="18">
        <f t="shared" si="97"/>
        <v>825.88091560024372</v>
      </c>
      <c r="AH40" s="18">
        <v>867.17496138025592</v>
      </c>
      <c r="AI40" s="18">
        <v>910.53370944926871</v>
      </c>
      <c r="AJ40" s="18">
        <v>956.06039492173215</v>
      </c>
      <c r="AK40" s="18">
        <f t="shared" si="98"/>
        <v>936.93918702329745</v>
      </c>
      <c r="AL40" s="18">
        <v>983.78614637446242</v>
      </c>
      <c r="AM40" s="18">
        <v>1032.9754536931855</v>
      </c>
    </row>
    <row r="41" spans="2:39" s="17" customFormat="1" ht="21" customHeight="1" x14ac:dyDescent="0.25">
      <c r="B41" s="7" t="s">
        <v>61</v>
      </c>
      <c r="C41" s="15"/>
      <c r="D41" s="18">
        <v>300</v>
      </c>
      <c r="E41" s="18">
        <v>309</v>
      </c>
      <c r="F41" s="18">
        <f t="shared" si="88"/>
        <v>302.82</v>
      </c>
      <c r="G41" s="18">
        <v>311.90460000000002</v>
      </c>
      <c r="H41" s="18">
        <v>321.26173800000004</v>
      </c>
      <c r="I41" s="18">
        <f t="shared" si="89"/>
        <v>314.83650324000001</v>
      </c>
      <c r="J41" s="18">
        <v>324.28159833720002</v>
      </c>
      <c r="K41" s="18">
        <v>334.01004628731602</v>
      </c>
      <c r="L41" s="18">
        <v>344.0303476759355</v>
      </c>
      <c r="M41" s="18">
        <f t="shared" si="90"/>
        <v>337.14974072241677</v>
      </c>
      <c r="N41" s="18">
        <v>347.26423294408926</v>
      </c>
      <c r="O41" s="18">
        <v>357.68215993241193</v>
      </c>
      <c r="P41" s="18">
        <v>368.41262473038432</v>
      </c>
      <c r="Q41" s="18">
        <f t="shared" si="91"/>
        <v>361.04437223577662</v>
      </c>
      <c r="R41" s="18">
        <v>371.87570340284992</v>
      </c>
      <c r="S41" s="18">
        <v>383.03197450493542</v>
      </c>
      <c r="T41" s="18">
        <v>394.52293374008349</v>
      </c>
      <c r="U41" s="18">
        <f t="shared" si="92"/>
        <v>386.63247506528182</v>
      </c>
      <c r="V41" s="18">
        <v>398.23144931724028</v>
      </c>
      <c r="W41" s="18">
        <v>410.17839279675752</v>
      </c>
      <c r="X41" s="18">
        <f t="shared" si="93"/>
        <v>401.97482494082237</v>
      </c>
      <c r="Y41" s="18">
        <v>414.03406968904704</v>
      </c>
      <c r="Z41" s="18">
        <v>426.45509177971849</v>
      </c>
      <c r="AA41" s="18">
        <f t="shared" si="94"/>
        <v>417.92598994412413</v>
      </c>
      <c r="AB41" s="18">
        <v>430.46376964244786</v>
      </c>
      <c r="AC41" s="18">
        <f t="shared" si="95"/>
        <v>421.85449424959887</v>
      </c>
      <c r="AD41" s="18">
        <v>434.51012907708684</v>
      </c>
      <c r="AE41" s="18">
        <f t="shared" si="96"/>
        <v>425.81992649554508</v>
      </c>
      <c r="AF41" s="18">
        <v>438.59452429041141</v>
      </c>
      <c r="AG41" s="18">
        <f t="shared" si="97"/>
        <v>429.82263380460319</v>
      </c>
      <c r="AH41" s="18">
        <v>442.71731281874128</v>
      </c>
      <c r="AI41" s="18">
        <v>455.99883220330355</v>
      </c>
      <c r="AJ41" s="18">
        <v>469.67879716940269</v>
      </c>
      <c r="AK41" s="18">
        <f t="shared" si="98"/>
        <v>460.28522122601464</v>
      </c>
      <c r="AL41" s="18">
        <v>474.09377786279509</v>
      </c>
      <c r="AM41" s="18">
        <v>488.31659119867896</v>
      </c>
    </row>
    <row r="42" spans="2:39" s="14" customFormat="1" ht="21" customHeight="1" x14ac:dyDescent="0.25">
      <c r="B42" s="26" t="s">
        <v>62</v>
      </c>
      <c r="C42" s="15"/>
      <c r="D42" s="27">
        <f t="shared" ref="D42" si="99">SUM(D41, D40, D39 + D38)</f>
        <v>1700</v>
      </c>
      <c r="E42" s="27">
        <v>1700</v>
      </c>
      <c r="F42" s="27">
        <v>1700</v>
      </c>
      <c r="G42" s="27">
        <v>1700</v>
      </c>
      <c r="H42" s="27">
        <v>1700</v>
      </c>
      <c r="I42" s="27">
        <v>1700</v>
      </c>
      <c r="J42" s="27">
        <v>1700</v>
      </c>
      <c r="K42" s="27">
        <v>1700</v>
      </c>
      <c r="L42" s="27">
        <v>1700</v>
      </c>
      <c r="M42" s="27">
        <v>1700</v>
      </c>
      <c r="N42" s="27">
        <v>1700</v>
      </c>
      <c r="O42" s="27">
        <v>1700</v>
      </c>
      <c r="P42" s="27">
        <v>1700</v>
      </c>
      <c r="Q42" s="27">
        <v>1700</v>
      </c>
      <c r="R42" s="27">
        <v>1700</v>
      </c>
      <c r="S42" s="27">
        <v>1700</v>
      </c>
      <c r="T42" s="27">
        <v>1700</v>
      </c>
      <c r="U42" s="27">
        <v>1700</v>
      </c>
      <c r="V42" s="27">
        <v>1700</v>
      </c>
      <c r="W42" s="27">
        <v>1700</v>
      </c>
      <c r="X42" s="27">
        <v>1700</v>
      </c>
      <c r="Y42" s="27">
        <v>1700</v>
      </c>
      <c r="Z42" s="27">
        <v>1700</v>
      </c>
      <c r="AA42" s="27">
        <v>1700</v>
      </c>
      <c r="AB42" s="27">
        <v>1700</v>
      </c>
      <c r="AC42" s="27">
        <v>1700</v>
      </c>
      <c r="AD42" s="27">
        <v>1700</v>
      </c>
      <c r="AE42" s="27">
        <v>1700</v>
      </c>
      <c r="AF42" s="27">
        <v>1700</v>
      </c>
      <c r="AG42" s="27">
        <v>1700</v>
      </c>
      <c r="AH42" s="27">
        <v>1700</v>
      </c>
      <c r="AI42" s="27">
        <v>1700</v>
      </c>
      <c r="AJ42" s="27">
        <v>1700</v>
      </c>
      <c r="AK42" s="27">
        <v>1700</v>
      </c>
      <c r="AL42" s="27">
        <v>1700</v>
      </c>
      <c r="AM42" s="27">
        <v>1700</v>
      </c>
    </row>
    <row r="43" spans="2:39" s="17" customFormat="1" ht="21" customHeight="1" x14ac:dyDescent="0.25">
      <c r="B43" s="5" t="s">
        <v>63</v>
      </c>
      <c r="C43" s="15"/>
      <c r="D43" s="19">
        <f t="shared" ref="D43:AL43" si="100">SUM(D41, D40, D39, D38, D37, D35, D34, D33, D32, D31, D30, D28, D27, D26, D25, D24, D22, D21, D20, D19, D18, D17, D16, D15, D14 + D13)</f>
        <v>25100</v>
      </c>
      <c r="E43" s="19">
        <f t="shared" si="100"/>
        <v>26061</v>
      </c>
      <c r="F43" s="19">
        <f t="shared" si="100"/>
        <v>25456.58</v>
      </c>
      <c r="G43" s="19">
        <f t="shared" si="100"/>
        <v>25661.923399999996</v>
      </c>
      <c r="H43" s="19">
        <f t="shared" si="100"/>
        <v>25946.043182000001</v>
      </c>
      <c r="I43" s="19">
        <f t="shared" si="100"/>
        <v>25093.726318359997</v>
      </c>
      <c r="J43" s="19">
        <f t="shared" si="100"/>
        <v>26041.354236158801</v>
      </c>
      <c r="K43" s="19">
        <f t="shared" si="100"/>
        <v>27027.358340148126</v>
      </c>
      <c r="L43" s="19">
        <f t="shared" si="100"/>
        <v>28053.389429931303</v>
      </c>
      <c r="M43" s="19">
        <f t="shared" si="100"/>
        <v>27492.321641332677</v>
      </c>
      <c r="N43" s="19">
        <f t="shared" si="100"/>
        <v>28538.749312994703</v>
      </c>
      <c r="O43" s="19">
        <f t="shared" si="100"/>
        <v>29627.861327330924</v>
      </c>
      <c r="P43" s="19">
        <f t="shared" si="100"/>
        <v>30761.504775093552</v>
      </c>
      <c r="Q43" s="19">
        <f t="shared" si="100"/>
        <v>30146.274679591683</v>
      </c>
      <c r="R43" s="19">
        <f t="shared" si="100"/>
        <v>30578.688960530821</v>
      </c>
      <c r="S43" s="19">
        <f t="shared" si="100"/>
        <v>31094.818706838309</v>
      </c>
      <c r="T43" s="19">
        <f t="shared" si="100"/>
        <v>32277.813474329076</v>
      </c>
      <c r="U43" s="19">
        <f t="shared" si="100"/>
        <v>31632.257204842503</v>
      </c>
      <c r="V43" s="19">
        <f t="shared" si="100"/>
        <v>32838.838861917873</v>
      </c>
      <c r="W43" s="19">
        <f t="shared" si="100"/>
        <v>34094.709676089311</v>
      </c>
      <c r="X43" s="19">
        <f t="shared" si="100"/>
        <v>33412.815482567516</v>
      </c>
      <c r="Y43" s="19">
        <f t="shared" si="100"/>
        <v>34041.889936105064</v>
      </c>
      <c r="Z43" s="19">
        <f t="shared" si="100"/>
        <v>34756.150578634661</v>
      </c>
      <c r="AA43" s="19">
        <f t="shared" si="100"/>
        <v>33779.331407246929</v>
      </c>
      <c r="AB43" s="19">
        <f t="shared" si="100"/>
        <v>35063.768967627715</v>
      </c>
      <c r="AC43" s="19">
        <f t="shared" si="100"/>
        <v>33960.727403275538</v>
      </c>
      <c r="AD43" s="19">
        <f t="shared" si="100"/>
        <v>34671.088505040861</v>
      </c>
      <c r="AE43" s="19">
        <f t="shared" si="100"/>
        <v>33652.236125090356</v>
      </c>
      <c r="AF43" s="19">
        <f t="shared" si="100"/>
        <v>34473.278900889258</v>
      </c>
      <c r="AG43" s="19">
        <f t="shared" si="100"/>
        <v>33501.946808712259</v>
      </c>
      <c r="AH43" s="19">
        <f t="shared" si="100"/>
        <v>34321.669302360104</v>
      </c>
      <c r="AI43" s="19">
        <f t="shared" si="100"/>
        <v>35218.750145797829</v>
      </c>
      <c r="AJ43" s="19">
        <f t="shared" si="100"/>
        <v>36577.242086389095</v>
      </c>
      <c r="AK43" s="19">
        <f t="shared" si="100"/>
        <v>35563.416555700787</v>
      </c>
      <c r="AL43" s="19">
        <f t="shared" si="100"/>
        <v>36528.365454354331</v>
      </c>
      <c r="AM43" s="19">
        <f t="shared" ref="AM43" si="101">SUM(AM41, AM40, AM39, AM38, AM37, AM35, AM34, AM33, AM32, AM31, AM30, AM28, AM27, AM26, AM25, AM24, AM22, AM21, AM20, AM19, AM18, AM17, AM16, AM15, AM14 + AM13)</f>
        <v>37579.287564866398</v>
      </c>
    </row>
    <row r="44" spans="2:39" s="21" customFormat="1" ht="21" customHeight="1" x14ac:dyDescent="0.25">
      <c r="B44" s="5" t="s">
        <v>64</v>
      </c>
      <c r="C44" s="22"/>
      <c r="D44" s="23">
        <f>D12-D43</f>
        <v>49650</v>
      </c>
      <c r="E44" s="23">
        <f t="shared" ref="E44:AL44" si="102">E12-E43</f>
        <v>45764</v>
      </c>
      <c r="F44" s="23">
        <f t="shared" si="102"/>
        <v>60163.520000000004</v>
      </c>
      <c r="G44" s="23">
        <f t="shared" si="102"/>
        <v>49127.655599999998</v>
      </c>
      <c r="H44" s="23">
        <f t="shared" si="102"/>
        <v>53543.996617999997</v>
      </c>
      <c r="I44" s="23">
        <f t="shared" si="102"/>
        <v>63952.420765739997</v>
      </c>
      <c r="J44" s="23">
        <f t="shared" si="102"/>
        <v>57176.063420832201</v>
      </c>
      <c r="K44" s="23">
        <f t="shared" si="102"/>
        <v>62880.954573975323</v>
      </c>
      <c r="L44" s="23">
        <f t="shared" si="102"/>
        <v>59227.879586297837</v>
      </c>
      <c r="M44" s="23">
        <f t="shared" si="102"/>
        <v>60190.31405794833</v>
      </c>
      <c r="N44" s="23">
        <f t="shared" si="102"/>
        <v>62855.574043051143</v>
      </c>
      <c r="O44" s="23">
        <f t="shared" si="102"/>
        <v>65473.126639685557</v>
      </c>
      <c r="P44" s="23">
        <f t="shared" si="102"/>
        <v>67142.583288576512</v>
      </c>
      <c r="Q44" s="23">
        <f t="shared" si="102"/>
        <v>63709.375619446837</v>
      </c>
      <c r="R44" s="23">
        <f t="shared" si="102"/>
        <v>64830.905530169141</v>
      </c>
      <c r="S44" s="23">
        <f t="shared" si="102"/>
        <v>55569.94017132213</v>
      </c>
      <c r="T44" s="23">
        <f t="shared" si="102"/>
        <v>59487.355118694919</v>
      </c>
      <c r="U44" s="23">
        <f t="shared" si="102"/>
        <v>60499.398293535007</v>
      </c>
      <c r="V44" s="23">
        <f t="shared" si="102"/>
        <v>69094.026498217267</v>
      </c>
      <c r="W44" s="23">
        <f t="shared" si="102"/>
        <v>54231.559374568482</v>
      </c>
      <c r="X44" s="23">
        <f t="shared" si="102"/>
        <v>62121.774097518442</v>
      </c>
      <c r="Y44" s="23">
        <f t="shared" si="102"/>
        <v>67693.866720354417</v>
      </c>
      <c r="Z44" s="23">
        <f t="shared" si="102"/>
        <v>60418.317184223</v>
      </c>
      <c r="AA44" s="23">
        <f t="shared" si="102"/>
        <v>67771.055428012944</v>
      </c>
      <c r="AB44" s="23">
        <f t="shared" si="102"/>
        <v>65517.921870459839</v>
      </c>
      <c r="AC44" s="23">
        <f t="shared" si="102"/>
        <v>59706.462437921058</v>
      </c>
      <c r="AD44" s="23">
        <f t="shared" si="102"/>
        <v>64129.601887935634</v>
      </c>
      <c r="AE44" s="23">
        <f t="shared" si="102"/>
        <v>53667.239517480812</v>
      </c>
      <c r="AF44" s="23">
        <f t="shared" si="102"/>
        <v>49800.537661181021</v>
      </c>
      <c r="AG44" s="23">
        <f t="shared" si="102"/>
        <v>63392.338223596591</v>
      </c>
      <c r="AH44" s="23">
        <f t="shared" si="102"/>
        <v>55878.75015180451</v>
      </c>
      <c r="AI44" s="23">
        <f t="shared" si="102"/>
        <v>63335.776253632641</v>
      </c>
      <c r="AJ44" s="23">
        <f t="shared" si="102"/>
        <v>65928.690428649163</v>
      </c>
      <c r="AK44" s="23">
        <f t="shared" si="102"/>
        <v>61424.65410082513</v>
      </c>
      <c r="AL44" s="23">
        <f t="shared" si="102"/>
        <v>75668.289924240467</v>
      </c>
      <c r="AM44" s="23">
        <f t="shared" ref="AM44" si="103">AM12-AM43</f>
        <v>77267.958504403738</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104">SUM(D46 + D45)</f>
        <v>0</v>
      </c>
      <c r="E47" s="19">
        <f t="shared" si="104"/>
        <v>0</v>
      </c>
      <c r="F47" s="19">
        <f t="shared" si="104"/>
        <v>0</v>
      </c>
      <c r="G47" s="19">
        <f t="shared" si="104"/>
        <v>0</v>
      </c>
      <c r="H47" s="19">
        <f t="shared" si="104"/>
        <v>0</v>
      </c>
      <c r="I47" s="19">
        <f t="shared" si="104"/>
        <v>0</v>
      </c>
      <c r="J47" s="19">
        <f t="shared" si="104"/>
        <v>0</v>
      </c>
      <c r="K47" s="19">
        <f t="shared" si="104"/>
        <v>0</v>
      </c>
      <c r="L47" s="19">
        <f t="shared" si="104"/>
        <v>0</v>
      </c>
      <c r="M47" s="19">
        <f t="shared" si="104"/>
        <v>0</v>
      </c>
      <c r="N47" s="19">
        <f t="shared" si="104"/>
        <v>0</v>
      </c>
      <c r="O47" s="19">
        <f t="shared" si="104"/>
        <v>0</v>
      </c>
      <c r="P47" s="19">
        <f t="shared" si="104"/>
        <v>0</v>
      </c>
      <c r="Q47" s="19">
        <f t="shared" si="104"/>
        <v>0</v>
      </c>
      <c r="R47" s="19">
        <f t="shared" si="104"/>
        <v>0</v>
      </c>
      <c r="S47" s="19">
        <f t="shared" si="104"/>
        <v>0</v>
      </c>
      <c r="T47" s="19">
        <f t="shared" si="104"/>
        <v>0</v>
      </c>
      <c r="U47" s="19">
        <f t="shared" si="104"/>
        <v>0</v>
      </c>
      <c r="V47" s="19">
        <f t="shared" si="104"/>
        <v>0</v>
      </c>
      <c r="W47" s="19">
        <f t="shared" si="104"/>
        <v>0</v>
      </c>
      <c r="X47" s="19">
        <f t="shared" si="104"/>
        <v>0</v>
      </c>
      <c r="Y47" s="19">
        <f t="shared" si="104"/>
        <v>0</v>
      </c>
      <c r="Z47" s="19">
        <f t="shared" si="104"/>
        <v>0</v>
      </c>
      <c r="AA47" s="19">
        <f t="shared" si="104"/>
        <v>0</v>
      </c>
      <c r="AB47" s="19">
        <f t="shared" si="104"/>
        <v>0</v>
      </c>
      <c r="AC47" s="19">
        <f t="shared" si="104"/>
        <v>0</v>
      </c>
      <c r="AD47" s="19">
        <f t="shared" si="104"/>
        <v>0</v>
      </c>
      <c r="AE47" s="19">
        <f t="shared" si="104"/>
        <v>0</v>
      </c>
      <c r="AF47" s="19">
        <f t="shared" si="104"/>
        <v>0</v>
      </c>
      <c r="AG47" s="19">
        <f t="shared" si="104"/>
        <v>0</v>
      </c>
      <c r="AH47" s="19">
        <f t="shared" si="104"/>
        <v>0</v>
      </c>
      <c r="AI47" s="19">
        <f t="shared" si="104"/>
        <v>0</v>
      </c>
      <c r="AJ47" s="19">
        <f t="shared" si="104"/>
        <v>0</v>
      </c>
      <c r="AK47" s="19">
        <f t="shared" si="104"/>
        <v>0</v>
      </c>
      <c r="AL47" s="19">
        <f t="shared" si="104"/>
        <v>0</v>
      </c>
      <c r="AM47" s="19">
        <f t="shared" ref="AM47" si="105">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69.444444444444443</v>
      </c>
      <c r="E49" s="18">
        <v>76.3888888888889</v>
      </c>
      <c r="F49" s="18">
        <v>84.0277777777778</v>
      </c>
      <c r="G49" s="18">
        <v>92.430555555555586</v>
      </c>
      <c r="H49" s="18">
        <v>101.67361111111116</v>
      </c>
      <c r="I49" s="18">
        <v>111.84097222222228</v>
      </c>
      <c r="J49" s="18">
        <v>123.02506944444451</v>
      </c>
      <c r="K49" s="18">
        <v>135.32757638888899</v>
      </c>
      <c r="L49" s="18">
        <v>148.8603340277779</v>
      </c>
      <c r="M49" s="18">
        <v>163.74636743055569</v>
      </c>
      <c r="N49" s="18">
        <v>180.12100417361128</v>
      </c>
      <c r="O49" s="18">
        <v>198.13310459097244</v>
      </c>
      <c r="P49" s="18">
        <v>217.9464150500697</v>
      </c>
      <c r="Q49" s="18">
        <v>239.74105655507668</v>
      </c>
      <c r="R49" s="18">
        <v>263.71516221058437</v>
      </c>
      <c r="S49" s="18">
        <v>290.08667843164284</v>
      </c>
      <c r="T49" s="18">
        <v>319.09534627480713</v>
      </c>
      <c r="U49" s="18">
        <v>351.00488090228788</v>
      </c>
      <c r="V49" s="18">
        <v>386.10536899251667</v>
      </c>
      <c r="W49" s="18">
        <v>424.71590589176839</v>
      </c>
      <c r="X49" s="18">
        <v>467.18749648094524</v>
      </c>
      <c r="Y49" s="18">
        <v>513.9062461290398</v>
      </c>
      <c r="Z49" s="18">
        <v>565.29687074194385</v>
      </c>
      <c r="AA49" s="18">
        <v>621.82655781613823</v>
      </c>
      <c r="AB49" s="18">
        <v>684.00921359775214</v>
      </c>
      <c r="AC49" s="18">
        <v>752.41013495752736</v>
      </c>
      <c r="AD49" s="18">
        <v>827.65114845328014</v>
      </c>
      <c r="AE49" s="18">
        <v>910.41626329860821</v>
      </c>
      <c r="AF49" s="18">
        <v>1001.4578896284692</v>
      </c>
      <c r="AG49" s="18">
        <v>1101.6036785913161</v>
      </c>
      <c r="AH49" s="18">
        <v>1211.7640464504477</v>
      </c>
      <c r="AI49" s="18">
        <v>1332.9404510954926</v>
      </c>
      <c r="AJ49" s="18">
        <v>1466.234496205042</v>
      </c>
      <c r="AK49" s="18">
        <v>1612.8579458255463</v>
      </c>
      <c r="AL49" s="18">
        <v>1774.1437404081009</v>
      </c>
      <c r="AM49" s="18">
        <v>1951.5581144489113</v>
      </c>
    </row>
    <row r="50" spans="2:39" s="17" customFormat="1" ht="21" customHeight="1" x14ac:dyDescent="0.25">
      <c r="B50" s="4" t="s">
        <v>70</v>
      </c>
      <c r="C50" s="15"/>
      <c r="D50" s="18">
        <v>2500</v>
      </c>
      <c r="E50" s="18">
        <v>2750</v>
      </c>
      <c r="F50" s="18">
        <v>3025.0000000000005</v>
      </c>
      <c r="G50" s="18">
        <v>3327.5000000000009</v>
      </c>
      <c r="H50" s="18">
        <v>3660.2500000000014</v>
      </c>
      <c r="I50" s="18">
        <v>4026.2750000000019</v>
      </c>
      <c r="J50" s="18">
        <v>4428.9025000000029</v>
      </c>
      <c r="K50" s="18">
        <v>4871.7927500000033</v>
      </c>
      <c r="L50" s="18">
        <v>5358.9720250000037</v>
      </c>
      <c r="M50" s="18">
        <v>5894.8692275000049</v>
      </c>
      <c r="N50" s="18">
        <v>6484.3561502500061</v>
      </c>
      <c r="O50" s="18">
        <v>7132.7917652750075</v>
      </c>
      <c r="P50" s="18">
        <v>7846.070941802509</v>
      </c>
      <c r="Q50" s="18">
        <v>8630.6780359827608</v>
      </c>
      <c r="R50" s="18">
        <v>9493.7458395810372</v>
      </c>
      <c r="S50" s="18">
        <v>10443.120423539141</v>
      </c>
      <c r="T50" s="18">
        <v>11487.432465893056</v>
      </c>
      <c r="U50" s="18">
        <v>12636.175712482363</v>
      </c>
      <c r="V50" s="18">
        <v>13899.793283730602</v>
      </c>
      <c r="W50" s="18">
        <v>15289.772612103663</v>
      </c>
      <c r="X50" s="18">
        <v>16818.749873314031</v>
      </c>
      <c r="Y50" s="18">
        <v>18500.624860645436</v>
      </c>
      <c r="Z50" s="18">
        <v>20350.687346709979</v>
      </c>
      <c r="AA50" s="18">
        <v>22385.75608138098</v>
      </c>
      <c r="AB50" s="18">
        <v>24624.33168951908</v>
      </c>
      <c r="AC50" s="18">
        <v>27086.76485847099</v>
      </c>
      <c r="AD50" s="18">
        <v>29795.441344318089</v>
      </c>
      <c r="AE50" s="18">
        <v>32774.985478749899</v>
      </c>
      <c r="AF50" s="18">
        <v>36052.484026624894</v>
      </c>
      <c r="AG50" s="18">
        <v>39657.732429287389</v>
      </c>
      <c r="AH50" s="18">
        <v>43623.505672216132</v>
      </c>
      <c r="AI50" s="18">
        <v>47985.856239437751</v>
      </c>
      <c r="AJ50" s="18">
        <v>52784.441863381529</v>
      </c>
      <c r="AK50" s="18">
        <v>58062.886049719687</v>
      </c>
      <c r="AL50" s="18">
        <v>63869.174654691662</v>
      </c>
      <c r="AM50" s="18">
        <v>70256.092120160829</v>
      </c>
    </row>
    <row r="51" spans="2:39" s="17" customFormat="1" ht="21" customHeight="1" x14ac:dyDescent="0.25">
      <c r="B51" s="5" t="s">
        <v>71</v>
      </c>
      <c r="C51" s="15"/>
      <c r="D51" s="19">
        <f>SUM(D50, D49 + D48)</f>
        <v>2569.4444444444443</v>
      </c>
      <c r="E51" s="19">
        <f t="shared" ref="E51:AL51" si="106">SUM(E50, E49 + E48)</f>
        <v>2826.3888888888887</v>
      </c>
      <c r="F51" s="19">
        <f t="shared" si="106"/>
        <v>3109.0277777777783</v>
      </c>
      <c r="G51" s="19">
        <f t="shared" si="106"/>
        <v>3419.9305555555566</v>
      </c>
      <c r="H51" s="19">
        <f t="shared" si="106"/>
        <v>3761.9236111111127</v>
      </c>
      <c r="I51" s="19">
        <f t="shared" si="106"/>
        <v>4138.1159722222246</v>
      </c>
      <c r="J51" s="19">
        <f t="shared" si="106"/>
        <v>4551.9275694444477</v>
      </c>
      <c r="K51" s="19">
        <f t="shared" si="106"/>
        <v>5007.120326388892</v>
      </c>
      <c r="L51" s="19">
        <f t="shared" si="106"/>
        <v>5507.8323590277814</v>
      </c>
      <c r="M51" s="19">
        <f t="shared" si="106"/>
        <v>6058.6155949305603</v>
      </c>
      <c r="N51" s="19">
        <f>SUM(N50, N49 + N48)</f>
        <v>6664.4771544236173</v>
      </c>
      <c r="O51" s="19">
        <f t="shared" si="106"/>
        <v>7330.9248698659803</v>
      </c>
      <c r="P51" s="19">
        <f t="shared" si="106"/>
        <v>8064.0173568525788</v>
      </c>
      <c r="Q51" s="19">
        <f t="shared" si="106"/>
        <v>8870.4190925378371</v>
      </c>
      <c r="R51" s="19">
        <f t="shared" si="106"/>
        <v>9757.461001791622</v>
      </c>
      <c r="S51" s="19">
        <f t="shared" si="106"/>
        <v>10733.207101970784</v>
      </c>
      <c r="T51" s="19">
        <f t="shared" si="106"/>
        <v>11806.527812167864</v>
      </c>
      <c r="U51" s="19">
        <f t="shared" si="106"/>
        <v>12987.180593384652</v>
      </c>
      <c r="V51" s="19">
        <f t="shared" si="106"/>
        <v>14285.898652723119</v>
      </c>
      <c r="W51" s="19">
        <f t="shared" si="106"/>
        <v>15714.488517995431</v>
      </c>
      <c r="X51" s="19">
        <f t="shared" si="106"/>
        <v>17285.937369794978</v>
      </c>
      <c r="Y51" s="19">
        <f t="shared" si="106"/>
        <v>19014.531106774477</v>
      </c>
      <c r="Z51" s="19">
        <f t="shared" si="106"/>
        <v>20915.984217451922</v>
      </c>
      <c r="AA51" s="19">
        <f t="shared" si="106"/>
        <v>23007.582639197117</v>
      </c>
      <c r="AB51" s="19">
        <f t="shared" si="106"/>
        <v>25308.340903116834</v>
      </c>
      <c r="AC51" s="19">
        <f t="shared" si="106"/>
        <v>27839.174993428518</v>
      </c>
      <c r="AD51" s="19">
        <f t="shared" si="106"/>
        <v>30623.092492771368</v>
      </c>
      <c r="AE51" s="19">
        <f t="shared" si="106"/>
        <v>33685.401742048511</v>
      </c>
      <c r="AF51" s="19">
        <f t="shared" si="106"/>
        <v>37053.94191625336</v>
      </c>
      <c r="AG51" s="19">
        <f t="shared" si="106"/>
        <v>40759.336107878706</v>
      </c>
      <c r="AH51" s="19">
        <f t="shared" si="106"/>
        <v>44835.269718666583</v>
      </c>
      <c r="AI51" s="19">
        <f t="shared" si="106"/>
        <v>49318.796690533243</v>
      </c>
      <c r="AJ51" s="19">
        <f t="shared" si="106"/>
        <v>54250.67635958657</v>
      </c>
      <c r="AK51" s="19">
        <f t="shared" si="106"/>
        <v>59675.743995545236</v>
      </c>
      <c r="AL51" s="19">
        <f t="shared" si="106"/>
        <v>65643.318395099763</v>
      </c>
      <c r="AM51" s="19">
        <f t="shared" ref="AM51" si="107">SUM(AM50, AM49 + AM48)</f>
        <v>72207.65023460974</v>
      </c>
    </row>
    <row r="52" spans="2:39" s="21" customFormat="1" ht="21" customHeight="1" x14ac:dyDescent="0.25">
      <c r="B52" s="5" t="s">
        <v>72</v>
      </c>
      <c r="C52" s="22"/>
      <c r="D52" s="23">
        <f t="shared" ref="D52:AL52" si="108">D47-D51</f>
        <v>-2569.4444444444443</v>
      </c>
      <c r="E52" s="23">
        <f t="shared" si="108"/>
        <v>-2826.3888888888887</v>
      </c>
      <c r="F52" s="23">
        <f t="shared" si="108"/>
        <v>-3109.0277777777783</v>
      </c>
      <c r="G52" s="23">
        <f t="shared" si="108"/>
        <v>-3419.9305555555566</v>
      </c>
      <c r="H52" s="23">
        <f t="shared" si="108"/>
        <v>-3761.9236111111127</v>
      </c>
      <c r="I52" s="23">
        <f t="shared" si="108"/>
        <v>-4138.1159722222246</v>
      </c>
      <c r="J52" s="23">
        <f t="shared" si="108"/>
        <v>-4551.9275694444477</v>
      </c>
      <c r="K52" s="23">
        <f t="shared" si="108"/>
        <v>-5007.120326388892</v>
      </c>
      <c r="L52" s="23">
        <f t="shared" si="108"/>
        <v>-5507.8323590277814</v>
      </c>
      <c r="M52" s="23">
        <f t="shared" si="108"/>
        <v>-6058.6155949305603</v>
      </c>
      <c r="N52" s="23">
        <f t="shared" si="108"/>
        <v>-6664.4771544236173</v>
      </c>
      <c r="O52" s="23">
        <f t="shared" si="108"/>
        <v>-7330.9248698659803</v>
      </c>
      <c r="P52" s="23">
        <f t="shared" si="108"/>
        <v>-8064.0173568525788</v>
      </c>
      <c r="Q52" s="23">
        <f t="shared" si="108"/>
        <v>-8870.4190925378371</v>
      </c>
      <c r="R52" s="23">
        <f t="shared" si="108"/>
        <v>-9757.461001791622</v>
      </c>
      <c r="S52" s="23">
        <f t="shared" si="108"/>
        <v>-10733.207101970784</v>
      </c>
      <c r="T52" s="23">
        <f t="shared" si="108"/>
        <v>-11806.527812167864</v>
      </c>
      <c r="U52" s="23">
        <f t="shared" si="108"/>
        <v>-12987.180593384652</v>
      </c>
      <c r="V52" s="23">
        <f t="shared" si="108"/>
        <v>-14285.898652723119</v>
      </c>
      <c r="W52" s="23">
        <f t="shared" si="108"/>
        <v>-15714.488517995431</v>
      </c>
      <c r="X52" s="23">
        <f t="shared" si="108"/>
        <v>-17285.937369794978</v>
      </c>
      <c r="Y52" s="23">
        <f t="shared" si="108"/>
        <v>-19014.531106774477</v>
      </c>
      <c r="Z52" s="23">
        <f t="shared" si="108"/>
        <v>-20915.984217451922</v>
      </c>
      <c r="AA52" s="23">
        <f t="shared" si="108"/>
        <v>-23007.582639197117</v>
      </c>
      <c r="AB52" s="23">
        <f t="shared" si="108"/>
        <v>-25308.340903116834</v>
      </c>
      <c r="AC52" s="23">
        <f t="shared" si="108"/>
        <v>-27839.174993428518</v>
      </c>
      <c r="AD52" s="23">
        <f t="shared" si="108"/>
        <v>-30623.092492771368</v>
      </c>
      <c r="AE52" s="23">
        <f t="shared" si="108"/>
        <v>-33685.401742048511</v>
      </c>
      <c r="AF52" s="23">
        <f t="shared" si="108"/>
        <v>-37053.94191625336</v>
      </c>
      <c r="AG52" s="23">
        <f t="shared" si="108"/>
        <v>-40759.336107878706</v>
      </c>
      <c r="AH52" s="23">
        <f t="shared" si="108"/>
        <v>-44835.269718666583</v>
      </c>
      <c r="AI52" s="23">
        <f t="shared" si="108"/>
        <v>-49318.796690533243</v>
      </c>
      <c r="AJ52" s="23">
        <f t="shared" si="108"/>
        <v>-54250.67635958657</v>
      </c>
      <c r="AK52" s="23">
        <f t="shared" si="108"/>
        <v>-59675.743995545236</v>
      </c>
      <c r="AL52" s="23">
        <f t="shared" si="108"/>
        <v>-65643.318395099763</v>
      </c>
      <c r="AM52" s="23">
        <f t="shared" ref="AM52" si="109">AM47-AM51</f>
        <v>-72207.65023460974</v>
      </c>
    </row>
    <row r="53" spans="2:39" s="21" customFormat="1" ht="21" customHeight="1" x14ac:dyDescent="0.25">
      <c r="B53" s="5" t="s">
        <v>73</v>
      </c>
      <c r="C53" s="22"/>
      <c r="D53" s="23">
        <f t="shared" ref="D53:AM53" si="110">D44+D52</f>
        <v>47080.555555555555</v>
      </c>
      <c r="E53" s="23">
        <f t="shared" ref="E53:AL53" si="111">E44+E52</f>
        <v>42937.611111111109</v>
      </c>
      <c r="F53" s="23">
        <f t="shared" si="111"/>
        <v>57054.492222222223</v>
      </c>
      <c r="G53" s="23">
        <f t="shared" si="111"/>
        <v>45707.725044444443</v>
      </c>
      <c r="H53" s="23">
        <f t="shared" si="111"/>
        <v>49782.073006888888</v>
      </c>
      <c r="I53" s="23">
        <f t="shared" si="111"/>
        <v>59814.304793517775</v>
      </c>
      <c r="J53" s="23">
        <f t="shared" si="111"/>
        <v>52624.135851387749</v>
      </c>
      <c r="K53" s="23">
        <f t="shared" si="111"/>
        <v>57873.834247586434</v>
      </c>
      <c r="L53" s="23">
        <f t="shared" si="111"/>
        <v>53720.047227270057</v>
      </c>
      <c r="M53" s="23">
        <f t="shared" si="111"/>
        <v>54131.698463017769</v>
      </c>
      <c r="N53" s="23">
        <f t="shared" si="111"/>
        <v>56191.096888627522</v>
      </c>
      <c r="O53" s="23">
        <f t="shared" si="111"/>
        <v>58142.201769819578</v>
      </c>
      <c r="P53" s="23">
        <f t="shared" si="111"/>
        <v>59078.565931723933</v>
      </c>
      <c r="Q53" s="23">
        <f t="shared" si="111"/>
        <v>54838.956526909002</v>
      </c>
      <c r="R53" s="23">
        <f t="shared" si="111"/>
        <v>55073.44452837752</v>
      </c>
      <c r="S53" s="23">
        <f t="shared" si="111"/>
        <v>44836.73306935135</v>
      </c>
      <c r="T53" s="23">
        <f t="shared" si="111"/>
        <v>47680.827306527055</v>
      </c>
      <c r="U53" s="23">
        <f t="shared" si="111"/>
        <v>47512.217700150359</v>
      </c>
      <c r="V53" s="23">
        <f t="shared" si="111"/>
        <v>54808.127845494149</v>
      </c>
      <c r="W53" s="23">
        <f t="shared" si="111"/>
        <v>38517.070856573053</v>
      </c>
      <c r="X53" s="23">
        <f t="shared" si="111"/>
        <v>44835.836727723465</v>
      </c>
      <c r="Y53" s="23">
        <f t="shared" si="111"/>
        <v>48679.33561357994</v>
      </c>
      <c r="Z53" s="23">
        <f t="shared" si="111"/>
        <v>39502.332966771079</v>
      </c>
      <c r="AA53" s="23">
        <f t="shared" si="111"/>
        <v>44763.472788815823</v>
      </c>
      <c r="AB53" s="23">
        <f t="shared" si="111"/>
        <v>40209.580967343005</v>
      </c>
      <c r="AC53" s="23">
        <f t="shared" si="111"/>
        <v>31867.28744449254</v>
      </c>
      <c r="AD53" s="23">
        <f t="shared" si="111"/>
        <v>33506.509395164263</v>
      </c>
      <c r="AE53" s="23">
        <f t="shared" si="111"/>
        <v>19981.837775432301</v>
      </c>
      <c r="AF53" s="23">
        <f t="shared" si="111"/>
        <v>12746.595744927661</v>
      </c>
      <c r="AG53" s="23">
        <f t="shared" si="111"/>
        <v>22633.002115717885</v>
      </c>
      <c r="AH53" s="23">
        <f t="shared" si="111"/>
        <v>11043.480433137927</v>
      </c>
      <c r="AI53" s="23">
        <f t="shared" si="111"/>
        <v>14016.979563099398</v>
      </c>
      <c r="AJ53" s="23">
        <f t="shared" si="111"/>
        <v>11678.014069062592</v>
      </c>
      <c r="AK53" s="23">
        <f t="shared" si="111"/>
        <v>1748.9101052798942</v>
      </c>
      <c r="AL53" s="23">
        <f t="shared" si="111"/>
        <v>10024.971529140705</v>
      </c>
      <c r="AM53" s="23">
        <f t="shared" si="110"/>
        <v>5060.3082697939972</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P304"/>
  <sheetViews>
    <sheetView showGridLines="0" zoomScaleNormal="100" workbookViewId="0">
      <pane xSplit="3" ySplit="4" topLeftCell="AB5" activePane="bottomRight" state="frozen"/>
      <selection pane="topRight" activeCell="F16" sqref="F16"/>
      <selection pane="bottomLeft" activeCell="F16" sqref="F16"/>
      <selection pane="bottomRight" activeCell="AC11" sqref="AC11"/>
    </sheetView>
  </sheetViews>
  <sheetFormatPr baseColWidth="10" defaultColWidth="9.140625" defaultRowHeight="15" x14ac:dyDescent="0.25"/>
  <cols>
    <col min="1" max="1" width="2.5703125" customWidth="1"/>
    <col min="2" max="2" width="42.28515625" style="1" customWidth="1"/>
    <col min="3" max="3" width="2.7109375" customWidth="1"/>
    <col min="4" max="11" width="12.42578125" style="25" customWidth="1"/>
    <col min="12"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13</v>
      </c>
      <c r="B3" s="1"/>
    </row>
    <row r="4" spans="1:39" s="11" customFormat="1" ht="15.75" x14ac:dyDescent="0.25">
      <c r="B4" s="2"/>
      <c r="D4" s="12">
        <v>44957</v>
      </c>
      <c r="E4" s="13">
        <f t="shared" ref="E4:AM4" si="0">EOMONTH(D4,1)</f>
        <v>44985</v>
      </c>
      <c r="F4" s="13">
        <f t="shared" si="0"/>
        <v>45016</v>
      </c>
      <c r="G4" s="13">
        <f t="shared" si="0"/>
        <v>45046</v>
      </c>
      <c r="H4" s="13">
        <f t="shared" si="0"/>
        <v>45077</v>
      </c>
      <c r="I4" s="13">
        <f t="shared" si="0"/>
        <v>45107</v>
      </c>
      <c r="J4" s="13">
        <f t="shared" si="0"/>
        <v>45138</v>
      </c>
      <c r="K4" s="13">
        <f t="shared" si="0"/>
        <v>45169</v>
      </c>
      <c r="L4" s="13">
        <f t="shared" si="0"/>
        <v>45199</v>
      </c>
      <c r="M4" s="13">
        <f t="shared" si="0"/>
        <v>45230</v>
      </c>
      <c r="N4" s="13">
        <f t="shared" si="0"/>
        <v>45260</v>
      </c>
      <c r="O4" s="13">
        <f t="shared" si="0"/>
        <v>45291</v>
      </c>
      <c r="P4" s="13">
        <f t="shared" si="0"/>
        <v>45322</v>
      </c>
      <c r="Q4" s="13">
        <f t="shared" si="0"/>
        <v>45351</v>
      </c>
      <c r="R4" s="13">
        <f t="shared" si="0"/>
        <v>45382</v>
      </c>
      <c r="S4" s="13">
        <f t="shared" si="0"/>
        <v>45412</v>
      </c>
      <c r="T4" s="13">
        <f t="shared" si="0"/>
        <v>45443</v>
      </c>
      <c r="U4" s="13">
        <f t="shared" si="0"/>
        <v>45473</v>
      </c>
      <c r="V4" s="13">
        <f t="shared" si="0"/>
        <v>45504</v>
      </c>
      <c r="W4" s="13">
        <f t="shared" si="0"/>
        <v>45535</v>
      </c>
      <c r="X4" s="13">
        <f t="shared" si="0"/>
        <v>45565</v>
      </c>
      <c r="Y4" s="13">
        <f t="shared" si="0"/>
        <v>45596</v>
      </c>
      <c r="Z4" s="13">
        <f t="shared" si="0"/>
        <v>45626</v>
      </c>
      <c r="AA4" s="13">
        <f t="shared" si="0"/>
        <v>45657</v>
      </c>
      <c r="AB4" s="13">
        <f t="shared" si="0"/>
        <v>45688</v>
      </c>
      <c r="AC4" s="13">
        <f t="shared" si="0"/>
        <v>45716</v>
      </c>
      <c r="AD4" s="13">
        <f t="shared" si="0"/>
        <v>45747</v>
      </c>
      <c r="AE4" s="13">
        <f t="shared" si="0"/>
        <v>45777</v>
      </c>
      <c r="AF4" s="13">
        <f t="shared" si="0"/>
        <v>45808</v>
      </c>
      <c r="AG4" s="13">
        <f t="shared" si="0"/>
        <v>45838</v>
      </c>
      <c r="AH4" s="13">
        <f t="shared" si="0"/>
        <v>45869</v>
      </c>
      <c r="AI4" s="13">
        <f t="shared" si="0"/>
        <v>45900</v>
      </c>
      <c r="AJ4" s="13">
        <f t="shared" si="0"/>
        <v>45930</v>
      </c>
      <c r="AK4" s="13">
        <f t="shared" si="0"/>
        <v>45961</v>
      </c>
      <c r="AL4" s="13">
        <f t="shared" si="0"/>
        <v>45991</v>
      </c>
      <c r="AM4" s="13">
        <f t="shared" si="0"/>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1">SUM(D6 + D5)</f>
        <v>0</v>
      </c>
      <c r="E7" s="19">
        <f t="shared" si="1"/>
        <v>0</v>
      </c>
      <c r="F7" s="19">
        <f t="shared" si="1"/>
        <v>0</v>
      </c>
      <c r="G7" s="19">
        <f t="shared" si="1"/>
        <v>0</v>
      </c>
      <c r="H7" s="19">
        <f t="shared" si="1"/>
        <v>0</v>
      </c>
      <c r="I7" s="19">
        <f t="shared" si="1"/>
        <v>0</v>
      </c>
      <c r="J7" s="19">
        <f t="shared" si="1"/>
        <v>0</v>
      </c>
      <c r="K7" s="19">
        <f t="shared" si="1"/>
        <v>0</v>
      </c>
      <c r="L7" s="19">
        <f t="shared" si="1"/>
        <v>0</v>
      </c>
      <c r="M7" s="19">
        <f t="shared" si="1"/>
        <v>0</v>
      </c>
      <c r="N7" s="19">
        <f t="shared" si="1"/>
        <v>0</v>
      </c>
      <c r="O7" s="19">
        <f t="shared" si="1"/>
        <v>0</v>
      </c>
      <c r="P7" s="19">
        <f t="shared" si="1"/>
        <v>0</v>
      </c>
      <c r="Q7" s="19">
        <f t="shared" si="1"/>
        <v>0</v>
      </c>
      <c r="R7" s="19">
        <f t="shared" si="1"/>
        <v>0</v>
      </c>
      <c r="S7" s="19">
        <f t="shared" si="1"/>
        <v>0</v>
      </c>
      <c r="T7" s="19">
        <f t="shared" si="1"/>
        <v>0</v>
      </c>
      <c r="U7" s="19">
        <f t="shared" si="1"/>
        <v>0</v>
      </c>
      <c r="V7" s="19">
        <f t="shared" si="1"/>
        <v>0</v>
      </c>
      <c r="W7" s="19">
        <f t="shared" si="1"/>
        <v>0</v>
      </c>
      <c r="X7" s="19">
        <f t="shared" si="1"/>
        <v>0</v>
      </c>
      <c r="Y7" s="19">
        <f t="shared" si="1"/>
        <v>0</v>
      </c>
      <c r="Z7" s="19">
        <f t="shared" si="1"/>
        <v>0</v>
      </c>
      <c r="AA7" s="19">
        <f t="shared" si="1"/>
        <v>0</v>
      </c>
      <c r="AB7" s="19">
        <f t="shared" si="1"/>
        <v>0</v>
      </c>
      <c r="AC7" s="19">
        <f t="shared" si="1"/>
        <v>0</v>
      </c>
      <c r="AD7" s="19">
        <f t="shared" si="1"/>
        <v>0</v>
      </c>
      <c r="AE7" s="19">
        <f t="shared" si="1"/>
        <v>0</v>
      </c>
      <c r="AF7" s="19">
        <f t="shared" si="1"/>
        <v>0</v>
      </c>
      <c r="AG7" s="19">
        <f t="shared" si="1"/>
        <v>0</v>
      </c>
      <c r="AH7" s="19">
        <f t="shared" si="1"/>
        <v>0</v>
      </c>
      <c r="AI7" s="19">
        <f t="shared" si="1"/>
        <v>0</v>
      </c>
      <c r="AJ7" s="19">
        <f t="shared" si="1"/>
        <v>0</v>
      </c>
      <c r="AK7" s="19">
        <f t="shared" si="1"/>
        <v>0</v>
      </c>
      <c r="AL7" s="19">
        <f t="shared" si="1"/>
        <v>0</v>
      </c>
      <c r="AM7" s="19">
        <f t="shared" si="1"/>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2">SUM(D10, D9 + D8)</f>
        <v>0</v>
      </c>
      <c r="E11" s="19">
        <f t="shared" si="2"/>
        <v>0</v>
      </c>
      <c r="F11" s="19">
        <f t="shared" si="2"/>
        <v>0</v>
      </c>
      <c r="G11" s="19">
        <f t="shared" si="2"/>
        <v>0</v>
      </c>
      <c r="H11" s="19">
        <f t="shared" si="2"/>
        <v>0</v>
      </c>
      <c r="I11" s="19">
        <f t="shared" si="2"/>
        <v>0</v>
      </c>
      <c r="J11" s="19">
        <f t="shared" si="2"/>
        <v>0</v>
      </c>
      <c r="K11" s="19">
        <f t="shared" si="2"/>
        <v>0</v>
      </c>
      <c r="L11" s="19">
        <f t="shared" si="2"/>
        <v>0</v>
      </c>
      <c r="M11" s="19">
        <f t="shared" si="2"/>
        <v>0</v>
      </c>
      <c r="N11" s="19">
        <f t="shared" si="2"/>
        <v>0</v>
      </c>
      <c r="O11" s="19">
        <f t="shared" si="2"/>
        <v>0</v>
      </c>
      <c r="P11" s="19">
        <f t="shared" si="2"/>
        <v>0</v>
      </c>
      <c r="Q11" s="19">
        <f t="shared" si="2"/>
        <v>0</v>
      </c>
      <c r="R11" s="19">
        <f t="shared" si="2"/>
        <v>0</v>
      </c>
      <c r="S11" s="19">
        <f t="shared" si="2"/>
        <v>0</v>
      </c>
      <c r="T11" s="19">
        <f t="shared" si="2"/>
        <v>0</v>
      </c>
      <c r="U11" s="19">
        <f t="shared" si="2"/>
        <v>0</v>
      </c>
      <c r="V11" s="19">
        <f t="shared" si="2"/>
        <v>0</v>
      </c>
      <c r="W11" s="19">
        <f t="shared" si="2"/>
        <v>0</v>
      </c>
      <c r="X11" s="19">
        <f t="shared" si="2"/>
        <v>0</v>
      </c>
      <c r="Y11" s="19">
        <f t="shared" si="2"/>
        <v>0</v>
      </c>
      <c r="Z11" s="19">
        <f t="shared" si="2"/>
        <v>0</v>
      </c>
      <c r="AA11" s="19">
        <f t="shared" si="2"/>
        <v>0</v>
      </c>
      <c r="AB11" s="19">
        <f t="shared" si="2"/>
        <v>0</v>
      </c>
      <c r="AC11" s="19">
        <f t="shared" si="2"/>
        <v>0</v>
      </c>
      <c r="AD11" s="19">
        <f t="shared" si="2"/>
        <v>0</v>
      </c>
      <c r="AE11" s="19">
        <f t="shared" si="2"/>
        <v>0</v>
      </c>
      <c r="AF11" s="19">
        <f t="shared" si="2"/>
        <v>0</v>
      </c>
      <c r="AG11" s="19">
        <f t="shared" si="2"/>
        <v>0</v>
      </c>
      <c r="AH11" s="19">
        <f t="shared" si="2"/>
        <v>0</v>
      </c>
      <c r="AI11" s="19">
        <f t="shared" si="2"/>
        <v>0</v>
      </c>
      <c r="AJ11" s="19">
        <f t="shared" si="2"/>
        <v>0</v>
      </c>
      <c r="AK11" s="19">
        <f t="shared" si="2"/>
        <v>0</v>
      </c>
      <c r="AL11" s="19">
        <f t="shared" si="2"/>
        <v>0</v>
      </c>
      <c r="AM11" s="19">
        <f t="shared" si="2"/>
        <v>0</v>
      </c>
    </row>
    <row r="12" spans="1:39" s="21" customFormat="1" ht="21" customHeight="1" x14ac:dyDescent="0.25">
      <c r="B12" s="5" t="s">
        <v>32</v>
      </c>
      <c r="C12" s="22"/>
      <c r="D12" s="23">
        <f t="shared" ref="D12:AM12" si="3">D7-D11</f>
        <v>0</v>
      </c>
      <c r="E12" s="23">
        <f t="shared" si="3"/>
        <v>0</v>
      </c>
      <c r="F12" s="23">
        <f t="shared" si="3"/>
        <v>0</v>
      </c>
      <c r="G12" s="23">
        <f t="shared" si="3"/>
        <v>0</v>
      </c>
      <c r="H12" s="23">
        <f t="shared" si="3"/>
        <v>0</v>
      </c>
      <c r="I12" s="23">
        <f t="shared" si="3"/>
        <v>0</v>
      </c>
      <c r="J12" s="23">
        <f t="shared" si="3"/>
        <v>0</v>
      </c>
      <c r="K12" s="23">
        <f t="shared" si="3"/>
        <v>0</v>
      </c>
      <c r="L12" s="23">
        <f t="shared" si="3"/>
        <v>0</v>
      </c>
      <c r="M12" s="23">
        <f t="shared" si="3"/>
        <v>0</v>
      </c>
      <c r="N12" s="23">
        <f t="shared" si="3"/>
        <v>0</v>
      </c>
      <c r="O12" s="23">
        <f t="shared" si="3"/>
        <v>0</v>
      </c>
      <c r="P12" s="23">
        <f t="shared" si="3"/>
        <v>0</v>
      </c>
      <c r="Q12" s="23">
        <f t="shared" si="3"/>
        <v>0</v>
      </c>
      <c r="R12" s="23">
        <f t="shared" si="3"/>
        <v>0</v>
      </c>
      <c r="S12" s="23">
        <f t="shared" si="3"/>
        <v>0</v>
      </c>
      <c r="T12" s="23">
        <f t="shared" si="3"/>
        <v>0</v>
      </c>
      <c r="U12" s="23">
        <f t="shared" si="3"/>
        <v>0</v>
      </c>
      <c r="V12" s="23">
        <f t="shared" si="3"/>
        <v>0</v>
      </c>
      <c r="W12" s="23">
        <f t="shared" si="3"/>
        <v>0</v>
      </c>
      <c r="X12" s="23">
        <f t="shared" si="3"/>
        <v>0</v>
      </c>
      <c r="Y12" s="23">
        <f t="shared" si="3"/>
        <v>0</v>
      </c>
      <c r="Z12" s="23">
        <f t="shared" si="3"/>
        <v>0</v>
      </c>
      <c r="AA12" s="23">
        <f t="shared" si="3"/>
        <v>0</v>
      </c>
      <c r="AB12" s="23">
        <f t="shared" si="3"/>
        <v>0</v>
      </c>
      <c r="AC12" s="23">
        <f t="shared" si="3"/>
        <v>0</v>
      </c>
      <c r="AD12" s="23">
        <f t="shared" si="3"/>
        <v>0</v>
      </c>
      <c r="AE12" s="23">
        <f t="shared" si="3"/>
        <v>0</v>
      </c>
      <c r="AF12" s="23">
        <f t="shared" si="3"/>
        <v>0</v>
      </c>
      <c r="AG12" s="23">
        <f t="shared" si="3"/>
        <v>0</v>
      </c>
      <c r="AH12" s="23">
        <f t="shared" si="3"/>
        <v>0</v>
      </c>
      <c r="AI12" s="23">
        <f t="shared" si="3"/>
        <v>0</v>
      </c>
      <c r="AJ12" s="23">
        <f t="shared" si="3"/>
        <v>0</v>
      </c>
      <c r="AK12" s="23">
        <f t="shared" si="3"/>
        <v>0</v>
      </c>
      <c r="AL12" s="23">
        <f t="shared" si="3"/>
        <v>0</v>
      </c>
      <c r="AM12" s="23">
        <f t="shared" si="3"/>
        <v>0</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row>
    <row r="17" spans="2:39" s="17" customFormat="1" ht="21" customHeight="1" x14ac:dyDescent="0.25">
      <c r="B17" s="4" t="s">
        <v>37</v>
      </c>
      <c r="C17" s="15"/>
      <c r="D17" s="18">
        <v>2600</v>
      </c>
      <c r="E17" s="18">
        <v>2678</v>
      </c>
      <c r="F17" s="18">
        <f>E17*(0.9)</f>
        <v>2410.2000000000003</v>
      </c>
      <c r="G17" s="18">
        <v>2482.5060000000003</v>
      </c>
      <c r="H17" s="18">
        <v>2556.9811800000002</v>
      </c>
      <c r="I17" s="18">
        <v>2633.6906154000003</v>
      </c>
      <c r="J17" s="18">
        <f t="shared" ref="J17:K17" si="4">I17*(0.9)</f>
        <v>2370.3215538600002</v>
      </c>
      <c r="K17" s="18">
        <f t="shared" si="4"/>
        <v>2133.2893984740003</v>
      </c>
      <c r="L17" s="18">
        <v>2197.2880804282204</v>
      </c>
      <c r="M17" s="18">
        <v>2263.2067228410669</v>
      </c>
      <c r="N17" s="18">
        <v>2331.1029245262989</v>
      </c>
      <c r="O17" s="18">
        <v>2401.0360122620878</v>
      </c>
      <c r="P17" s="18">
        <v>2473.0670926299504</v>
      </c>
      <c r="Q17" s="18">
        <f t="shared" ref="Q17:R17" si="5">P17*(0.9)</f>
        <v>2225.7603833669555</v>
      </c>
      <c r="R17" s="18">
        <f t="shared" si="5"/>
        <v>2003.1843450302599</v>
      </c>
      <c r="S17" s="18">
        <v>2063.2798753811676</v>
      </c>
      <c r="T17" s="18">
        <v>2125.1782716426028</v>
      </c>
      <c r="U17" s="18">
        <f>T17*(0.9)</f>
        <v>1912.6604444783425</v>
      </c>
      <c r="V17" s="18">
        <v>1970.0402578126927</v>
      </c>
      <c r="W17" s="18">
        <v>2029.1414655470735</v>
      </c>
      <c r="X17" s="18">
        <v>2090.0157095134859</v>
      </c>
      <c r="Y17" s="18">
        <f>X17*(0.9)</f>
        <v>1881.0141385621373</v>
      </c>
      <c r="Z17" s="18">
        <v>1937.4445627190014</v>
      </c>
      <c r="AA17" s="18">
        <v>1995.5678996005715</v>
      </c>
      <c r="AB17" s="18">
        <v>2055.4349365885887</v>
      </c>
      <c r="AC17" s="18">
        <f>AB17*(0.9)</f>
        <v>1849.8914429297299</v>
      </c>
      <c r="AD17" s="18">
        <v>1905.388186217622</v>
      </c>
      <c r="AE17" s="18">
        <v>1962.5498318041507</v>
      </c>
      <c r="AF17" s="18">
        <v>2021.4263267582753</v>
      </c>
      <c r="AG17" s="18">
        <v>2082.0691165610237</v>
      </c>
      <c r="AH17" s="18">
        <f t="shared" ref="AH17:AI17" si="6">AG17*(0.9)</f>
        <v>1873.8622049049213</v>
      </c>
      <c r="AI17" s="18">
        <f t="shared" si="6"/>
        <v>1686.4759844144291</v>
      </c>
      <c r="AJ17" s="18">
        <v>1737.070263946862</v>
      </c>
      <c r="AK17" s="18">
        <v>1789.1823718652679</v>
      </c>
      <c r="AL17" s="18">
        <f t="shared" ref="AL17:AM17" si="7">AK17*(0.9)</f>
        <v>1610.2641346787411</v>
      </c>
      <c r="AM17" s="18">
        <f t="shared" si="7"/>
        <v>1449.237721210867</v>
      </c>
    </row>
    <row r="18" spans="2:39" s="17" customFormat="1" ht="21" customHeight="1" x14ac:dyDescent="0.25">
      <c r="B18" s="4" t="s">
        <v>38</v>
      </c>
      <c r="C18" s="15"/>
      <c r="D18" s="18">
        <v>150</v>
      </c>
      <c r="E18" s="18">
        <v>154.5</v>
      </c>
      <c r="F18" s="18">
        <v>159.13499999999999</v>
      </c>
      <c r="G18" s="18">
        <v>163.90905000000001</v>
      </c>
      <c r="H18" s="18">
        <v>168.82632150000001</v>
      </c>
      <c r="I18" s="18">
        <v>173.891111145</v>
      </c>
      <c r="J18" s="18">
        <v>179.10784447935001</v>
      </c>
      <c r="K18" s="18">
        <v>184.4810798137305</v>
      </c>
      <c r="L18" s="18">
        <v>190.01551220814241</v>
      </c>
      <c r="M18" s="18">
        <v>195.7159775743867</v>
      </c>
      <c r="N18" s="18">
        <v>201.58745690161831</v>
      </c>
      <c r="O18" s="18">
        <v>207.63508060866687</v>
      </c>
      <c r="P18" s="18">
        <v>213.86413302692688</v>
      </c>
      <c r="Q18" s="18">
        <v>220.28005701773469</v>
      </c>
      <c r="R18" s="18">
        <v>226.88845872826673</v>
      </c>
      <c r="S18" s="18">
        <v>233.69511249011472</v>
      </c>
      <c r="T18" s="18">
        <v>240.70596586481818</v>
      </c>
      <c r="U18" s="18">
        <v>247.92714484076274</v>
      </c>
      <c r="V18" s="18">
        <v>255.36495918598561</v>
      </c>
      <c r="W18" s="18">
        <v>263.02590796156517</v>
      </c>
      <c r="X18" s="18">
        <v>270.91668520041213</v>
      </c>
      <c r="Y18" s="18">
        <v>279.0441857564245</v>
      </c>
      <c r="Z18" s="18">
        <v>287.41551132911724</v>
      </c>
      <c r="AA18" s="18">
        <v>296.03797666899078</v>
      </c>
      <c r="AB18" s="18">
        <v>304.9191159690605</v>
      </c>
      <c r="AC18" s="18">
        <v>314.06668944813231</v>
      </c>
      <c r="AD18" s="18">
        <v>323.48869013157628</v>
      </c>
      <c r="AE18" s="18">
        <v>333.19335083552357</v>
      </c>
      <c r="AF18" s="18">
        <v>343.18915136058928</v>
      </c>
      <c r="AG18" s="18">
        <v>353.48482590140696</v>
      </c>
      <c r="AH18" s="18">
        <v>364.0893706784492</v>
      </c>
      <c r="AI18" s="18">
        <v>375.0120517988027</v>
      </c>
      <c r="AJ18" s="18">
        <v>386.26241335276677</v>
      </c>
      <c r="AK18" s="18">
        <v>397.85028575334979</v>
      </c>
      <c r="AL18" s="18">
        <v>409.78579432595029</v>
      </c>
      <c r="AM18" s="18">
        <v>422.07936815572879</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400</v>
      </c>
      <c r="E20" s="18">
        <v>412</v>
      </c>
      <c r="F20" s="18">
        <v>424.36</v>
      </c>
      <c r="G20" s="18">
        <v>437.0908</v>
      </c>
      <c r="H20" s="18">
        <v>450.20352400000002</v>
      </c>
      <c r="I20" s="18">
        <v>463.70962972000001</v>
      </c>
      <c r="J20" s="18">
        <v>477.62091861160002</v>
      </c>
      <c r="K20" s="18">
        <v>491.94954616994801</v>
      </c>
      <c r="L20" s="18">
        <v>506.70803255504649</v>
      </c>
      <c r="M20" s="18">
        <v>521.90927353169786</v>
      </c>
      <c r="N20" s="18">
        <v>537.56655173764887</v>
      </c>
      <c r="O20" s="18">
        <v>553.69354828977839</v>
      </c>
      <c r="P20" s="18">
        <v>570.30435473847172</v>
      </c>
      <c r="Q20" s="18">
        <v>587.41348538062584</v>
      </c>
      <c r="R20" s="18">
        <v>605.03588994204461</v>
      </c>
      <c r="S20" s="18">
        <v>623.18696664030597</v>
      </c>
      <c r="T20" s="18">
        <v>641.88257563951515</v>
      </c>
      <c r="U20" s="18">
        <v>661.13905290870059</v>
      </c>
      <c r="V20" s="18">
        <v>680.97322449596163</v>
      </c>
      <c r="W20" s="18">
        <v>701.40242123084045</v>
      </c>
      <c r="X20" s="18">
        <v>722.44449386776569</v>
      </c>
      <c r="Y20" s="18">
        <v>744.11782868379862</v>
      </c>
      <c r="Z20" s="18">
        <v>766.44136354431259</v>
      </c>
      <c r="AA20" s="18">
        <v>789.43460445064204</v>
      </c>
      <c r="AB20" s="18">
        <v>813.11764258416133</v>
      </c>
      <c r="AC20" s="18">
        <v>837.51117186168619</v>
      </c>
      <c r="AD20" s="18">
        <v>862.63650701753681</v>
      </c>
      <c r="AE20" s="18">
        <v>888.5156022280629</v>
      </c>
      <c r="AF20" s="18">
        <v>915.17107029490478</v>
      </c>
      <c r="AG20" s="18">
        <v>942.6262024037519</v>
      </c>
      <c r="AH20" s="18">
        <v>970.90498847586446</v>
      </c>
      <c r="AI20" s="18">
        <v>1000.0321381301404</v>
      </c>
      <c r="AJ20" s="18">
        <v>1030.0331022740447</v>
      </c>
      <c r="AK20" s="18">
        <v>1060.9340953422661</v>
      </c>
      <c r="AL20" s="18">
        <v>1092.7621182025341</v>
      </c>
      <c r="AM20" s="18">
        <v>1125.5449817486101</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SUM(D22, D21, D20 + D19)</f>
        <v>400</v>
      </c>
      <c r="E23" s="19">
        <f t="shared" ref="E23:O23" si="8">SUM(E22, E21, E20 + E19)</f>
        <v>412</v>
      </c>
      <c r="F23" s="19">
        <f t="shared" si="8"/>
        <v>424.36</v>
      </c>
      <c r="G23" s="19">
        <f t="shared" si="8"/>
        <v>437.0908</v>
      </c>
      <c r="H23" s="19">
        <f t="shared" si="8"/>
        <v>450.20352400000002</v>
      </c>
      <c r="I23" s="19">
        <f t="shared" si="8"/>
        <v>463.70962972000001</v>
      </c>
      <c r="J23" s="19">
        <f t="shared" si="8"/>
        <v>477.62091861160002</v>
      </c>
      <c r="K23" s="19">
        <f t="shared" si="8"/>
        <v>491.94954616994801</v>
      </c>
      <c r="L23" s="19">
        <f t="shared" si="8"/>
        <v>506.70803255504649</v>
      </c>
      <c r="M23" s="19">
        <f t="shared" si="8"/>
        <v>521.90927353169786</v>
      </c>
      <c r="N23" s="19">
        <f t="shared" si="8"/>
        <v>537.56655173764887</v>
      </c>
      <c r="O23" s="19">
        <f t="shared" si="8"/>
        <v>553.69354828977839</v>
      </c>
      <c r="P23" s="19">
        <f t="shared" ref="P23:AM23" si="9">SUM(P22, P21, P20 + P19)</f>
        <v>570.30435473847172</v>
      </c>
      <c r="Q23" s="19">
        <f t="shared" si="9"/>
        <v>587.41348538062584</v>
      </c>
      <c r="R23" s="19">
        <f t="shared" si="9"/>
        <v>605.03588994204461</v>
      </c>
      <c r="S23" s="19">
        <f t="shared" si="9"/>
        <v>623.18696664030597</v>
      </c>
      <c r="T23" s="19">
        <f t="shared" si="9"/>
        <v>641.88257563951515</v>
      </c>
      <c r="U23" s="19">
        <f t="shared" si="9"/>
        <v>661.13905290870059</v>
      </c>
      <c r="V23" s="19">
        <f t="shared" si="9"/>
        <v>680.97322449596163</v>
      </c>
      <c r="W23" s="19">
        <f t="shared" si="9"/>
        <v>701.40242123084045</v>
      </c>
      <c r="X23" s="19">
        <f t="shared" si="9"/>
        <v>722.44449386776569</v>
      </c>
      <c r="Y23" s="19">
        <f t="shared" si="9"/>
        <v>744.11782868379862</v>
      </c>
      <c r="Z23" s="19">
        <f t="shared" si="9"/>
        <v>766.44136354431259</v>
      </c>
      <c r="AA23" s="19">
        <f t="shared" si="9"/>
        <v>789.43460445064204</v>
      </c>
      <c r="AB23" s="19">
        <f t="shared" si="9"/>
        <v>813.11764258416133</v>
      </c>
      <c r="AC23" s="19">
        <f t="shared" si="9"/>
        <v>837.51117186168619</v>
      </c>
      <c r="AD23" s="19">
        <f t="shared" si="9"/>
        <v>862.63650701753681</v>
      </c>
      <c r="AE23" s="19">
        <f t="shared" si="9"/>
        <v>888.5156022280629</v>
      </c>
      <c r="AF23" s="19">
        <f t="shared" si="9"/>
        <v>915.17107029490478</v>
      </c>
      <c r="AG23" s="19">
        <f t="shared" si="9"/>
        <v>942.6262024037519</v>
      </c>
      <c r="AH23" s="19">
        <f t="shared" si="9"/>
        <v>970.90498847586446</v>
      </c>
      <c r="AI23" s="19">
        <f t="shared" si="9"/>
        <v>1000.0321381301404</v>
      </c>
      <c r="AJ23" s="19">
        <f t="shared" si="9"/>
        <v>1030.0331022740447</v>
      </c>
      <c r="AK23" s="19">
        <f t="shared" si="9"/>
        <v>1060.9340953422661</v>
      </c>
      <c r="AL23" s="19">
        <f t="shared" si="9"/>
        <v>1092.7621182025341</v>
      </c>
      <c r="AM23" s="19">
        <f t="shared" si="9"/>
        <v>1125.5449817486101</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500</v>
      </c>
      <c r="E27" s="18">
        <v>515</v>
      </c>
      <c r="F27" s="18">
        <v>530.45000000000005</v>
      </c>
      <c r="G27" s="18">
        <v>546.36350000000004</v>
      </c>
      <c r="H27" s="18">
        <v>562.75440500000002</v>
      </c>
      <c r="I27" s="18">
        <v>579.63703715000008</v>
      </c>
      <c r="J27" s="18">
        <v>597.02614826450008</v>
      </c>
      <c r="K27" s="18">
        <v>614.93693271243512</v>
      </c>
      <c r="L27" s="18">
        <v>633.38504069380815</v>
      </c>
      <c r="M27" s="18">
        <v>652.38659191462239</v>
      </c>
      <c r="N27" s="18">
        <v>671.95818967206105</v>
      </c>
      <c r="O27" s="18">
        <v>692.11693536222288</v>
      </c>
      <c r="P27" s="18">
        <v>712.88044342308956</v>
      </c>
      <c r="Q27" s="18">
        <v>734.2668567257823</v>
      </c>
      <c r="R27" s="18">
        <v>756.29486242755581</v>
      </c>
      <c r="S27" s="18">
        <v>778.98370830038255</v>
      </c>
      <c r="T27" s="18">
        <v>802.353219549394</v>
      </c>
      <c r="U27" s="18">
        <v>826.42381613587588</v>
      </c>
      <c r="V27" s="18">
        <v>851.21653061995221</v>
      </c>
      <c r="W27" s="18">
        <v>876.75302653855078</v>
      </c>
      <c r="X27" s="18">
        <v>903.05561733470734</v>
      </c>
      <c r="Y27" s="18">
        <v>930.14728585474859</v>
      </c>
      <c r="Z27" s="18">
        <v>958.05170443039106</v>
      </c>
      <c r="AA27" s="18">
        <v>986.79325556330286</v>
      </c>
      <c r="AB27" s="18">
        <v>1016.397053230202</v>
      </c>
      <c r="AC27" s="18">
        <v>1046.8889648271081</v>
      </c>
      <c r="AD27" s="18">
        <v>1078.2956337719213</v>
      </c>
      <c r="AE27" s="18">
        <v>1110.6445027850789</v>
      </c>
      <c r="AF27" s="18">
        <v>1143.9638378686313</v>
      </c>
      <c r="AG27" s="18">
        <v>1178.2827530046902</v>
      </c>
      <c r="AH27" s="18">
        <v>1213.631235594831</v>
      </c>
      <c r="AI27" s="18">
        <v>1250.040172662676</v>
      </c>
      <c r="AJ27" s="18">
        <v>1287.5413778425564</v>
      </c>
      <c r="AK27" s="18">
        <v>1326.1676191778331</v>
      </c>
      <c r="AL27" s="18">
        <v>1365.9526477531681</v>
      </c>
      <c r="AM27" s="18">
        <v>1406.9312271857632</v>
      </c>
    </row>
    <row r="28" spans="2:39" s="17" customFormat="1" ht="21" customHeight="1" x14ac:dyDescent="0.25">
      <c r="B28" s="7" t="s">
        <v>48</v>
      </c>
      <c r="C28" s="15"/>
      <c r="D28" s="18">
        <v>2000</v>
      </c>
      <c r="E28" s="18">
        <v>2060</v>
      </c>
      <c r="F28" s="18">
        <v>2121.8000000000002</v>
      </c>
      <c r="G28" s="18">
        <v>2185.4540000000002</v>
      </c>
      <c r="H28" s="18">
        <f>G28*(0.9)</f>
        <v>1966.9086000000002</v>
      </c>
      <c r="I28" s="18">
        <v>2025.9158580000003</v>
      </c>
      <c r="J28" s="18">
        <v>2086.6933337400005</v>
      </c>
      <c r="K28" s="18">
        <v>2149.2941337522007</v>
      </c>
      <c r="L28" s="18">
        <v>2213.7729577647669</v>
      </c>
      <c r="M28" s="18">
        <v>2280.1861464977101</v>
      </c>
      <c r="N28" s="18">
        <v>2348.5917308926414</v>
      </c>
      <c r="O28" s="18">
        <f>N28*(0.9)</f>
        <v>2113.7325578033774</v>
      </c>
      <c r="P28" s="18">
        <v>2177.1445345374786</v>
      </c>
      <c r="Q28" s="18">
        <v>2242.4588705736032</v>
      </c>
      <c r="R28" s="18">
        <v>2309.7326366908114</v>
      </c>
      <c r="S28" s="18">
        <v>2379.0246157915358</v>
      </c>
      <c r="T28" s="18">
        <f>S28*(0.9)</f>
        <v>2141.1221542123822</v>
      </c>
      <c r="U28" s="18">
        <v>2205.3558188387537</v>
      </c>
      <c r="V28" s="18">
        <v>2271.5164934039162</v>
      </c>
      <c r="W28" s="18">
        <v>2339.6619882060336</v>
      </c>
      <c r="X28" s="18">
        <v>2409.8518478522146</v>
      </c>
      <c r="Y28" s="18">
        <v>2482.1474032877813</v>
      </c>
      <c r="Z28" s="18">
        <v>2556.6118253864147</v>
      </c>
      <c r="AA28" s="18">
        <f>Z28*(0.9)</f>
        <v>2300.9506428477735</v>
      </c>
      <c r="AB28" s="18">
        <v>2369.9791621332065</v>
      </c>
      <c r="AC28" s="18">
        <v>2441.0785369972027</v>
      </c>
      <c r="AD28" s="18">
        <v>2514.3108931071188</v>
      </c>
      <c r="AE28" s="18">
        <f>AD28*(0.9)</f>
        <v>2262.879803796407</v>
      </c>
      <c r="AF28" s="18">
        <v>2330.7661979102995</v>
      </c>
      <c r="AG28" s="18">
        <v>2400.6891838476085</v>
      </c>
      <c r="AH28" s="18">
        <f t="shared" ref="AH28:AI28" si="10">AG28*(0.9)</f>
        <v>2160.6202654628478</v>
      </c>
      <c r="AI28" s="18">
        <f t="shared" si="10"/>
        <v>1944.5582389165631</v>
      </c>
      <c r="AJ28" s="18">
        <v>2002.8949860840601</v>
      </c>
      <c r="AK28" s="18">
        <v>2062.9818356665819</v>
      </c>
      <c r="AL28" s="18">
        <v>2124.8712907365793</v>
      </c>
      <c r="AM28" s="18">
        <v>2188.6174294586767</v>
      </c>
    </row>
    <row r="29" spans="2:39" s="17" customFormat="1" ht="21" customHeight="1" x14ac:dyDescent="0.25">
      <c r="B29" s="6" t="s">
        <v>49</v>
      </c>
      <c r="C29" s="15"/>
      <c r="D29" s="19">
        <f>SUM(D28, D27, D26, D25 + D24)</f>
        <v>2500</v>
      </c>
      <c r="E29" s="19">
        <f t="shared" ref="E29:O29" si="11">SUM(E28, E27, E26, E25 + E24)</f>
        <v>2575</v>
      </c>
      <c r="F29" s="19">
        <f t="shared" si="11"/>
        <v>2652.25</v>
      </c>
      <c r="G29" s="19">
        <f t="shared" si="11"/>
        <v>2731.8175000000001</v>
      </c>
      <c r="H29" s="19">
        <f t="shared" si="11"/>
        <v>2529.6630050000003</v>
      </c>
      <c r="I29" s="19">
        <f t="shared" si="11"/>
        <v>2605.5528951500005</v>
      </c>
      <c r="J29" s="19">
        <f t="shared" si="11"/>
        <v>2683.7194820045006</v>
      </c>
      <c r="K29" s="19">
        <f t="shared" si="11"/>
        <v>2764.2310664646357</v>
      </c>
      <c r="L29" s="19">
        <f t="shared" si="11"/>
        <v>2847.1579984585751</v>
      </c>
      <c r="M29" s="19">
        <f t="shared" si="11"/>
        <v>2932.5727384123325</v>
      </c>
      <c r="N29" s="19">
        <f t="shared" si="11"/>
        <v>3020.5499205647025</v>
      </c>
      <c r="O29" s="19">
        <f t="shared" si="11"/>
        <v>2805.8494931656005</v>
      </c>
      <c r="P29" s="19">
        <f t="shared" ref="P29:AM29" si="12">SUM(P28, P27, P26, P25 + P24)</f>
        <v>2890.0249779605683</v>
      </c>
      <c r="Q29" s="19">
        <f t="shared" si="12"/>
        <v>2976.7257272993857</v>
      </c>
      <c r="R29" s="19">
        <f t="shared" si="12"/>
        <v>3066.0274991183674</v>
      </c>
      <c r="S29" s="19">
        <f t="shared" si="12"/>
        <v>3158.0083240919184</v>
      </c>
      <c r="T29" s="19">
        <f t="shared" si="12"/>
        <v>2943.4753737617762</v>
      </c>
      <c r="U29" s="19">
        <f t="shared" si="12"/>
        <v>3031.7796349746295</v>
      </c>
      <c r="V29" s="19">
        <f t="shared" si="12"/>
        <v>3122.7330240238684</v>
      </c>
      <c r="W29" s="19">
        <f t="shared" si="12"/>
        <v>3216.4150147445844</v>
      </c>
      <c r="X29" s="19">
        <f t="shared" si="12"/>
        <v>3312.9074651869219</v>
      </c>
      <c r="Y29" s="19">
        <f t="shared" si="12"/>
        <v>3412.2946891425299</v>
      </c>
      <c r="Z29" s="19">
        <f t="shared" si="12"/>
        <v>3514.6635298168057</v>
      </c>
      <c r="AA29" s="19">
        <f t="shared" si="12"/>
        <v>3287.7438984110763</v>
      </c>
      <c r="AB29" s="19">
        <f t="shared" si="12"/>
        <v>3386.3762153634084</v>
      </c>
      <c r="AC29" s="19">
        <f t="shared" si="12"/>
        <v>3487.9675018243106</v>
      </c>
      <c r="AD29" s="19">
        <f t="shared" si="12"/>
        <v>3592.6065268790398</v>
      </c>
      <c r="AE29" s="19">
        <f t="shared" si="12"/>
        <v>3373.5243065814857</v>
      </c>
      <c r="AF29" s="19">
        <f t="shared" si="12"/>
        <v>3474.7300357789309</v>
      </c>
      <c r="AG29" s="19">
        <f t="shared" si="12"/>
        <v>3578.9719368522988</v>
      </c>
      <c r="AH29" s="19">
        <f t="shared" si="12"/>
        <v>3374.251501057679</v>
      </c>
      <c r="AI29" s="19">
        <f t="shared" si="12"/>
        <v>3194.5984115792389</v>
      </c>
      <c r="AJ29" s="19">
        <f t="shared" si="12"/>
        <v>3290.4363639266167</v>
      </c>
      <c r="AK29" s="19">
        <f t="shared" si="12"/>
        <v>3389.1494548444152</v>
      </c>
      <c r="AL29" s="19">
        <f t="shared" si="12"/>
        <v>3490.8239384897474</v>
      </c>
      <c r="AM29" s="19">
        <f t="shared" si="12"/>
        <v>3595.5486566444397</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6000</v>
      </c>
      <c r="E31" s="18">
        <v>6180</v>
      </c>
      <c r="F31" s="18">
        <f>E31*(0.9)</f>
        <v>5562</v>
      </c>
      <c r="G31" s="18">
        <v>5728.8600000000006</v>
      </c>
      <c r="H31" s="18">
        <v>5900.7258000000011</v>
      </c>
      <c r="I31" s="18">
        <v>6077.7475740000009</v>
      </c>
      <c r="J31" s="18">
        <v>6260.0800012200007</v>
      </c>
      <c r="K31" s="18">
        <v>6447.882401256601</v>
      </c>
      <c r="L31" s="18">
        <v>6641.318873294299</v>
      </c>
      <c r="M31" s="18">
        <v>6840.5584394931284</v>
      </c>
      <c r="N31" s="18">
        <v>7045.7751926779229</v>
      </c>
      <c r="O31" s="18">
        <f>N31*(0.9)</f>
        <v>6341.1976734101308</v>
      </c>
      <c r="P31" s="18">
        <v>6531.433603612435</v>
      </c>
      <c r="Q31" s="18">
        <v>6727.3766117208079</v>
      </c>
      <c r="R31" s="18">
        <v>6929.197910072432</v>
      </c>
      <c r="S31" s="18">
        <v>7137.0738473746051</v>
      </c>
      <c r="T31" s="18">
        <v>7351.1860627958431</v>
      </c>
      <c r="U31" s="18">
        <v>7571.7216446797183</v>
      </c>
      <c r="V31" s="18">
        <f>U31*(0.9)</f>
        <v>6814.5494802117464</v>
      </c>
      <c r="W31" s="18">
        <v>7018.9859646180994</v>
      </c>
      <c r="X31" s="18">
        <v>7229.555543556643</v>
      </c>
      <c r="Y31" s="18">
        <v>7446.4422098633422</v>
      </c>
      <c r="Z31" s="18">
        <v>7669.8354761592427</v>
      </c>
      <c r="AA31" s="18">
        <v>7899.9305404440202</v>
      </c>
      <c r="AB31" s="18">
        <v>8136.9284566573406</v>
      </c>
      <c r="AC31" s="18">
        <f t="shared" ref="AC31:AD31" si="13">AB31*(0.9)</f>
        <v>7323.2356109916063</v>
      </c>
      <c r="AD31" s="18">
        <f t="shared" si="13"/>
        <v>6590.9120498924458</v>
      </c>
      <c r="AE31" s="18">
        <v>6788.6394113892193</v>
      </c>
      <c r="AF31" s="18">
        <v>6992.2985937308958</v>
      </c>
      <c r="AG31" s="18">
        <v>7202.0675515428229</v>
      </c>
      <c r="AH31" s="18">
        <v>7418.1295780891078</v>
      </c>
      <c r="AI31" s="18">
        <f>AH31*(0.9)</f>
        <v>6676.3166202801967</v>
      </c>
      <c r="AJ31" s="18">
        <v>6876.6061188886024</v>
      </c>
      <c r="AK31" s="18">
        <v>7082.9043024552602</v>
      </c>
      <c r="AL31" s="18">
        <v>7295.3914315289185</v>
      </c>
      <c r="AM31" s="18">
        <v>7514.2531744747866</v>
      </c>
    </row>
    <row r="32" spans="2:39" s="17" customFormat="1" ht="21" customHeight="1" x14ac:dyDescent="0.25">
      <c r="B32" s="7" t="s">
        <v>52</v>
      </c>
      <c r="C32" s="15"/>
      <c r="D32" s="18">
        <f>D31*0.08</f>
        <v>480</v>
      </c>
      <c r="E32" s="18">
        <v>494.40000000000003</v>
      </c>
      <c r="F32" s="18">
        <f t="shared" ref="F32:F35" si="14">E32*(0.9)</f>
        <v>444.96000000000004</v>
      </c>
      <c r="G32" s="18">
        <v>458.30880000000008</v>
      </c>
      <c r="H32" s="18">
        <v>472.05806400000012</v>
      </c>
      <c r="I32" s="18">
        <v>486.21980592000011</v>
      </c>
      <c r="J32" s="18">
        <v>500.80640009760015</v>
      </c>
      <c r="K32" s="18">
        <v>515.83059210052818</v>
      </c>
      <c r="L32" s="18">
        <v>531.30550986354399</v>
      </c>
      <c r="M32" s="18">
        <v>547.24467515945037</v>
      </c>
      <c r="N32" s="18">
        <v>563.66201541423391</v>
      </c>
      <c r="O32" s="18">
        <f t="shared" ref="O32:O35" si="15">N32*(0.9)</f>
        <v>507.29581387281053</v>
      </c>
      <c r="P32" s="18">
        <v>522.51468828899488</v>
      </c>
      <c r="Q32" s="18">
        <v>538.19012893766478</v>
      </c>
      <c r="R32" s="18">
        <v>554.33583280579478</v>
      </c>
      <c r="S32" s="18">
        <v>570.96590778996858</v>
      </c>
      <c r="T32" s="18">
        <v>588.09488502366764</v>
      </c>
      <c r="U32" s="18">
        <v>605.73773157437768</v>
      </c>
      <c r="V32" s="18">
        <f t="shared" ref="V32:V35" si="16">U32*(0.9)</f>
        <v>545.16395841693998</v>
      </c>
      <c r="W32" s="18">
        <v>561.51887716944816</v>
      </c>
      <c r="X32" s="18">
        <v>578.36444348453165</v>
      </c>
      <c r="Y32" s="18">
        <v>595.71537678906759</v>
      </c>
      <c r="Z32" s="18">
        <v>613.58683809273964</v>
      </c>
      <c r="AA32" s="18">
        <v>631.99444323552189</v>
      </c>
      <c r="AB32" s="18">
        <v>650.95427653258753</v>
      </c>
      <c r="AC32" s="18">
        <f t="shared" ref="AC32:AD32" si="17">AB32*(0.9)</f>
        <v>585.85884887932878</v>
      </c>
      <c r="AD32" s="18">
        <f t="shared" si="17"/>
        <v>527.27296399139595</v>
      </c>
      <c r="AE32" s="18">
        <v>543.0911529111379</v>
      </c>
      <c r="AF32" s="18">
        <v>559.38388749847206</v>
      </c>
      <c r="AG32" s="18">
        <v>576.16540412342624</v>
      </c>
      <c r="AH32" s="18">
        <v>593.45036624712907</v>
      </c>
      <c r="AI32" s="18">
        <f t="shared" ref="AI32:AI35" si="18">AH32*(0.9)</f>
        <v>534.10532962241621</v>
      </c>
      <c r="AJ32" s="18">
        <v>550.12848951108867</v>
      </c>
      <c r="AK32" s="18">
        <v>566.6323441964214</v>
      </c>
      <c r="AL32" s="18">
        <v>583.63131452231403</v>
      </c>
      <c r="AM32" s="18">
        <v>601.14025395798342</v>
      </c>
    </row>
    <row r="33" spans="2:39" s="17" customFormat="1" ht="21" customHeight="1" x14ac:dyDescent="0.25">
      <c r="B33" s="7" t="s">
        <v>53</v>
      </c>
      <c r="C33" s="15"/>
      <c r="D33" s="18">
        <f>D31*1</f>
        <v>6000</v>
      </c>
      <c r="E33" s="18">
        <v>6180</v>
      </c>
      <c r="F33" s="18">
        <f t="shared" si="14"/>
        <v>5562</v>
      </c>
      <c r="G33" s="18">
        <v>5728.8600000000006</v>
      </c>
      <c r="H33" s="18">
        <v>5900.7258000000011</v>
      </c>
      <c r="I33" s="18">
        <v>6077.7475740000009</v>
      </c>
      <c r="J33" s="18">
        <v>6260.0800012200007</v>
      </c>
      <c r="K33" s="18">
        <v>6447.882401256601</v>
      </c>
      <c r="L33" s="18">
        <v>6641.318873294299</v>
      </c>
      <c r="M33" s="18">
        <v>6840.5584394931284</v>
      </c>
      <c r="N33" s="18">
        <v>7045.7751926779229</v>
      </c>
      <c r="O33" s="18">
        <f t="shared" si="15"/>
        <v>6341.1976734101308</v>
      </c>
      <c r="P33" s="18">
        <v>6531.433603612435</v>
      </c>
      <c r="Q33" s="18">
        <v>6727.3766117208079</v>
      </c>
      <c r="R33" s="18">
        <v>6929.197910072432</v>
      </c>
      <c r="S33" s="18">
        <v>7137.0738473746051</v>
      </c>
      <c r="T33" s="18">
        <v>7351.1860627958431</v>
      </c>
      <c r="U33" s="18">
        <v>7571.7216446797183</v>
      </c>
      <c r="V33" s="18">
        <f t="shared" si="16"/>
        <v>6814.5494802117464</v>
      </c>
      <c r="W33" s="18">
        <v>7018.9859646180994</v>
      </c>
      <c r="X33" s="18">
        <v>7229.555543556643</v>
      </c>
      <c r="Y33" s="18">
        <v>7446.4422098633422</v>
      </c>
      <c r="Z33" s="18">
        <v>7669.8354761592427</v>
      </c>
      <c r="AA33" s="18">
        <v>7899.9305404440202</v>
      </c>
      <c r="AB33" s="18">
        <v>8136.9284566573406</v>
      </c>
      <c r="AC33" s="18">
        <f t="shared" ref="AC33:AD33" si="19">AB33*(0.9)</f>
        <v>7323.2356109916063</v>
      </c>
      <c r="AD33" s="18">
        <f t="shared" si="19"/>
        <v>6590.9120498924458</v>
      </c>
      <c r="AE33" s="18">
        <v>6788.6394113892193</v>
      </c>
      <c r="AF33" s="18">
        <v>6992.2985937308958</v>
      </c>
      <c r="AG33" s="18">
        <v>7202.0675515428229</v>
      </c>
      <c r="AH33" s="18">
        <v>7418.1295780891078</v>
      </c>
      <c r="AI33" s="18">
        <f t="shared" si="18"/>
        <v>6676.3166202801967</v>
      </c>
      <c r="AJ33" s="18">
        <v>6876.6061188886024</v>
      </c>
      <c r="AK33" s="18">
        <v>7082.9043024552602</v>
      </c>
      <c r="AL33" s="18">
        <v>7295.3914315289185</v>
      </c>
      <c r="AM33" s="18">
        <v>7514.2531744747866</v>
      </c>
    </row>
    <row r="34" spans="2:39" s="17" customFormat="1" ht="21" customHeight="1" x14ac:dyDescent="0.25">
      <c r="B34" s="7" t="s">
        <v>54</v>
      </c>
      <c r="C34" s="15"/>
      <c r="D34" s="18">
        <f>D31*0.005</f>
        <v>30</v>
      </c>
      <c r="E34" s="18">
        <v>30.900000000000002</v>
      </c>
      <c r="F34" s="18">
        <f t="shared" si="14"/>
        <v>27.810000000000002</v>
      </c>
      <c r="G34" s="18">
        <v>28.644300000000005</v>
      </c>
      <c r="H34" s="18">
        <v>29.503629000000007</v>
      </c>
      <c r="I34" s="18">
        <v>30.388737870000007</v>
      </c>
      <c r="J34" s="18">
        <v>31.300400006100009</v>
      </c>
      <c r="K34" s="18">
        <v>32.239412006283011</v>
      </c>
      <c r="L34" s="18">
        <v>33.206594366471499</v>
      </c>
      <c r="M34" s="18">
        <v>34.202792197465648</v>
      </c>
      <c r="N34" s="18">
        <v>35.228875963389619</v>
      </c>
      <c r="O34" s="18">
        <f t="shared" si="15"/>
        <v>31.705988367050658</v>
      </c>
      <c r="P34" s="18">
        <v>32.65716801806218</v>
      </c>
      <c r="Q34" s="18">
        <v>33.636883058604049</v>
      </c>
      <c r="R34" s="18">
        <v>34.645989550362174</v>
      </c>
      <c r="S34" s="18">
        <v>35.685369236873036</v>
      </c>
      <c r="T34" s="18">
        <v>36.755930313979228</v>
      </c>
      <c r="U34" s="18">
        <v>37.858608223398605</v>
      </c>
      <c r="V34" s="18">
        <f t="shared" si="16"/>
        <v>34.072747401058749</v>
      </c>
      <c r="W34" s="18">
        <v>35.09492982309051</v>
      </c>
      <c r="X34" s="18">
        <v>36.147777717783228</v>
      </c>
      <c r="Y34" s="18">
        <v>37.232211049316724</v>
      </c>
      <c r="Z34" s="18">
        <v>38.349177380796228</v>
      </c>
      <c r="AA34" s="18">
        <v>39.499652702220118</v>
      </c>
      <c r="AB34" s="18">
        <v>40.68464228328672</v>
      </c>
      <c r="AC34" s="18">
        <f t="shared" ref="AC34:AD34" si="20">AB34*(0.9)</f>
        <v>36.616178054958048</v>
      </c>
      <c r="AD34" s="18">
        <f t="shared" si="20"/>
        <v>32.954560249462247</v>
      </c>
      <c r="AE34" s="18">
        <v>33.943197056946119</v>
      </c>
      <c r="AF34" s="18">
        <v>34.961492968654504</v>
      </c>
      <c r="AG34" s="18">
        <v>36.01033775771414</v>
      </c>
      <c r="AH34" s="18">
        <v>37.090647890445567</v>
      </c>
      <c r="AI34" s="18">
        <f t="shared" si="18"/>
        <v>33.381583101401013</v>
      </c>
      <c r="AJ34" s="18">
        <v>34.383030594443042</v>
      </c>
      <c r="AK34" s="18">
        <v>35.414521512276337</v>
      </c>
      <c r="AL34" s="18">
        <v>36.476957157644627</v>
      </c>
      <c r="AM34" s="18">
        <v>37.571265872373964</v>
      </c>
    </row>
    <row r="35" spans="2:39" s="17" customFormat="1" ht="21" customHeight="1" x14ac:dyDescent="0.25">
      <c r="B35" s="7" t="s">
        <v>55</v>
      </c>
      <c r="C35" s="15"/>
      <c r="D35" s="18">
        <v>0</v>
      </c>
      <c r="E35" s="18">
        <v>0</v>
      </c>
      <c r="F35" s="18">
        <f t="shared" si="14"/>
        <v>0</v>
      </c>
      <c r="G35" s="18">
        <v>0</v>
      </c>
      <c r="H35" s="18">
        <v>0</v>
      </c>
      <c r="I35" s="18">
        <v>0</v>
      </c>
      <c r="J35" s="18">
        <v>0</v>
      </c>
      <c r="K35" s="18">
        <v>0</v>
      </c>
      <c r="L35" s="18">
        <v>0</v>
      </c>
      <c r="M35" s="18">
        <v>0</v>
      </c>
      <c r="N35" s="18">
        <v>0</v>
      </c>
      <c r="O35" s="18">
        <f t="shared" si="15"/>
        <v>0</v>
      </c>
      <c r="P35" s="18">
        <v>0</v>
      </c>
      <c r="Q35" s="18">
        <v>0</v>
      </c>
      <c r="R35" s="18">
        <v>0</v>
      </c>
      <c r="S35" s="18">
        <v>0</v>
      </c>
      <c r="T35" s="18">
        <v>0</v>
      </c>
      <c r="U35" s="18">
        <v>0</v>
      </c>
      <c r="V35" s="18">
        <f t="shared" si="16"/>
        <v>0</v>
      </c>
      <c r="W35" s="18">
        <v>0</v>
      </c>
      <c r="X35" s="18">
        <v>0</v>
      </c>
      <c r="Y35" s="18">
        <v>0</v>
      </c>
      <c r="Z35" s="18">
        <v>0</v>
      </c>
      <c r="AA35" s="18">
        <v>0</v>
      </c>
      <c r="AB35" s="18">
        <v>0</v>
      </c>
      <c r="AC35" s="18">
        <f t="shared" ref="AC35:AD35" si="21">AB35*(0.9)</f>
        <v>0</v>
      </c>
      <c r="AD35" s="18">
        <f t="shared" si="21"/>
        <v>0</v>
      </c>
      <c r="AE35" s="18">
        <v>0</v>
      </c>
      <c r="AF35" s="18">
        <v>0</v>
      </c>
      <c r="AG35" s="18">
        <v>0</v>
      </c>
      <c r="AH35" s="18">
        <v>0</v>
      </c>
      <c r="AI35" s="18">
        <f t="shared" si="18"/>
        <v>0</v>
      </c>
      <c r="AJ35" s="18">
        <v>0</v>
      </c>
      <c r="AK35" s="18">
        <v>0</v>
      </c>
      <c r="AL35" s="18">
        <v>0</v>
      </c>
      <c r="AM35" s="18">
        <v>0</v>
      </c>
    </row>
    <row r="36" spans="2:39" s="17" customFormat="1" ht="21" customHeight="1" x14ac:dyDescent="0.25">
      <c r="B36" s="6" t="s">
        <v>56</v>
      </c>
      <c r="C36" s="15"/>
      <c r="D36" s="19">
        <f>SUM(D35, D34, D33, D32, D31 + D30)</f>
        <v>12510</v>
      </c>
      <c r="E36" s="19">
        <f t="shared" ref="E36:O36" si="22">SUM(E35, E34, E33, E32, E31 + E30)</f>
        <v>12885.3</v>
      </c>
      <c r="F36" s="19">
        <f t="shared" si="22"/>
        <v>11596.77</v>
      </c>
      <c r="G36" s="19">
        <f t="shared" si="22"/>
        <v>11944.6731</v>
      </c>
      <c r="H36" s="19">
        <f t="shared" si="22"/>
        <v>12303.013293000002</v>
      </c>
      <c r="I36" s="19">
        <f t="shared" si="22"/>
        <v>12672.103691790002</v>
      </c>
      <c r="J36" s="19">
        <f t="shared" si="22"/>
        <v>13052.266802543701</v>
      </c>
      <c r="K36" s="19">
        <f t="shared" si="22"/>
        <v>13443.834806620012</v>
      </c>
      <c r="L36" s="19">
        <f t="shared" si="22"/>
        <v>13847.149850818612</v>
      </c>
      <c r="M36" s="19">
        <f t="shared" si="22"/>
        <v>14262.564346343173</v>
      </c>
      <c r="N36" s="19">
        <f t="shared" si="22"/>
        <v>14690.441276733469</v>
      </c>
      <c r="O36" s="19">
        <f t="shared" si="22"/>
        <v>13221.397149060123</v>
      </c>
      <c r="P36" s="19">
        <f t="shared" ref="P36:AM36" si="23">SUM(P35, P34, P33, P32, P31 + P30)</f>
        <v>13618.039063531927</v>
      </c>
      <c r="Q36" s="19">
        <f t="shared" si="23"/>
        <v>14026.580235437885</v>
      </c>
      <c r="R36" s="19">
        <f t="shared" si="23"/>
        <v>14447.377642501022</v>
      </c>
      <c r="S36" s="19">
        <f t="shared" si="23"/>
        <v>14880.798971776052</v>
      </c>
      <c r="T36" s="19">
        <f t="shared" si="23"/>
        <v>15327.222940929332</v>
      </c>
      <c r="U36" s="19">
        <f t="shared" si="23"/>
        <v>15787.039629157214</v>
      </c>
      <c r="V36" s="19">
        <f t="shared" si="23"/>
        <v>14208.335666241492</v>
      </c>
      <c r="W36" s="19">
        <f t="shared" si="23"/>
        <v>14634.585736228739</v>
      </c>
      <c r="X36" s="19">
        <f t="shared" si="23"/>
        <v>15073.6233083156</v>
      </c>
      <c r="Y36" s="19">
        <f t="shared" si="23"/>
        <v>15525.83200756507</v>
      </c>
      <c r="Z36" s="19">
        <f t="shared" si="23"/>
        <v>15991.60696779202</v>
      </c>
      <c r="AA36" s="19">
        <f t="shared" si="23"/>
        <v>16471.355176825782</v>
      </c>
      <c r="AB36" s="19">
        <f t="shared" si="23"/>
        <v>16965.495832130553</v>
      </c>
      <c r="AC36" s="19">
        <f t="shared" si="23"/>
        <v>15268.946248917498</v>
      </c>
      <c r="AD36" s="19">
        <f t="shared" si="23"/>
        <v>13742.051624025749</v>
      </c>
      <c r="AE36" s="19">
        <f t="shared" si="23"/>
        <v>14154.313172746522</v>
      </c>
      <c r="AF36" s="19">
        <f t="shared" si="23"/>
        <v>14578.942567928918</v>
      </c>
      <c r="AG36" s="19">
        <f t="shared" si="23"/>
        <v>15016.310844966785</v>
      </c>
      <c r="AH36" s="19">
        <f t="shared" si="23"/>
        <v>15466.80017031579</v>
      </c>
      <c r="AI36" s="19">
        <f t="shared" si="23"/>
        <v>13920.12015328421</v>
      </c>
      <c r="AJ36" s="19">
        <f t="shared" si="23"/>
        <v>14337.723757882737</v>
      </c>
      <c r="AK36" s="19">
        <f t="shared" si="23"/>
        <v>14767.855470619219</v>
      </c>
      <c r="AL36" s="19">
        <f t="shared" si="23"/>
        <v>15210.891134737794</v>
      </c>
      <c r="AM36" s="19">
        <f t="shared" si="23"/>
        <v>15667.217868779931</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400</v>
      </c>
      <c r="E39" s="18">
        <v>412</v>
      </c>
      <c r="F39" s="18">
        <v>424.36</v>
      </c>
      <c r="G39" s="18">
        <v>437.0908</v>
      </c>
      <c r="H39" s="18">
        <v>450.20352400000002</v>
      </c>
      <c r="I39" s="18">
        <v>463.70962972000001</v>
      </c>
      <c r="J39" s="18">
        <v>477.62091861160002</v>
      </c>
      <c r="K39" s="18">
        <v>491.94954616994801</v>
      </c>
      <c r="L39" s="18">
        <v>506.70803255504649</v>
      </c>
      <c r="M39" s="18">
        <v>521.90927353169786</v>
      </c>
      <c r="N39" s="18">
        <v>537.56655173764887</v>
      </c>
      <c r="O39" s="18">
        <v>553.69354828977839</v>
      </c>
      <c r="P39" s="18">
        <v>570.30435473847172</v>
      </c>
      <c r="Q39" s="18">
        <v>587.41348538062584</v>
      </c>
      <c r="R39" s="18">
        <v>605.03588994204461</v>
      </c>
      <c r="S39" s="18">
        <v>623.18696664030597</v>
      </c>
      <c r="T39" s="18">
        <v>641.88257563951515</v>
      </c>
      <c r="U39" s="18">
        <v>661.13905290870059</v>
      </c>
      <c r="V39" s="18">
        <v>680.97322449596163</v>
      </c>
      <c r="W39" s="18">
        <v>701.40242123084045</v>
      </c>
      <c r="X39" s="18">
        <v>722.44449386776569</v>
      </c>
      <c r="Y39" s="18">
        <v>744.11782868379862</v>
      </c>
      <c r="Z39" s="18">
        <v>766.44136354431259</v>
      </c>
      <c r="AA39" s="18">
        <v>789.43460445064204</v>
      </c>
      <c r="AB39" s="18">
        <v>813.11764258416133</v>
      </c>
      <c r="AC39" s="18">
        <v>837.51117186168619</v>
      </c>
      <c r="AD39" s="18">
        <v>862.63650701753681</v>
      </c>
      <c r="AE39" s="18">
        <v>888.5156022280629</v>
      </c>
      <c r="AF39" s="18">
        <v>915.17107029490478</v>
      </c>
      <c r="AG39" s="18">
        <v>942.6262024037519</v>
      </c>
      <c r="AH39" s="18">
        <v>970.90498847586446</v>
      </c>
      <c r="AI39" s="18">
        <v>1000.0321381301404</v>
      </c>
      <c r="AJ39" s="18">
        <v>1030.0331022740447</v>
      </c>
      <c r="AK39" s="18">
        <v>1060.9340953422661</v>
      </c>
      <c r="AL39" s="18">
        <v>1092.7621182025341</v>
      </c>
      <c r="AM39" s="18">
        <v>1125.5449817486101</v>
      </c>
    </row>
    <row r="40" spans="2:39" s="17" customFormat="1" ht="21" customHeight="1" x14ac:dyDescent="0.25">
      <c r="B40" s="7" t="s">
        <v>60</v>
      </c>
      <c r="C40" s="15"/>
      <c r="D40" s="18">
        <v>250</v>
      </c>
      <c r="E40" s="18">
        <v>257.5</v>
      </c>
      <c r="F40" s="18">
        <v>265.22500000000002</v>
      </c>
      <c r="G40" s="18">
        <v>273.18175000000002</v>
      </c>
      <c r="H40" s="18">
        <v>281.37720250000001</v>
      </c>
      <c r="I40" s="18">
        <v>289.81851857500004</v>
      </c>
      <c r="J40" s="18">
        <v>298.51307413225004</v>
      </c>
      <c r="K40" s="18">
        <v>307.46846635621756</v>
      </c>
      <c r="L40" s="18">
        <v>316.69252034690408</v>
      </c>
      <c r="M40" s="18">
        <v>326.19329595731119</v>
      </c>
      <c r="N40" s="18">
        <v>335.97909483603053</v>
      </c>
      <c r="O40" s="18">
        <v>346.05846768111144</v>
      </c>
      <c r="P40" s="18">
        <v>356.44022171154478</v>
      </c>
      <c r="Q40" s="18">
        <v>367.13342836289115</v>
      </c>
      <c r="R40" s="18">
        <v>378.14743121377791</v>
      </c>
      <c r="S40" s="18">
        <v>389.49185415019127</v>
      </c>
      <c r="T40" s="18">
        <v>401.176609774697</v>
      </c>
      <c r="U40" s="18">
        <v>413.21190806793794</v>
      </c>
      <c r="V40" s="18">
        <v>425.6082653099761</v>
      </c>
      <c r="W40" s="18">
        <v>438.37651326927539</v>
      </c>
      <c r="X40" s="18">
        <v>451.52780866735367</v>
      </c>
      <c r="Y40" s="18">
        <v>465.07364292737429</v>
      </c>
      <c r="Z40" s="18">
        <v>479.02585221519553</v>
      </c>
      <c r="AA40" s="18">
        <v>493.39662778165143</v>
      </c>
      <c r="AB40" s="18">
        <v>508.198526615101</v>
      </c>
      <c r="AC40" s="18">
        <v>523.44448241355406</v>
      </c>
      <c r="AD40" s="18">
        <v>539.14781688596065</v>
      </c>
      <c r="AE40" s="18">
        <v>555.32225139253944</v>
      </c>
      <c r="AF40" s="18">
        <v>571.98191893431567</v>
      </c>
      <c r="AG40" s="18">
        <v>589.14137650234511</v>
      </c>
      <c r="AH40" s="18">
        <v>606.81561779741548</v>
      </c>
      <c r="AI40" s="18">
        <v>625.02008633133801</v>
      </c>
      <c r="AJ40" s="18">
        <v>643.77068892127818</v>
      </c>
      <c r="AK40" s="18">
        <v>663.08380958891655</v>
      </c>
      <c r="AL40" s="18">
        <v>682.97632387658405</v>
      </c>
      <c r="AM40" s="18">
        <v>703.4656135928816</v>
      </c>
    </row>
    <row r="41" spans="2:39" s="17" customFormat="1" ht="21" customHeight="1" x14ac:dyDescent="0.25">
      <c r="B41" s="7" t="s">
        <v>61</v>
      </c>
      <c r="C41" s="15"/>
      <c r="D41" s="18">
        <v>250</v>
      </c>
      <c r="E41" s="18">
        <v>257.5</v>
      </c>
      <c r="F41" s="18">
        <v>265.22500000000002</v>
      </c>
      <c r="G41" s="18">
        <v>273.18175000000002</v>
      </c>
      <c r="H41" s="18">
        <v>281.37720250000001</v>
      </c>
      <c r="I41" s="18">
        <v>289.81851857500004</v>
      </c>
      <c r="J41" s="18">
        <v>298.51307413225004</v>
      </c>
      <c r="K41" s="18">
        <v>307.46846635621756</v>
      </c>
      <c r="L41" s="18">
        <v>316.69252034690408</v>
      </c>
      <c r="M41" s="18">
        <v>326.19329595731119</v>
      </c>
      <c r="N41" s="18">
        <v>335.97909483603053</v>
      </c>
      <c r="O41" s="18">
        <v>346.05846768111144</v>
      </c>
      <c r="P41" s="18">
        <v>356.44022171154478</v>
      </c>
      <c r="Q41" s="18">
        <v>367.13342836289115</v>
      </c>
      <c r="R41" s="18">
        <v>378.14743121377791</v>
      </c>
      <c r="S41" s="18">
        <v>389.49185415019127</v>
      </c>
      <c r="T41" s="18">
        <v>401.176609774697</v>
      </c>
      <c r="U41" s="18">
        <v>413.21190806793794</v>
      </c>
      <c r="V41" s="18">
        <v>425.6082653099761</v>
      </c>
      <c r="W41" s="18">
        <v>438.37651326927539</v>
      </c>
      <c r="X41" s="18">
        <v>451.52780866735367</v>
      </c>
      <c r="Y41" s="18">
        <v>465.07364292737429</v>
      </c>
      <c r="Z41" s="18">
        <v>479.02585221519553</v>
      </c>
      <c r="AA41" s="18">
        <v>493.39662778165143</v>
      </c>
      <c r="AB41" s="18">
        <v>508.198526615101</v>
      </c>
      <c r="AC41" s="18">
        <v>523.44448241355406</v>
      </c>
      <c r="AD41" s="18">
        <v>539.14781688596065</v>
      </c>
      <c r="AE41" s="18">
        <v>555.32225139253944</v>
      </c>
      <c r="AF41" s="18">
        <v>571.98191893431567</v>
      </c>
      <c r="AG41" s="18">
        <v>589.14137650234511</v>
      </c>
      <c r="AH41" s="18">
        <v>606.81561779741548</v>
      </c>
      <c r="AI41" s="18">
        <v>625.02008633133801</v>
      </c>
      <c r="AJ41" s="18">
        <v>643.77068892127818</v>
      </c>
      <c r="AK41" s="18">
        <v>663.08380958891655</v>
      </c>
      <c r="AL41" s="18">
        <v>682.97632387658405</v>
      </c>
      <c r="AM41" s="18">
        <v>703.4656135928816</v>
      </c>
    </row>
    <row r="42" spans="2:39" s="17" customFormat="1" ht="21" customHeight="1" x14ac:dyDescent="0.25">
      <c r="B42" s="6" t="s">
        <v>62</v>
      </c>
      <c r="C42" s="15"/>
      <c r="D42" s="18">
        <f t="shared" ref="D42" si="24">SUM(D41, D40, D39 + D38)</f>
        <v>900</v>
      </c>
      <c r="E42" s="18">
        <v>900</v>
      </c>
      <c r="F42" s="18">
        <v>900</v>
      </c>
      <c r="G42" s="18">
        <v>900</v>
      </c>
      <c r="H42" s="18">
        <v>900</v>
      </c>
      <c r="I42" s="18">
        <v>900</v>
      </c>
      <c r="J42" s="18">
        <v>900</v>
      </c>
      <c r="K42" s="18">
        <v>900</v>
      </c>
      <c r="L42" s="18">
        <v>900</v>
      </c>
      <c r="M42" s="18">
        <v>900</v>
      </c>
      <c r="N42" s="18">
        <v>900</v>
      </c>
      <c r="O42" s="18">
        <v>900</v>
      </c>
      <c r="P42" s="18">
        <v>900</v>
      </c>
      <c r="Q42" s="18">
        <v>900</v>
      </c>
      <c r="R42" s="18">
        <v>900</v>
      </c>
      <c r="S42" s="18">
        <v>900</v>
      </c>
      <c r="T42" s="18">
        <v>900</v>
      </c>
      <c r="U42" s="18">
        <v>900</v>
      </c>
      <c r="V42" s="18">
        <v>900</v>
      </c>
      <c r="W42" s="18">
        <v>900</v>
      </c>
      <c r="X42" s="18">
        <v>900</v>
      </c>
      <c r="Y42" s="18">
        <v>900</v>
      </c>
      <c r="Z42" s="18">
        <v>900</v>
      </c>
      <c r="AA42" s="18">
        <v>900</v>
      </c>
      <c r="AB42" s="18">
        <v>900</v>
      </c>
      <c r="AC42" s="18">
        <v>900</v>
      </c>
      <c r="AD42" s="18">
        <v>900</v>
      </c>
      <c r="AE42" s="18">
        <v>900</v>
      </c>
      <c r="AF42" s="18">
        <v>900</v>
      </c>
      <c r="AG42" s="18">
        <v>900</v>
      </c>
      <c r="AH42" s="18">
        <v>900</v>
      </c>
      <c r="AI42" s="18">
        <v>900</v>
      </c>
      <c r="AJ42" s="18">
        <v>900</v>
      </c>
      <c r="AK42" s="18">
        <v>900</v>
      </c>
      <c r="AL42" s="18">
        <v>900</v>
      </c>
      <c r="AM42" s="18">
        <v>900</v>
      </c>
    </row>
    <row r="43" spans="2:39" s="17" customFormat="1" ht="21" customHeight="1" x14ac:dyDescent="0.25">
      <c r="B43" s="5" t="s">
        <v>63</v>
      </c>
      <c r="C43" s="15"/>
      <c r="D43" s="19">
        <f t="shared" ref="D43:AM43" si="25">SUM(D41, D40, D39, D38, D37, D35, D34, D33, D32, D31, D30, D28, D27, D26, D25, D24, D22, D21, D20, D19, D18, D17, D16, D15, D14 + D13)</f>
        <v>19060</v>
      </c>
      <c r="E43" s="19">
        <f t="shared" ref="E43:O43" si="26">SUM(E41, E40, E39, E38, E37, E35, E34, E33, E32, E31, E30, E28, E27, E26, E25, E24, E22, E21, E20, E19, E18, E17, E16, E15, E14 + E13)</f>
        <v>19631.8</v>
      </c>
      <c r="F43" s="19">
        <f t="shared" si="26"/>
        <v>18197.525000000001</v>
      </c>
      <c r="G43" s="19">
        <f t="shared" si="26"/>
        <v>18743.45075</v>
      </c>
      <c r="H43" s="19">
        <f t="shared" si="26"/>
        <v>19021.645252500002</v>
      </c>
      <c r="I43" s="19">
        <f t="shared" si="26"/>
        <v>19592.294610075001</v>
      </c>
      <c r="J43" s="19">
        <f t="shared" si="26"/>
        <v>19837.683668375252</v>
      </c>
      <c r="K43" s="19">
        <f t="shared" si="26"/>
        <v>20124.672376424711</v>
      </c>
      <c r="L43" s="19">
        <f t="shared" si="26"/>
        <v>20728.412547717449</v>
      </c>
      <c r="M43" s="19">
        <f t="shared" si="26"/>
        <v>21350.264924148978</v>
      </c>
      <c r="N43" s="19">
        <f t="shared" si="26"/>
        <v>21990.772871873447</v>
      </c>
      <c r="O43" s="19">
        <f t="shared" si="26"/>
        <v>20435.42176703826</v>
      </c>
      <c r="P43" s="19">
        <f t="shared" si="25"/>
        <v>21048.484420049404</v>
      </c>
      <c r="Q43" s="19">
        <f t="shared" si="25"/>
        <v>21358.440230608994</v>
      </c>
      <c r="R43" s="19">
        <f t="shared" si="25"/>
        <v>21709.84458768956</v>
      </c>
      <c r="S43" s="19">
        <f t="shared" si="25"/>
        <v>22361.139925320247</v>
      </c>
      <c r="T43" s="19">
        <f t="shared" si="25"/>
        <v>22722.700923026954</v>
      </c>
      <c r="U43" s="19">
        <f t="shared" si="25"/>
        <v>23128.108775404224</v>
      </c>
      <c r="V43" s="19">
        <f t="shared" si="25"/>
        <v>21769.636886875916</v>
      </c>
      <c r="W43" s="19">
        <f t="shared" si="25"/>
        <v>22422.725993482189</v>
      </c>
      <c r="X43" s="19">
        <f t="shared" si="25"/>
        <v>23095.407773286661</v>
      </c>
      <c r="Y43" s="19">
        <f t="shared" si="25"/>
        <v>23516.567964248512</v>
      </c>
      <c r="Z43" s="19">
        <f t="shared" si="25"/>
        <v>24222.065003175961</v>
      </c>
      <c r="AA43" s="19">
        <f t="shared" si="25"/>
        <v>24616.367415971006</v>
      </c>
      <c r="AB43" s="19">
        <f t="shared" si="25"/>
        <v>25354.858438450141</v>
      </c>
      <c r="AC43" s="19">
        <f t="shared" si="25"/>
        <v>23642.783191670151</v>
      </c>
      <c r="AD43" s="19">
        <f t="shared" si="25"/>
        <v>22367.103675060986</v>
      </c>
      <c r="AE43" s="19">
        <f t="shared" si="25"/>
        <v>22711.256369208892</v>
      </c>
      <c r="AF43" s="19">
        <f t="shared" si="25"/>
        <v>23392.594060285155</v>
      </c>
      <c r="AG43" s="19">
        <f t="shared" si="25"/>
        <v>24094.371882093707</v>
      </c>
      <c r="AH43" s="19">
        <f t="shared" si="25"/>
        <v>24234.4444595034</v>
      </c>
      <c r="AI43" s="19">
        <f t="shared" si="25"/>
        <v>22426.31104999964</v>
      </c>
      <c r="AJ43" s="19">
        <f t="shared" si="25"/>
        <v>23099.100381499629</v>
      </c>
      <c r="AK43" s="19">
        <f t="shared" si="25"/>
        <v>23792.073392944614</v>
      </c>
      <c r="AL43" s="19">
        <f t="shared" si="25"/>
        <v>24273.241886390475</v>
      </c>
      <c r="AM43" s="19">
        <f t="shared" si="25"/>
        <v>24792.104805473951</v>
      </c>
    </row>
    <row r="44" spans="2:39" s="21" customFormat="1" ht="21" customHeight="1" x14ac:dyDescent="0.25">
      <c r="B44" s="5" t="s">
        <v>64</v>
      </c>
      <c r="C44" s="22"/>
      <c r="D44" s="23">
        <f>D12-D43</f>
        <v>-19060</v>
      </c>
      <c r="E44" s="23">
        <f t="shared" ref="E44:O44" si="27">E12-E43</f>
        <v>-19631.8</v>
      </c>
      <c r="F44" s="23">
        <f t="shared" si="27"/>
        <v>-18197.525000000001</v>
      </c>
      <c r="G44" s="23">
        <f t="shared" si="27"/>
        <v>-18743.45075</v>
      </c>
      <c r="H44" s="23">
        <f t="shared" si="27"/>
        <v>-19021.645252500002</v>
      </c>
      <c r="I44" s="23">
        <f t="shared" si="27"/>
        <v>-19592.294610075001</v>
      </c>
      <c r="J44" s="23">
        <f t="shared" si="27"/>
        <v>-19837.683668375252</v>
      </c>
      <c r="K44" s="23">
        <f t="shared" si="27"/>
        <v>-20124.672376424711</v>
      </c>
      <c r="L44" s="23">
        <f t="shared" si="27"/>
        <v>-20728.412547717449</v>
      </c>
      <c r="M44" s="23">
        <f t="shared" si="27"/>
        <v>-21350.264924148978</v>
      </c>
      <c r="N44" s="23">
        <f t="shared" si="27"/>
        <v>-21990.772871873447</v>
      </c>
      <c r="O44" s="23">
        <f t="shared" si="27"/>
        <v>-20435.42176703826</v>
      </c>
      <c r="P44" s="23">
        <f t="shared" ref="P44:AM44" si="28">P12-P43</f>
        <v>-21048.484420049404</v>
      </c>
      <c r="Q44" s="23">
        <f t="shared" si="28"/>
        <v>-21358.440230608994</v>
      </c>
      <c r="R44" s="23">
        <f t="shared" si="28"/>
        <v>-21709.84458768956</v>
      </c>
      <c r="S44" s="23">
        <f t="shared" si="28"/>
        <v>-22361.139925320247</v>
      </c>
      <c r="T44" s="23">
        <f t="shared" si="28"/>
        <v>-22722.700923026954</v>
      </c>
      <c r="U44" s="23">
        <f t="shared" si="28"/>
        <v>-23128.108775404224</v>
      </c>
      <c r="V44" s="23">
        <f t="shared" si="28"/>
        <v>-21769.636886875916</v>
      </c>
      <c r="W44" s="23">
        <f t="shared" si="28"/>
        <v>-22422.725993482189</v>
      </c>
      <c r="X44" s="23">
        <f t="shared" si="28"/>
        <v>-23095.407773286661</v>
      </c>
      <c r="Y44" s="23">
        <f t="shared" si="28"/>
        <v>-23516.567964248512</v>
      </c>
      <c r="Z44" s="23">
        <f t="shared" si="28"/>
        <v>-24222.065003175961</v>
      </c>
      <c r="AA44" s="23">
        <f t="shared" si="28"/>
        <v>-24616.367415971006</v>
      </c>
      <c r="AB44" s="23">
        <f t="shared" si="28"/>
        <v>-25354.858438450141</v>
      </c>
      <c r="AC44" s="23">
        <f t="shared" si="28"/>
        <v>-23642.783191670151</v>
      </c>
      <c r="AD44" s="23">
        <f t="shared" si="28"/>
        <v>-22367.103675060986</v>
      </c>
      <c r="AE44" s="23">
        <f t="shared" si="28"/>
        <v>-22711.256369208892</v>
      </c>
      <c r="AF44" s="23">
        <f t="shared" si="28"/>
        <v>-23392.594060285155</v>
      </c>
      <c r="AG44" s="23">
        <f t="shared" si="28"/>
        <v>-24094.371882093707</v>
      </c>
      <c r="AH44" s="23">
        <f t="shared" si="28"/>
        <v>-24234.4444595034</v>
      </c>
      <c r="AI44" s="23">
        <f t="shared" si="28"/>
        <v>-22426.31104999964</v>
      </c>
      <c r="AJ44" s="23">
        <f t="shared" si="28"/>
        <v>-23099.100381499629</v>
      </c>
      <c r="AK44" s="23">
        <f t="shared" si="28"/>
        <v>-23792.073392944614</v>
      </c>
      <c r="AL44" s="23">
        <f t="shared" si="28"/>
        <v>-24273.241886390475</v>
      </c>
      <c r="AM44" s="23">
        <f t="shared" si="28"/>
        <v>-24792.104805473951</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Y47" si="29">SUM(D46 + D45)</f>
        <v>0</v>
      </c>
      <c r="E47" s="19">
        <f t="shared" ref="E47:O47" si="30">SUM(E46 + E45)</f>
        <v>0</v>
      </c>
      <c r="F47" s="19">
        <f t="shared" si="30"/>
        <v>0</v>
      </c>
      <c r="G47" s="19">
        <f t="shared" si="30"/>
        <v>0</v>
      </c>
      <c r="H47" s="19">
        <f t="shared" si="30"/>
        <v>0</v>
      </c>
      <c r="I47" s="19">
        <f t="shared" si="30"/>
        <v>0</v>
      </c>
      <c r="J47" s="19">
        <f t="shared" si="30"/>
        <v>0</v>
      </c>
      <c r="K47" s="19">
        <f t="shared" si="30"/>
        <v>0</v>
      </c>
      <c r="L47" s="19">
        <f t="shared" si="30"/>
        <v>0</v>
      </c>
      <c r="M47" s="19">
        <f t="shared" si="30"/>
        <v>0</v>
      </c>
      <c r="N47" s="19">
        <f t="shared" si="30"/>
        <v>0</v>
      </c>
      <c r="O47" s="19">
        <f t="shared" si="30"/>
        <v>0</v>
      </c>
      <c r="P47" s="19">
        <f t="shared" si="29"/>
        <v>0</v>
      </c>
      <c r="Q47" s="19">
        <f t="shared" si="29"/>
        <v>0</v>
      </c>
      <c r="R47" s="19">
        <f t="shared" si="29"/>
        <v>0</v>
      </c>
      <c r="S47" s="19">
        <f t="shared" si="29"/>
        <v>0</v>
      </c>
      <c r="T47" s="19">
        <f t="shared" si="29"/>
        <v>0</v>
      </c>
      <c r="U47" s="19">
        <f t="shared" si="29"/>
        <v>0</v>
      </c>
      <c r="V47" s="19">
        <f t="shared" si="29"/>
        <v>0</v>
      </c>
      <c r="W47" s="19">
        <f t="shared" si="29"/>
        <v>0</v>
      </c>
      <c r="X47" s="19">
        <f t="shared" si="29"/>
        <v>0</v>
      </c>
      <c r="Y47" s="19">
        <f t="shared" si="29"/>
        <v>0</v>
      </c>
      <c r="Z47" s="19">
        <f>SUM(Z46 + Z45)</f>
        <v>0</v>
      </c>
      <c r="AA47" s="19">
        <f t="shared" ref="AA47:AM47" si="31">SUM(AA46 + AA45)</f>
        <v>0</v>
      </c>
      <c r="AB47" s="19">
        <f t="shared" si="31"/>
        <v>0</v>
      </c>
      <c r="AC47" s="19">
        <f t="shared" si="31"/>
        <v>0</v>
      </c>
      <c r="AD47" s="19">
        <f t="shared" si="31"/>
        <v>0</v>
      </c>
      <c r="AE47" s="19">
        <f t="shared" si="31"/>
        <v>0</v>
      </c>
      <c r="AF47" s="19">
        <f t="shared" si="31"/>
        <v>0</v>
      </c>
      <c r="AG47" s="19">
        <f t="shared" si="31"/>
        <v>0</v>
      </c>
      <c r="AH47" s="19">
        <f t="shared" si="31"/>
        <v>0</v>
      </c>
      <c r="AI47" s="19">
        <f t="shared" si="31"/>
        <v>0</v>
      </c>
      <c r="AJ47" s="19">
        <f t="shared" si="31"/>
        <v>0</v>
      </c>
      <c r="AK47" s="19">
        <f t="shared" si="31"/>
        <v>0</v>
      </c>
      <c r="AL47" s="19">
        <f t="shared" si="31"/>
        <v>0</v>
      </c>
      <c r="AM47" s="19">
        <f t="shared" si="31"/>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32">SUM(D50, D49 + D48)</f>
        <v>0</v>
      </c>
      <c r="E51" s="19">
        <f t="shared" ref="E51:O51" si="33">SUM(E50, E49 + E48)</f>
        <v>0</v>
      </c>
      <c r="F51" s="19">
        <f t="shared" si="33"/>
        <v>0</v>
      </c>
      <c r="G51" s="19">
        <f t="shared" si="33"/>
        <v>0</v>
      </c>
      <c r="H51" s="19">
        <f t="shared" si="33"/>
        <v>0</v>
      </c>
      <c r="I51" s="19">
        <f t="shared" si="33"/>
        <v>0</v>
      </c>
      <c r="J51" s="19">
        <f t="shared" si="33"/>
        <v>0</v>
      </c>
      <c r="K51" s="19">
        <f t="shared" si="33"/>
        <v>0</v>
      </c>
      <c r="L51" s="19">
        <f t="shared" si="33"/>
        <v>0</v>
      </c>
      <c r="M51" s="19">
        <f t="shared" si="33"/>
        <v>0</v>
      </c>
      <c r="N51" s="19">
        <f t="shared" si="33"/>
        <v>0</v>
      </c>
      <c r="O51" s="19">
        <f t="shared" si="33"/>
        <v>0</v>
      </c>
      <c r="P51" s="19">
        <f t="shared" si="32"/>
        <v>0</v>
      </c>
      <c r="Q51" s="19">
        <f t="shared" si="32"/>
        <v>0</v>
      </c>
      <c r="R51" s="19">
        <f t="shared" si="32"/>
        <v>0</v>
      </c>
      <c r="S51" s="19">
        <f t="shared" si="32"/>
        <v>0</v>
      </c>
      <c r="T51" s="19">
        <f t="shared" si="32"/>
        <v>0</v>
      </c>
      <c r="U51" s="19">
        <f t="shared" si="32"/>
        <v>0</v>
      </c>
      <c r="V51" s="19">
        <f t="shared" si="32"/>
        <v>0</v>
      </c>
      <c r="W51" s="19">
        <f t="shared" si="32"/>
        <v>0</v>
      </c>
      <c r="X51" s="19">
        <f t="shared" si="32"/>
        <v>0</v>
      </c>
      <c r="Y51" s="19">
        <f t="shared" si="32"/>
        <v>0</v>
      </c>
      <c r="Z51" s="19">
        <f t="shared" si="32"/>
        <v>0</v>
      </c>
      <c r="AA51" s="19">
        <f t="shared" si="32"/>
        <v>0</v>
      </c>
      <c r="AB51" s="19">
        <f t="shared" si="32"/>
        <v>0</v>
      </c>
      <c r="AC51" s="19">
        <f t="shared" si="32"/>
        <v>0</v>
      </c>
      <c r="AD51" s="19">
        <f t="shared" si="32"/>
        <v>0</v>
      </c>
      <c r="AE51" s="19">
        <f t="shared" si="32"/>
        <v>0</v>
      </c>
      <c r="AF51" s="19">
        <f t="shared" si="32"/>
        <v>0</v>
      </c>
      <c r="AG51" s="19">
        <f t="shared" si="32"/>
        <v>0</v>
      </c>
      <c r="AH51" s="19">
        <f t="shared" si="32"/>
        <v>0</v>
      </c>
      <c r="AI51" s="19">
        <f t="shared" si="32"/>
        <v>0</v>
      </c>
      <c r="AJ51" s="19">
        <f t="shared" si="32"/>
        <v>0</v>
      </c>
      <c r="AK51" s="19">
        <f t="shared" si="32"/>
        <v>0</v>
      </c>
      <c r="AL51" s="19">
        <f t="shared" si="32"/>
        <v>0</v>
      </c>
      <c r="AM51" s="19">
        <f t="shared" si="32"/>
        <v>0</v>
      </c>
    </row>
    <row r="52" spans="2:39" s="21" customFormat="1" ht="21" customHeight="1" x14ac:dyDescent="0.25">
      <c r="B52" s="5" t="s">
        <v>72</v>
      </c>
      <c r="C52" s="22"/>
      <c r="D52" s="23">
        <f t="shared" ref="D52:AM52" si="34">D47-D51</f>
        <v>0</v>
      </c>
      <c r="E52" s="23">
        <f t="shared" ref="E52:O52" si="35">E47-E51</f>
        <v>0</v>
      </c>
      <c r="F52" s="23">
        <f t="shared" si="35"/>
        <v>0</v>
      </c>
      <c r="G52" s="23">
        <f t="shared" si="35"/>
        <v>0</v>
      </c>
      <c r="H52" s="23">
        <f t="shared" si="35"/>
        <v>0</v>
      </c>
      <c r="I52" s="23">
        <f t="shared" si="35"/>
        <v>0</v>
      </c>
      <c r="J52" s="23">
        <f t="shared" si="35"/>
        <v>0</v>
      </c>
      <c r="K52" s="23">
        <f t="shared" si="35"/>
        <v>0</v>
      </c>
      <c r="L52" s="23">
        <f t="shared" si="35"/>
        <v>0</v>
      </c>
      <c r="M52" s="23">
        <f t="shared" si="35"/>
        <v>0</v>
      </c>
      <c r="N52" s="23">
        <f t="shared" si="35"/>
        <v>0</v>
      </c>
      <c r="O52" s="23">
        <f t="shared" si="35"/>
        <v>0</v>
      </c>
      <c r="P52" s="23">
        <f t="shared" si="34"/>
        <v>0</v>
      </c>
      <c r="Q52" s="23">
        <f t="shared" si="34"/>
        <v>0</v>
      </c>
      <c r="R52" s="23">
        <f t="shared" si="34"/>
        <v>0</v>
      </c>
      <c r="S52" s="23">
        <f t="shared" si="34"/>
        <v>0</v>
      </c>
      <c r="T52" s="23">
        <f t="shared" si="34"/>
        <v>0</v>
      </c>
      <c r="U52" s="23">
        <f t="shared" si="34"/>
        <v>0</v>
      </c>
      <c r="V52" s="23">
        <f t="shared" si="34"/>
        <v>0</v>
      </c>
      <c r="W52" s="23">
        <f t="shared" si="34"/>
        <v>0</v>
      </c>
      <c r="X52" s="23">
        <f t="shared" si="34"/>
        <v>0</v>
      </c>
      <c r="Y52" s="23">
        <f t="shared" si="34"/>
        <v>0</v>
      </c>
      <c r="Z52" s="23">
        <f t="shared" si="34"/>
        <v>0</v>
      </c>
      <c r="AA52" s="23">
        <f t="shared" si="34"/>
        <v>0</v>
      </c>
      <c r="AB52" s="23">
        <f t="shared" si="34"/>
        <v>0</v>
      </c>
      <c r="AC52" s="23">
        <f t="shared" si="34"/>
        <v>0</v>
      </c>
      <c r="AD52" s="23">
        <f t="shared" si="34"/>
        <v>0</v>
      </c>
      <c r="AE52" s="23">
        <f t="shared" si="34"/>
        <v>0</v>
      </c>
      <c r="AF52" s="23">
        <f t="shared" si="34"/>
        <v>0</v>
      </c>
      <c r="AG52" s="23">
        <f t="shared" si="34"/>
        <v>0</v>
      </c>
      <c r="AH52" s="23">
        <f t="shared" si="34"/>
        <v>0</v>
      </c>
      <c r="AI52" s="23">
        <f t="shared" si="34"/>
        <v>0</v>
      </c>
      <c r="AJ52" s="23">
        <f t="shared" si="34"/>
        <v>0</v>
      </c>
      <c r="AK52" s="23">
        <f t="shared" si="34"/>
        <v>0</v>
      </c>
      <c r="AL52" s="23">
        <f t="shared" si="34"/>
        <v>0</v>
      </c>
      <c r="AM52" s="23">
        <f t="shared" si="34"/>
        <v>0</v>
      </c>
    </row>
    <row r="53" spans="2:39" s="21" customFormat="1" ht="21" customHeight="1" x14ac:dyDescent="0.25">
      <c r="B53" s="5" t="s">
        <v>73</v>
      </c>
      <c r="C53" s="22"/>
      <c r="D53" s="23">
        <f t="shared" ref="D53:AM53" si="36">D44+D52</f>
        <v>-19060</v>
      </c>
      <c r="E53" s="23">
        <f t="shared" ref="E53:O53" si="37">E44+E52</f>
        <v>-19631.8</v>
      </c>
      <c r="F53" s="23">
        <f t="shared" si="37"/>
        <v>-18197.525000000001</v>
      </c>
      <c r="G53" s="23">
        <f t="shared" si="37"/>
        <v>-18743.45075</v>
      </c>
      <c r="H53" s="23">
        <f t="shared" si="37"/>
        <v>-19021.645252500002</v>
      </c>
      <c r="I53" s="23">
        <f t="shared" si="37"/>
        <v>-19592.294610075001</v>
      </c>
      <c r="J53" s="23">
        <f t="shared" si="37"/>
        <v>-19837.683668375252</v>
      </c>
      <c r="K53" s="23">
        <f t="shared" si="37"/>
        <v>-20124.672376424711</v>
      </c>
      <c r="L53" s="23">
        <f t="shared" si="37"/>
        <v>-20728.412547717449</v>
      </c>
      <c r="M53" s="23">
        <f t="shared" si="37"/>
        <v>-21350.264924148978</v>
      </c>
      <c r="N53" s="23">
        <f t="shared" si="37"/>
        <v>-21990.772871873447</v>
      </c>
      <c r="O53" s="23">
        <f t="shared" si="37"/>
        <v>-20435.42176703826</v>
      </c>
      <c r="P53" s="23">
        <f t="shared" si="36"/>
        <v>-21048.484420049404</v>
      </c>
      <c r="Q53" s="23">
        <f t="shared" si="36"/>
        <v>-21358.440230608994</v>
      </c>
      <c r="R53" s="23">
        <f t="shared" si="36"/>
        <v>-21709.84458768956</v>
      </c>
      <c r="S53" s="23">
        <f t="shared" si="36"/>
        <v>-22361.139925320247</v>
      </c>
      <c r="T53" s="23">
        <f t="shared" si="36"/>
        <v>-22722.700923026954</v>
      </c>
      <c r="U53" s="23">
        <f t="shared" si="36"/>
        <v>-23128.108775404224</v>
      </c>
      <c r="V53" s="23">
        <f t="shared" si="36"/>
        <v>-21769.636886875916</v>
      </c>
      <c r="W53" s="23">
        <f t="shared" si="36"/>
        <v>-22422.725993482189</v>
      </c>
      <c r="X53" s="23">
        <f t="shared" si="36"/>
        <v>-23095.407773286661</v>
      </c>
      <c r="Y53" s="23">
        <f t="shared" si="36"/>
        <v>-23516.567964248512</v>
      </c>
      <c r="Z53" s="23">
        <f t="shared" si="36"/>
        <v>-24222.065003175961</v>
      </c>
      <c r="AA53" s="23">
        <f t="shared" si="36"/>
        <v>-24616.367415971006</v>
      </c>
      <c r="AB53" s="23">
        <f t="shared" si="36"/>
        <v>-25354.858438450141</v>
      </c>
      <c r="AC53" s="23">
        <f t="shared" si="36"/>
        <v>-23642.783191670151</v>
      </c>
      <c r="AD53" s="23">
        <f t="shared" si="36"/>
        <v>-22367.103675060986</v>
      </c>
      <c r="AE53" s="23">
        <f t="shared" si="36"/>
        <v>-22711.256369208892</v>
      </c>
      <c r="AF53" s="23">
        <f t="shared" si="36"/>
        <v>-23392.594060285155</v>
      </c>
      <c r="AG53" s="23">
        <f t="shared" si="36"/>
        <v>-24094.371882093707</v>
      </c>
      <c r="AH53" s="23">
        <f t="shared" si="36"/>
        <v>-24234.4444595034</v>
      </c>
      <c r="AI53" s="23">
        <f t="shared" si="36"/>
        <v>-22426.31104999964</v>
      </c>
      <c r="AJ53" s="23">
        <f t="shared" si="36"/>
        <v>-23099.100381499629</v>
      </c>
      <c r="AK53" s="23">
        <f t="shared" si="36"/>
        <v>-23792.073392944614</v>
      </c>
      <c r="AL53" s="23">
        <f t="shared" si="36"/>
        <v>-24273.241886390475</v>
      </c>
      <c r="AM53" s="23">
        <f t="shared" si="36"/>
        <v>-24792.104805473951</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P304"/>
  <sheetViews>
    <sheetView showGridLines="0" zoomScaleNormal="100" workbookViewId="0">
      <pane xSplit="3" ySplit="4" topLeftCell="D5" activePane="bottomRight" state="frozen"/>
      <selection pane="topRight" activeCell="F16" sqref="F16"/>
      <selection pane="bottomLeft" activeCell="F16" sqref="F16"/>
      <selection pane="bottomRight" activeCell="AJ21" sqref="AJ21"/>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9</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35">SUM(D6 + D5)</f>
        <v>0</v>
      </c>
      <c r="E7" s="19">
        <f t="shared" ref="E7:AL7" si="36">SUM(E6 + E5)</f>
        <v>0</v>
      </c>
      <c r="F7" s="19">
        <f t="shared" si="36"/>
        <v>0</v>
      </c>
      <c r="G7" s="19">
        <f t="shared" si="36"/>
        <v>0</v>
      </c>
      <c r="H7" s="19">
        <f t="shared" si="36"/>
        <v>0</v>
      </c>
      <c r="I7" s="19">
        <f t="shared" si="36"/>
        <v>0</v>
      </c>
      <c r="J7" s="19">
        <f t="shared" si="36"/>
        <v>0</v>
      </c>
      <c r="K7" s="19">
        <f t="shared" si="36"/>
        <v>0</v>
      </c>
      <c r="L7" s="19">
        <f t="shared" si="36"/>
        <v>0</v>
      </c>
      <c r="M7" s="19">
        <f t="shared" si="36"/>
        <v>0</v>
      </c>
      <c r="N7" s="19">
        <f t="shared" si="36"/>
        <v>0</v>
      </c>
      <c r="O7" s="19">
        <f t="shared" si="36"/>
        <v>0</v>
      </c>
      <c r="P7" s="19">
        <f t="shared" si="36"/>
        <v>0</v>
      </c>
      <c r="Q7" s="19">
        <f t="shared" si="36"/>
        <v>0</v>
      </c>
      <c r="R7" s="19">
        <f t="shared" si="36"/>
        <v>0</v>
      </c>
      <c r="S7" s="19">
        <f t="shared" si="36"/>
        <v>0</v>
      </c>
      <c r="T7" s="19">
        <f t="shared" si="36"/>
        <v>0</v>
      </c>
      <c r="U7" s="19">
        <f t="shared" si="36"/>
        <v>0</v>
      </c>
      <c r="V7" s="19">
        <f t="shared" si="36"/>
        <v>0</v>
      </c>
      <c r="W7" s="19">
        <f t="shared" si="36"/>
        <v>0</v>
      </c>
      <c r="X7" s="19">
        <f t="shared" si="36"/>
        <v>0</v>
      </c>
      <c r="Y7" s="19">
        <f t="shared" si="36"/>
        <v>0</v>
      </c>
      <c r="Z7" s="19">
        <f t="shared" si="36"/>
        <v>0</v>
      </c>
      <c r="AA7" s="19">
        <f t="shared" si="36"/>
        <v>0</v>
      </c>
      <c r="AB7" s="19">
        <f t="shared" si="36"/>
        <v>0</v>
      </c>
      <c r="AC7" s="19">
        <f t="shared" si="36"/>
        <v>0</v>
      </c>
      <c r="AD7" s="19">
        <f t="shared" si="36"/>
        <v>0</v>
      </c>
      <c r="AE7" s="19">
        <f t="shared" si="36"/>
        <v>0</v>
      </c>
      <c r="AF7" s="19">
        <f t="shared" si="36"/>
        <v>0</v>
      </c>
      <c r="AG7" s="19">
        <f t="shared" si="36"/>
        <v>0</v>
      </c>
      <c r="AH7" s="19">
        <f t="shared" si="36"/>
        <v>0</v>
      </c>
      <c r="AI7" s="19">
        <f t="shared" si="36"/>
        <v>0</v>
      </c>
      <c r="AJ7" s="19">
        <f t="shared" si="36"/>
        <v>0</v>
      </c>
      <c r="AK7" s="19">
        <f t="shared" si="36"/>
        <v>0</v>
      </c>
      <c r="AL7" s="19">
        <f t="shared" si="36"/>
        <v>0</v>
      </c>
      <c r="AM7" s="19">
        <f t="shared" si="35"/>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37">SUM(D10, D9 + D8)</f>
        <v>0</v>
      </c>
      <c r="E11" s="19">
        <f t="shared" ref="E11:AL11" si="38">SUM(E10, E9 + E8)</f>
        <v>0</v>
      </c>
      <c r="F11" s="19">
        <f t="shared" si="38"/>
        <v>0</v>
      </c>
      <c r="G11" s="19">
        <f t="shared" si="38"/>
        <v>0</v>
      </c>
      <c r="H11" s="19">
        <f t="shared" si="38"/>
        <v>0</v>
      </c>
      <c r="I11" s="19">
        <f t="shared" si="38"/>
        <v>0</v>
      </c>
      <c r="J11" s="19">
        <f t="shared" si="38"/>
        <v>0</v>
      </c>
      <c r="K11" s="19">
        <f t="shared" si="38"/>
        <v>0</v>
      </c>
      <c r="L11" s="19">
        <f t="shared" si="38"/>
        <v>0</v>
      </c>
      <c r="M11" s="19">
        <f t="shared" si="38"/>
        <v>0</v>
      </c>
      <c r="N11" s="19">
        <f t="shared" si="38"/>
        <v>0</v>
      </c>
      <c r="O11" s="19">
        <f t="shared" si="38"/>
        <v>0</v>
      </c>
      <c r="P11" s="19">
        <f t="shared" si="38"/>
        <v>0</v>
      </c>
      <c r="Q11" s="19">
        <f t="shared" si="38"/>
        <v>0</v>
      </c>
      <c r="R11" s="19">
        <f t="shared" si="38"/>
        <v>0</v>
      </c>
      <c r="S11" s="19">
        <f t="shared" si="38"/>
        <v>0</v>
      </c>
      <c r="T11" s="19">
        <f t="shared" si="38"/>
        <v>0</v>
      </c>
      <c r="U11" s="19">
        <f t="shared" si="38"/>
        <v>0</v>
      </c>
      <c r="V11" s="19">
        <f t="shared" si="38"/>
        <v>0</v>
      </c>
      <c r="W11" s="19">
        <f t="shared" si="38"/>
        <v>0</v>
      </c>
      <c r="X11" s="19">
        <f t="shared" si="38"/>
        <v>0</v>
      </c>
      <c r="Y11" s="19">
        <f t="shared" si="38"/>
        <v>0</v>
      </c>
      <c r="Z11" s="19">
        <f t="shared" si="38"/>
        <v>0</v>
      </c>
      <c r="AA11" s="19">
        <f t="shared" si="38"/>
        <v>0</v>
      </c>
      <c r="AB11" s="19">
        <f t="shared" si="38"/>
        <v>0</v>
      </c>
      <c r="AC11" s="19">
        <f t="shared" si="38"/>
        <v>0</v>
      </c>
      <c r="AD11" s="19">
        <f t="shared" si="38"/>
        <v>0</v>
      </c>
      <c r="AE11" s="19">
        <f t="shared" si="38"/>
        <v>0</v>
      </c>
      <c r="AF11" s="19">
        <f t="shared" si="38"/>
        <v>0</v>
      </c>
      <c r="AG11" s="19">
        <f t="shared" si="38"/>
        <v>0</v>
      </c>
      <c r="AH11" s="19">
        <f t="shared" si="38"/>
        <v>0</v>
      </c>
      <c r="AI11" s="19">
        <f t="shared" si="38"/>
        <v>0</v>
      </c>
      <c r="AJ11" s="19">
        <f t="shared" si="38"/>
        <v>0</v>
      </c>
      <c r="AK11" s="19">
        <f t="shared" si="38"/>
        <v>0</v>
      </c>
      <c r="AL11" s="19">
        <f t="shared" si="38"/>
        <v>0</v>
      </c>
      <c r="AM11" s="19">
        <f t="shared" si="37"/>
        <v>0</v>
      </c>
    </row>
    <row r="12" spans="1:39" s="21" customFormat="1" ht="21" customHeight="1" x14ac:dyDescent="0.25">
      <c r="B12" s="5" t="s">
        <v>32</v>
      </c>
      <c r="C12" s="22"/>
      <c r="D12" s="23">
        <f t="shared" ref="D12:AM12" si="39">D7-D11</f>
        <v>0</v>
      </c>
      <c r="E12" s="23">
        <f t="shared" ref="E12:AL12" si="40">E7-E11</f>
        <v>0</v>
      </c>
      <c r="F12" s="23">
        <f t="shared" si="40"/>
        <v>0</v>
      </c>
      <c r="G12" s="23">
        <f t="shared" si="40"/>
        <v>0</v>
      </c>
      <c r="H12" s="23">
        <f t="shared" si="40"/>
        <v>0</v>
      </c>
      <c r="I12" s="23">
        <f t="shared" si="40"/>
        <v>0</v>
      </c>
      <c r="J12" s="23">
        <f t="shared" si="40"/>
        <v>0</v>
      </c>
      <c r="K12" s="23">
        <f t="shared" si="40"/>
        <v>0</v>
      </c>
      <c r="L12" s="23">
        <f t="shared" si="40"/>
        <v>0</v>
      </c>
      <c r="M12" s="23">
        <f t="shared" si="40"/>
        <v>0</v>
      </c>
      <c r="N12" s="23">
        <f t="shared" si="40"/>
        <v>0</v>
      </c>
      <c r="O12" s="23">
        <f t="shared" si="40"/>
        <v>0</v>
      </c>
      <c r="P12" s="23">
        <f t="shared" si="40"/>
        <v>0</v>
      </c>
      <c r="Q12" s="23">
        <f t="shared" si="40"/>
        <v>0</v>
      </c>
      <c r="R12" s="23">
        <f t="shared" si="40"/>
        <v>0</v>
      </c>
      <c r="S12" s="23">
        <f t="shared" si="40"/>
        <v>0</v>
      </c>
      <c r="T12" s="23">
        <f t="shared" si="40"/>
        <v>0</v>
      </c>
      <c r="U12" s="23">
        <f t="shared" si="40"/>
        <v>0</v>
      </c>
      <c r="V12" s="23">
        <f t="shared" si="40"/>
        <v>0</v>
      </c>
      <c r="W12" s="23">
        <f t="shared" si="40"/>
        <v>0</v>
      </c>
      <c r="X12" s="23">
        <f t="shared" si="40"/>
        <v>0</v>
      </c>
      <c r="Y12" s="23">
        <f t="shared" si="40"/>
        <v>0</v>
      </c>
      <c r="Z12" s="23">
        <f t="shared" si="40"/>
        <v>0</v>
      </c>
      <c r="AA12" s="23">
        <f t="shared" si="40"/>
        <v>0</v>
      </c>
      <c r="AB12" s="23">
        <f t="shared" si="40"/>
        <v>0</v>
      </c>
      <c r="AC12" s="23">
        <f t="shared" si="40"/>
        <v>0</v>
      </c>
      <c r="AD12" s="23">
        <f t="shared" si="40"/>
        <v>0</v>
      </c>
      <c r="AE12" s="23">
        <f t="shared" si="40"/>
        <v>0</v>
      </c>
      <c r="AF12" s="23">
        <f t="shared" si="40"/>
        <v>0</v>
      </c>
      <c r="AG12" s="23">
        <f t="shared" si="40"/>
        <v>0</v>
      </c>
      <c r="AH12" s="23">
        <f t="shared" si="40"/>
        <v>0</v>
      </c>
      <c r="AI12" s="23">
        <f t="shared" si="40"/>
        <v>0</v>
      </c>
      <c r="AJ12" s="23">
        <f t="shared" si="40"/>
        <v>0</v>
      </c>
      <c r="AK12" s="23">
        <f t="shared" si="40"/>
        <v>0</v>
      </c>
      <c r="AL12" s="23">
        <f t="shared" si="40"/>
        <v>0</v>
      </c>
      <c r="AM12" s="23">
        <f t="shared" si="39"/>
        <v>0</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650</v>
      </c>
      <c r="E16" s="18">
        <v>669.5</v>
      </c>
      <c r="F16" s="18">
        <v>689.58500000000004</v>
      </c>
      <c r="G16" s="18">
        <f>F16*(0.92)</f>
        <v>634.41820000000007</v>
      </c>
      <c r="H16" s="18">
        <v>653.45074600000009</v>
      </c>
      <c r="I16" s="18">
        <v>673.05426838000017</v>
      </c>
      <c r="J16" s="18">
        <v>693.24589643140018</v>
      </c>
      <c r="K16" s="18">
        <v>714.04327332434218</v>
      </c>
      <c r="L16" s="18">
        <v>735.46457152407243</v>
      </c>
      <c r="M16" s="18">
        <v>757.52850866979463</v>
      </c>
      <c r="N16" s="18">
        <v>780.25436392988854</v>
      </c>
      <c r="O16" s="18">
        <f>N16*(0.92)</f>
        <v>717.83401481549754</v>
      </c>
      <c r="P16" s="18">
        <v>739.36903525996252</v>
      </c>
      <c r="Q16" s="18">
        <v>761.55010631776145</v>
      </c>
      <c r="R16" s="18">
        <v>784.39660950729433</v>
      </c>
      <c r="S16" s="18">
        <v>807.92850779251319</v>
      </c>
      <c r="T16" s="18">
        <v>832.16636302628865</v>
      </c>
      <c r="U16" s="18">
        <f t="shared" ref="U16:V16" si="41">T16*(0.92)</f>
        <v>765.59305398418564</v>
      </c>
      <c r="V16" s="18">
        <f t="shared" si="41"/>
        <v>704.34560966545087</v>
      </c>
      <c r="W16" s="18">
        <v>725.47597795541446</v>
      </c>
      <c r="X16" s="18">
        <v>747.24025729407697</v>
      </c>
      <c r="Y16" s="18">
        <f t="shared" ref="Y16:Z16" si="42">X16*(0.92)</f>
        <v>687.46103671055084</v>
      </c>
      <c r="Z16" s="18">
        <f t="shared" si="42"/>
        <v>632.46415377370681</v>
      </c>
      <c r="AA16" s="18">
        <v>651.43807838691805</v>
      </c>
      <c r="AB16" s="18">
        <v>670.98122073852562</v>
      </c>
      <c r="AC16" s="18">
        <f t="shared" ref="AC16:AD16" si="43">AB16*(0.92)</f>
        <v>617.30272307944358</v>
      </c>
      <c r="AD16" s="18">
        <f t="shared" si="43"/>
        <v>567.91850523308813</v>
      </c>
      <c r="AE16" s="18">
        <v>584.95606039008078</v>
      </c>
      <c r="AF16" s="18">
        <v>602.50474220178319</v>
      </c>
      <c r="AG16" s="18">
        <v>620.57988446783668</v>
      </c>
      <c r="AH16" s="18">
        <v>639.19728100187183</v>
      </c>
      <c r="AI16" s="18">
        <v>658.37319943192801</v>
      </c>
      <c r="AJ16" s="18">
        <f>AI16*(0.92)</f>
        <v>605.70334347737378</v>
      </c>
      <c r="AK16" s="18">
        <v>623.87444378169505</v>
      </c>
      <c r="AL16" s="18">
        <v>642.59067709514591</v>
      </c>
      <c r="AM16" s="18">
        <v>661.86839740800031</v>
      </c>
    </row>
    <row r="17" spans="2:39" s="17" customFormat="1" ht="21" customHeight="1" x14ac:dyDescent="0.25">
      <c r="B17" s="4" t="s">
        <v>37</v>
      </c>
      <c r="C17" s="15"/>
      <c r="D17" s="18">
        <v>2500</v>
      </c>
      <c r="E17" s="18">
        <v>2575</v>
      </c>
      <c r="F17" s="18">
        <v>2652.25</v>
      </c>
      <c r="G17" s="18">
        <v>2731.8175000000001</v>
      </c>
      <c r="H17" s="18">
        <f t="shared" ref="H17:I17" si="44">G17*(0.92)</f>
        <v>2513.2721000000001</v>
      </c>
      <c r="I17" s="18">
        <f t="shared" si="44"/>
        <v>2312.2103320000001</v>
      </c>
      <c r="J17" s="18">
        <v>2381.57664196</v>
      </c>
      <c r="K17" s="18">
        <v>2453.0239412188002</v>
      </c>
      <c r="L17" s="18">
        <v>2526.6146594553643</v>
      </c>
      <c r="M17" s="18">
        <v>2602.4130992390251</v>
      </c>
      <c r="N17" s="18">
        <v>2680.4854922161958</v>
      </c>
      <c r="O17" s="18">
        <v>2760.9000569826817</v>
      </c>
      <c r="P17" s="18">
        <v>2843.7270586921622</v>
      </c>
      <c r="Q17" s="18">
        <v>2929.0388704529273</v>
      </c>
      <c r="R17" s="18">
        <f t="shared" ref="R17:S17" si="45">Q17*(0.92)</f>
        <v>2694.7157608166931</v>
      </c>
      <c r="S17" s="18">
        <f t="shared" si="45"/>
        <v>2479.138499951358</v>
      </c>
      <c r="T17" s="18">
        <v>2553.5126549498987</v>
      </c>
      <c r="U17" s="18">
        <v>2630.1180345983958</v>
      </c>
      <c r="V17" s="18">
        <v>2709.0215756363477</v>
      </c>
      <c r="W17" s="18">
        <v>2790.2922229054384</v>
      </c>
      <c r="X17" s="18">
        <v>2874.0009895926014</v>
      </c>
      <c r="Y17" s="18">
        <v>2960.2210192803796</v>
      </c>
      <c r="Z17" s="18">
        <v>3049.0276498587909</v>
      </c>
      <c r="AA17" s="18">
        <v>3140.4984793545545</v>
      </c>
      <c r="AB17" s="18">
        <f t="shared" ref="AB17:AC17" si="46">AA17*(0.92)</f>
        <v>2889.2586010061905</v>
      </c>
      <c r="AC17" s="18">
        <f t="shared" si="46"/>
        <v>2658.1179129256952</v>
      </c>
      <c r="AD17" s="18">
        <v>2737.8614503134663</v>
      </c>
      <c r="AE17" s="18">
        <v>2819.9972938228702</v>
      </c>
      <c r="AF17" s="18">
        <v>2904.5972126375564</v>
      </c>
      <c r="AG17" s="18">
        <v>2991.735129016683</v>
      </c>
      <c r="AH17" s="18">
        <f>AG17*(0.92)</f>
        <v>2752.3963186953483</v>
      </c>
      <c r="AI17" s="18">
        <v>2834.968208256209</v>
      </c>
      <c r="AJ17" s="18">
        <v>2920.0172545038954</v>
      </c>
      <c r="AK17" s="18">
        <v>3007.6177721390122</v>
      </c>
      <c r="AL17" s="18">
        <v>3097.8463053031828</v>
      </c>
      <c r="AM17" s="18">
        <v>3190.7816944622782</v>
      </c>
    </row>
    <row r="18" spans="2:39" s="17" customFormat="1" ht="21" customHeight="1" x14ac:dyDescent="0.25">
      <c r="B18" s="4" t="s">
        <v>38</v>
      </c>
      <c r="C18" s="15"/>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250</v>
      </c>
      <c r="E20" s="18">
        <v>257.5</v>
      </c>
      <c r="F20" s="18">
        <f t="shared" ref="F20:G20" si="47">E20*(0.92)</f>
        <v>236.9</v>
      </c>
      <c r="G20" s="18">
        <f t="shared" si="47"/>
        <v>217.94800000000001</v>
      </c>
      <c r="H20" s="18">
        <v>224.48644000000002</v>
      </c>
      <c r="I20" s="18">
        <v>231.22103320000002</v>
      </c>
      <c r="J20" s="18">
        <v>238.15766419600004</v>
      </c>
      <c r="K20" s="18">
        <v>245.30239412188004</v>
      </c>
      <c r="L20" s="18">
        <v>252.66146594553646</v>
      </c>
      <c r="M20" s="18">
        <v>260.24130992390258</v>
      </c>
      <c r="N20" s="18">
        <v>268.04854922161968</v>
      </c>
      <c r="O20" s="18">
        <v>276.09000569826827</v>
      </c>
      <c r="P20" s="18">
        <v>284.3727058692163</v>
      </c>
      <c r="Q20" s="18">
        <v>292.90388704529278</v>
      </c>
      <c r="R20" s="18">
        <v>301.69100365665156</v>
      </c>
      <c r="S20" s="18">
        <v>310.7417337663511</v>
      </c>
      <c r="T20" s="18">
        <v>320.06398577934164</v>
      </c>
      <c r="U20" s="18">
        <v>329.66590535272189</v>
      </c>
      <c r="V20" s="18">
        <v>339.55588251330357</v>
      </c>
      <c r="W20" s="18">
        <v>349.74255898870268</v>
      </c>
      <c r="X20" s="18">
        <v>360.23483575836377</v>
      </c>
      <c r="Y20" s="18">
        <v>371.04188083111467</v>
      </c>
      <c r="Z20" s="18">
        <v>382.17313725604811</v>
      </c>
      <c r="AA20" s="18">
        <v>393.63833137372956</v>
      </c>
      <c r="AB20" s="18">
        <v>405.44748131494146</v>
      </c>
      <c r="AC20" s="18">
        <v>417.61090575438971</v>
      </c>
      <c r="AD20" s="18">
        <v>430.1392329270214</v>
      </c>
      <c r="AE20" s="18">
        <v>443.04340991483207</v>
      </c>
      <c r="AF20" s="18">
        <v>456.33471221227705</v>
      </c>
      <c r="AG20" s="18">
        <v>470.0247535786454</v>
      </c>
      <c r="AH20" s="18">
        <v>484.1254961860048</v>
      </c>
      <c r="AI20" s="18">
        <v>498.64926107158493</v>
      </c>
      <c r="AJ20" s="18">
        <v>513.6087389037325</v>
      </c>
      <c r="AK20" s="18">
        <v>529.01700107084446</v>
      </c>
      <c r="AL20" s="18">
        <v>544.88751110296982</v>
      </c>
      <c r="AM20" s="18">
        <v>561.23413643605898</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 t="shared" ref="D23:AM23" si="48">SUM(D22, D21, D20 + D19)</f>
        <v>250</v>
      </c>
      <c r="E23" s="19">
        <f t="shared" ref="E23:AL23" si="49">SUM(E22, E21, E20 + E19)</f>
        <v>257.5</v>
      </c>
      <c r="F23" s="19">
        <f t="shared" si="49"/>
        <v>236.9</v>
      </c>
      <c r="G23" s="19">
        <f t="shared" si="49"/>
        <v>217.94800000000001</v>
      </c>
      <c r="H23" s="19">
        <f t="shared" si="49"/>
        <v>224.48644000000002</v>
      </c>
      <c r="I23" s="19">
        <f t="shared" si="49"/>
        <v>231.22103320000002</v>
      </c>
      <c r="J23" s="19">
        <f t="shared" si="49"/>
        <v>238.15766419600004</v>
      </c>
      <c r="K23" s="19">
        <f t="shared" si="49"/>
        <v>245.30239412188004</v>
      </c>
      <c r="L23" s="19">
        <f t="shared" si="49"/>
        <v>252.66146594553646</v>
      </c>
      <c r="M23" s="19">
        <f t="shared" si="49"/>
        <v>260.24130992390258</v>
      </c>
      <c r="N23" s="19">
        <f t="shared" si="49"/>
        <v>268.04854922161968</v>
      </c>
      <c r="O23" s="19">
        <f t="shared" si="49"/>
        <v>276.09000569826827</v>
      </c>
      <c r="P23" s="19">
        <f t="shared" si="49"/>
        <v>284.3727058692163</v>
      </c>
      <c r="Q23" s="19">
        <f t="shared" si="49"/>
        <v>292.90388704529278</v>
      </c>
      <c r="R23" s="19">
        <f t="shared" si="49"/>
        <v>301.69100365665156</v>
      </c>
      <c r="S23" s="19">
        <f t="shared" si="49"/>
        <v>310.7417337663511</v>
      </c>
      <c r="T23" s="19">
        <f t="shared" si="49"/>
        <v>320.06398577934164</v>
      </c>
      <c r="U23" s="19">
        <f t="shared" si="49"/>
        <v>329.66590535272189</v>
      </c>
      <c r="V23" s="19">
        <f t="shared" si="49"/>
        <v>339.55588251330357</v>
      </c>
      <c r="W23" s="19">
        <f t="shared" si="49"/>
        <v>349.74255898870268</v>
      </c>
      <c r="X23" s="19">
        <f t="shared" si="49"/>
        <v>360.23483575836377</v>
      </c>
      <c r="Y23" s="19">
        <f t="shared" si="49"/>
        <v>371.04188083111467</v>
      </c>
      <c r="Z23" s="19">
        <f t="shared" si="49"/>
        <v>382.17313725604811</v>
      </c>
      <c r="AA23" s="19">
        <f t="shared" si="49"/>
        <v>393.63833137372956</v>
      </c>
      <c r="AB23" s="19">
        <f t="shared" si="49"/>
        <v>405.44748131494146</v>
      </c>
      <c r="AC23" s="19">
        <f t="shared" si="49"/>
        <v>417.61090575438971</v>
      </c>
      <c r="AD23" s="19">
        <f t="shared" si="49"/>
        <v>430.1392329270214</v>
      </c>
      <c r="AE23" s="19">
        <f t="shared" si="49"/>
        <v>443.04340991483207</v>
      </c>
      <c r="AF23" s="19">
        <f t="shared" si="49"/>
        <v>456.33471221227705</v>
      </c>
      <c r="AG23" s="19">
        <f t="shared" si="49"/>
        <v>470.0247535786454</v>
      </c>
      <c r="AH23" s="19">
        <f t="shared" si="49"/>
        <v>484.1254961860048</v>
      </c>
      <c r="AI23" s="19">
        <f t="shared" si="49"/>
        <v>498.64926107158493</v>
      </c>
      <c r="AJ23" s="19">
        <f t="shared" si="49"/>
        <v>513.6087389037325</v>
      </c>
      <c r="AK23" s="19">
        <f t="shared" si="49"/>
        <v>529.01700107084446</v>
      </c>
      <c r="AL23" s="19">
        <f t="shared" si="49"/>
        <v>544.88751110296982</v>
      </c>
      <c r="AM23" s="19">
        <f t="shared" si="48"/>
        <v>561.23413643605898</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row>
    <row r="28" spans="2:39" s="17" customFormat="1" ht="21" customHeight="1" x14ac:dyDescent="0.25">
      <c r="B28" s="7" t="s">
        <v>48</v>
      </c>
      <c r="C28" s="15"/>
      <c r="D28" s="18">
        <v>2000</v>
      </c>
      <c r="E28" s="18">
        <v>2060</v>
      </c>
      <c r="F28" s="18">
        <v>2121.8000000000002</v>
      </c>
      <c r="G28" s="18">
        <v>2185.4540000000002</v>
      </c>
      <c r="H28" s="18">
        <v>2251.0176200000001</v>
      </c>
      <c r="I28" s="18">
        <v>2318.5481486000003</v>
      </c>
      <c r="J28" s="18">
        <v>2388.1045930580003</v>
      </c>
      <c r="K28" s="18">
        <v>2459.7477308497405</v>
      </c>
      <c r="L28" s="18">
        <f t="shared" ref="L28:N28" si="50">K28*(0.92)</f>
        <v>2262.9679123817614</v>
      </c>
      <c r="M28" s="18">
        <f t="shared" si="50"/>
        <v>2081.9304793912206</v>
      </c>
      <c r="N28" s="18">
        <f t="shared" si="50"/>
        <v>1915.3760410399229</v>
      </c>
      <c r="O28" s="18">
        <v>1972.8373222711207</v>
      </c>
      <c r="P28" s="18">
        <v>2032.0224419392543</v>
      </c>
      <c r="Q28" s="18">
        <v>2092.9831151974322</v>
      </c>
      <c r="R28" s="18">
        <v>2155.7726086533553</v>
      </c>
      <c r="S28" s="18">
        <v>2220.445786912956</v>
      </c>
      <c r="T28" s="18">
        <v>2287.0591605203449</v>
      </c>
      <c r="U28" s="18">
        <v>2355.6709353359552</v>
      </c>
      <c r="V28" s="18">
        <v>2426.3410633960339</v>
      </c>
      <c r="W28" s="18">
        <v>2499.1312952979151</v>
      </c>
      <c r="X28" s="18">
        <v>2574.1052341568525</v>
      </c>
      <c r="Y28" s="18">
        <f t="shared" ref="Y28:Z28" si="51">X28*(0.92)</f>
        <v>2368.1768154243046</v>
      </c>
      <c r="Z28" s="18">
        <f t="shared" si="51"/>
        <v>2178.7226701903601</v>
      </c>
      <c r="AA28" s="18">
        <v>2244.0843502960711</v>
      </c>
      <c r="AB28" s="18">
        <v>2311.4068808049533</v>
      </c>
      <c r="AC28" s="18">
        <v>2380.7490872291019</v>
      </c>
      <c r="AD28" s="18">
        <v>2452.171559845975</v>
      </c>
      <c r="AE28" s="18">
        <v>2525.7367066413544</v>
      </c>
      <c r="AF28" s="18">
        <f>AE28*(0.92)</f>
        <v>2323.6777701100464</v>
      </c>
      <c r="AG28" s="18">
        <v>2393.3881032133477</v>
      </c>
      <c r="AH28" s="18">
        <v>2465.189746309748</v>
      </c>
      <c r="AI28" s="18">
        <v>2539.1454386990404</v>
      </c>
      <c r="AJ28" s="18">
        <v>2615.3198018600115</v>
      </c>
      <c r="AK28" s="18">
        <f t="shared" ref="AK28:AL28" si="52">AJ28*(0.92)</f>
        <v>2406.0942177112106</v>
      </c>
      <c r="AL28" s="18">
        <f t="shared" si="52"/>
        <v>2213.6066802943137</v>
      </c>
      <c r="AM28" s="18">
        <v>2280.0148807031433</v>
      </c>
    </row>
    <row r="29" spans="2:39" s="17" customFormat="1" ht="21" customHeight="1" x14ac:dyDescent="0.25">
      <c r="B29" s="6" t="s">
        <v>49</v>
      </c>
      <c r="C29" s="15"/>
      <c r="D29" s="19">
        <f t="shared" ref="D29:AM29" si="53">SUM(D28, D27, D26, D25 + D24)</f>
        <v>2000</v>
      </c>
      <c r="E29" s="19">
        <f t="shared" ref="E29:AL29" si="54">SUM(E28, E27, E26, E25 + E24)</f>
        <v>2060</v>
      </c>
      <c r="F29" s="19">
        <f t="shared" si="54"/>
        <v>2121.8000000000002</v>
      </c>
      <c r="G29" s="19">
        <f t="shared" si="54"/>
        <v>2185.4540000000002</v>
      </c>
      <c r="H29" s="19">
        <f t="shared" si="54"/>
        <v>2251.0176200000001</v>
      </c>
      <c r="I29" s="19">
        <f t="shared" si="54"/>
        <v>2318.5481486000003</v>
      </c>
      <c r="J29" s="19">
        <f t="shared" si="54"/>
        <v>2388.1045930580003</v>
      </c>
      <c r="K29" s="19">
        <f t="shared" si="54"/>
        <v>2459.7477308497405</v>
      </c>
      <c r="L29" s="19">
        <f t="shared" si="54"/>
        <v>2262.9679123817614</v>
      </c>
      <c r="M29" s="19">
        <f t="shared" si="54"/>
        <v>2081.9304793912206</v>
      </c>
      <c r="N29" s="19">
        <f t="shared" si="54"/>
        <v>1915.3760410399229</v>
      </c>
      <c r="O29" s="19">
        <f t="shared" si="54"/>
        <v>1972.8373222711207</v>
      </c>
      <c r="P29" s="19">
        <f t="shared" si="54"/>
        <v>2032.0224419392543</v>
      </c>
      <c r="Q29" s="19">
        <f t="shared" si="54"/>
        <v>2092.9831151974322</v>
      </c>
      <c r="R29" s="19">
        <f t="shared" si="54"/>
        <v>2155.7726086533553</v>
      </c>
      <c r="S29" s="19">
        <f t="shared" si="54"/>
        <v>2220.445786912956</v>
      </c>
      <c r="T29" s="19">
        <f t="shared" si="54"/>
        <v>2287.0591605203449</v>
      </c>
      <c r="U29" s="19">
        <f t="shared" si="54"/>
        <v>2355.6709353359552</v>
      </c>
      <c r="V29" s="19">
        <f t="shared" si="54"/>
        <v>2426.3410633960339</v>
      </c>
      <c r="W29" s="19">
        <f t="shared" si="54"/>
        <v>2499.1312952979151</v>
      </c>
      <c r="X29" s="19">
        <f t="shared" si="54"/>
        <v>2574.1052341568525</v>
      </c>
      <c r="Y29" s="19">
        <f t="shared" si="54"/>
        <v>2368.1768154243046</v>
      </c>
      <c r="Z29" s="19">
        <f t="shared" si="54"/>
        <v>2178.7226701903601</v>
      </c>
      <c r="AA29" s="19">
        <f t="shared" si="54"/>
        <v>2244.0843502960711</v>
      </c>
      <c r="AB29" s="19">
        <f t="shared" si="54"/>
        <v>2311.4068808049533</v>
      </c>
      <c r="AC29" s="19">
        <f t="shared" si="54"/>
        <v>2380.7490872291019</v>
      </c>
      <c r="AD29" s="19">
        <f t="shared" si="54"/>
        <v>2452.171559845975</v>
      </c>
      <c r="AE29" s="19">
        <f t="shared" si="54"/>
        <v>2525.7367066413544</v>
      </c>
      <c r="AF29" s="19">
        <f t="shared" si="54"/>
        <v>2323.6777701100464</v>
      </c>
      <c r="AG29" s="19">
        <f t="shared" si="54"/>
        <v>2393.3881032133477</v>
      </c>
      <c r="AH29" s="19">
        <f t="shared" si="54"/>
        <v>2465.189746309748</v>
      </c>
      <c r="AI29" s="19">
        <f t="shared" si="54"/>
        <v>2539.1454386990404</v>
      </c>
      <c r="AJ29" s="19">
        <f t="shared" si="54"/>
        <v>2615.3198018600115</v>
      </c>
      <c r="AK29" s="19">
        <f t="shared" si="54"/>
        <v>2406.0942177112106</v>
      </c>
      <c r="AL29" s="19">
        <f t="shared" si="54"/>
        <v>2213.6066802943137</v>
      </c>
      <c r="AM29" s="19">
        <f t="shared" si="53"/>
        <v>2280.0148807031433</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3500</v>
      </c>
      <c r="E31" s="18">
        <v>3605</v>
      </c>
      <c r="F31" s="18">
        <v>3713.15</v>
      </c>
      <c r="G31" s="18">
        <f t="shared" ref="G31:I31" si="55">F31*(0.92)</f>
        <v>3416.0980000000004</v>
      </c>
      <c r="H31" s="18">
        <f t="shared" si="55"/>
        <v>3142.8101600000005</v>
      </c>
      <c r="I31" s="18">
        <f t="shared" si="55"/>
        <v>2891.3853472000005</v>
      </c>
      <c r="J31" s="18">
        <v>2978.1269076160006</v>
      </c>
      <c r="K31" s="18">
        <v>3067.4707148444809</v>
      </c>
      <c r="L31" s="18">
        <v>3159.4948362898153</v>
      </c>
      <c r="M31" s="18">
        <v>3254.2796813785098</v>
      </c>
      <c r="N31" s="18">
        <v>3351.9080718198652</v>
      </c>
      <c r="O31" s="18">
        <v>3452.4653139744614</v>
      </c>
      <c r="P31" s="18">
        <v>3556.0392733936956</v>
      </c>
      <c r="Q31" s="18">
        <v>3662.7204515955063</v>
      </c>
      <c r="R31" s="18">
        <v>3772.6020651433714</v>
      </c>
      <c r="S31" s="18">
        <v>3885.7801270976724</v>
      </c>
      <c r="T31" s="18">
        <v>4002.3535309106028</v>
      </c>
      <c r="U31" s="18">
        <f t="shared" ref="U31:V31" si="56">T31*(0.92)</f>
        <v>3682.1652484377546</v>
      </c>
      <c r="V31" s="18">
        <f t="shared" si="56"/>
        <v>3387.5920285627344</v>
      </c>
      <c r="W31" s="18">
        <v>3489.2197894196165</v>
      </c>
      <c r="X31" s="18">
        <v>3593.8963831022052</v>
      </c>
      <c r="Y31" s="18">
        <v>3701.7132745952713</v>
      </c>
      <c r="Z31" s="18">
        <f t="shared" ref="Z31:AA31" si="57">Y31*(0.92)</f>
        <v>3405.5762126276495</v>
      </c>
      <c r="AA31" s="18">
        <f t="shared" si="57"/>
        <v>3133.1301156174377</v>
      </c>
      <c r="AB31" s="18">
        <v>3227.1240190859608</v>
      </c>
      <c r="AC31" s="18">
        <v>3323.9377396585396</v>
      </c>
      <c r="AD31" s="18">
        <v>3423.6558718482961</v>
      </c>
      <c r="AE31" s="18">
        <v>3526.3655480037451</v>
      </c>
      <c r="AF31" s="18">
        <v>3632.1565144438573</v>
      </c>
      <c r="AG31" s="18">
        <v>3741.121209877173</v>
      </c>
      <c r="AH31" s="18">
        <v>3853.3548461734881</v>
      </c>
      <c r="AI31" s="18">
        <v>3968.9554915586928</v>
      </c>
      <c r="AJ31" s="18">
        <v>4088.0241563054537</v>
      </c>
      <c r="AK31" s="18">
        <v>4210.6648809946173</v>
      </c>
      <c r="AL31" s="18">
        <v>4336.9848274244559</v>
      </c>
      <c r="AM31" s="18">
        <v>4467.0943722471893</v>
      </c>
    </row>
    <row r="32" spans="2:39" s="17" customFormat="1" ht="21" customHeight="1" x14ac:dyDescent="0.25">
      <c r="B32" s="7" t="s">
        <v>52</v>
      </c>
      <c r="C32" s="15"/>
      <c r="D32" s="18">
        <v>350</v>
      </c>
      <c r="E32" s="18">
        <v>360.5</v>
      </c>
      <c r="F32" s="18">
        <v>371.315</v>
      </c>
      <c r="G32" s="18">
        <v>382.45445000000001</v>
      </c>
      <c r="H32" s="18">
        <v>393.92808350000001</v>
      </c>
      <c r="I32" s="18">
        <v>405.745926005</v>
      </c>
      <c r="J32" s="18">
        <v>417.91830378514999</v>
      </c>
      <c r="K32" s="18">
        <v>430.45585289870451</v>
      </c>
      <c r="L32" s="18">
        <v>443.36952848566563</v>
      </c>
      <c r="M32" s="18">
        <v>456.6706143402356</v>
      </c>
      <c r="N32" s="18">
        <v>470.37073277044266</v>
      </c>
      <c r="O32" s="18">
        <v>484.48185475355592</v>
      </c>
      <c r="P32" s="18">
        <v>499.01631039616262</v>
      </c>
      <c r="Q32" s="18">
        <v>513.98679970804756</v>
      </c>
      <c r="R32" s="18">
        <v>529.40640369928894</v>
      </c>
      <c r="S32" s="18">
        <v>545.28859581026768</v>
      </c>
      <c r="T32" s="18">
        <v>561.64725368457573</v>
      </c>
      <c r="U32" s="18">
        <v>578.49667129511306</v>
      </c>
      <c r="V32" s="18">
        <v>595.85157143396646</v>
      </c>
      <c r="W32" s="18">
        <v>613.7271185769855</v>
      </c>
      <c r="X32" s="18">
        <v>632.13893213429503</v>
      </c>
      <c r="Y32" s="18">
        <v>651.10310009832392</v>
      </c>
      <c r="Z32" s="18">
        <v>670.63619310127365</v>
      </c>
      <c r="AA32" s="18">
        <v>690.75527889431191</v>
      </c>
      <c r="AB32" s="18">
        <v>711.47793726114128</v>
      </c>
      <c r="AC32" s="18">
        <v>732.82227537897552</v>
      </c>
      <c r="AD32" s="18">
        <v>754.8069436403448</v>
      </c>
      <c r="AE32" s="18">
        <v>777.4511519495552</v>
      </c>
      <c r="AF32" s="18">
        <v>800.7746865080419</v>
      </c>
      <c r="AG32" s="18">
        <v>824.7979271032832</v>
      </c>
      <c r="AH32" s="18">
        <v>849.54186491638177</v>
      </c>
      <c r="AI32" s="18">
        <v>875.02812086387326</v>
      </c>
      <c r="AJ32" s="18">
        <v>901.27896448978947</v>
      </c>
      <c r="AK32" s="18">
        <v>928.31733342448319</v>
      </c>
      <c r="AL32" s="18">
        <v>956.16685342721769</v>
      </c>
      <c r="AM32" s="18">
        <v>984.85185903003423</v>
      </c>
    </row>
    <row r="33" spans="2:39" s="17" customFormat="1" ht="21" customHeight="1" x14ac:dyDescent="0.25">
      <c r="B33" s="7" t="s">
        <v>53</v>
      </c>
      <c r="C33" s="15"/>
      <c r="D33" s="18">
        <v>350</v>
      </c>
      <c r="E33" s="18">
        <v>360.5</v>
      </c>
      <c r="F33" s="18">
        <v>371.315</v>
      </c>
      <c r="G33" s="18">
        <v>382.45445000000001</v>
      </c>
      <c r="H33" s="18">
        <v>393.92808350000001</v>
      </c>
      <c r="I33" s="18">
        <v>405.745926005</v>
      </c>
      <c r="J33" s="18">
        <v>417.91830378514999</v>
      </c>
      <c r="K33" s="18">
        <v>430.45585289870451</v>
      </c>
      <c r="L33" s="18">
        <v>443.36952848566563</v>
      </c>
      <c r="M33" s="18">
        <v>456.6706143402356</v>
      </c>
      <c r="N33" s="18">
        <v>470.37073277044266</v>
      </c>
      <c r="O33" s="18">
        <v>484.48185475355592</v>
      </c>
      <c r="P33" s="18">
        <v>499.01631039616262</v>
      </c>
      <c r="Q33" s="18">
        <v>513.98679970804756</v>
      </c>
      <c r="R33" s="18">
        <v>529.40640369928894</v>
      </c>
      <c r="S33" s="18">
        <v>545.28859581026768</v>
      </c>
      <c r="T33" s="18">
        <v>561.64725368457573</v>
      </c>
      <c r="U33" s="18">
        <v>578.49667129511306</v>
      </c>
      <c r="V33" s="18">
        <v>595.85157143396646</v>
      </c>
      <c r="W33" s="18">
        <v>613.7271185769855</v>
      </c>
      <c r="X33" s="18">
        <v>632.13893213429503</v>
      </c>
      <c r="Y33" s="18">
        <v>651.10310009832392</v>
      </c>
      <c r="Z33" s="18">
        <v>670.63619310127365</v>
      </c>
      <c r="AA33" s="18">
        <v>690.75527889431191</v>
      </c>
      <c r="AB33" s="18">
        <v>711.47793726114128</v>
      </c>
      <c r="AC33" s="18">
        <v>732.82227537897552</v>
      </c>
      <c r="AD33" s="18">
        <v>754.8069436403448</v>
      </c>
      <c r="AE33" s="18">
        <v>777.4511519495552</v>
      </c>
      <c r="AF33" s="18">
        <v>800.7746865080419</v>
      </c>
      <c r="AG33" s="18">
        <v>824.7979271032832</v>
      </c>
      <c r="AH33" s="18">
        <v>849.54186491638177</v>
      </c>
      <c r="AI33" s="18">
        <v>875.02812086387326</v>
      </c>
      <c r="AJ33" s="18">
        <v>901.27896448978947</v>
      </c>
      <c r="AK33" s="18">
        <v>928.31733342448319</v>
      </c>
      <c r="AL33" s="18">
        <v>956.16685342721769</v>
      </c>
      <c r="AM33" s="18">
        <v>984.85185903003423</v>
      </c>
    </row>
    <row r="34" spans="2:39" s="17" customFormat="1" ht="21" customHeight="1" x14ac:dyDescent="0.25">
      <c r="B34" s="7" t="s">
        <v>54</v>
      </c>
      <c r="C34" s="15"/>
      <c r="D34" s="18">
        <v>25</v>
      </c>
      <c r="E34" s="18">
        <v>25.75</v>
      </c>
      <c r="F34" s="18">
        <v>26.522500000000001</v>
      </c>
      <c r="G34" s="18">
        <v>27.318175</v>
      </c>
      <c r="H34" s="18">
        <v>28.137720250000001</v>
      </c>
      <c r="I34" s="18">
        <v>28.981851857500001</v>
      </c>
      <c r="J34" s="18">
        <v>29.851307413225001</v>
      </c>
      <c r="K34" s="18">
        <v>30.74684663562175</v>
      </c>
      <c r="L34" s="18">
        <v>31.669252034690405</v>
      </c>
      <c r="M34" s="18">
        <v>32.619329595731116</v>
      </c>
      <c r="N34" s="18">
        <v>33.597909483603054</v>
      </c>
      <c r="O34" s="18">
        <v>34.605846768111149</v>
      </c>
      <c r="P34" s="18">
        <v>35.644022171154482</v>
      </c>
      <c r="Q34" s="18">
        <v>36.713342836289115</v>
      </c>
      <c r="R34" s="18">
        <v>37.814743121377788</v>
      </c>
      <c r="S34" s="18">
        <v>38.949185415019123</v>
      </c>
      <c r="T34" s="18">
        <v>40.117660977469697</v>
      </c>
      <c r="U34" s="18">
        <v>41.321190806793787</v>
      </c>
      <c r="V34" s="18">
        <v>42.560826530997602</v>
      </c>
      <c r="W34" s="18">
        <v>43.837651326927528</v>
      </c>
      <c r="X34" s="18">
        <v>45.152780866735355</v>
      </c>
      <c r="Y34" s="18">
        <v>46.507364292737414</v>
      </c>
      <c r="Z34" s="18">
        <v>47.902585221519537</v>
      </c>
      <c r="AA34" s="18">
        <v>49.339662778165128</v>
      </c>
      <c r="AB34" s="18">
        <v>50.819852661510083</v>
      </c>
      <c r="AC34" s="18">
        <v>52.344448241355387</v>
      </c>
      <c r="AD34" s="18">
        <v>53.914781688596051</v>
      </c>
      <c r="AE34" s="18">
        <v>55.532225139253931</v>
      </c>
      <c r="AF34" s="18">
        <v>57.198191893431549</v>
      </c>
      <c r="AG34" s="18">
        <v>58.914137650234494</v>
      </c>
      <c r="AH34" s="18">
        <v>60.681561779741529</v>
      </c>
      <c r="AI34" s="18">
        <v>62.502008633133777</v>
      </c>
      <c r="AJ34" s="18">
        <v>64.377068892127795</v>
      </c>
      <c r="AK34" s="18">
        <v>66.308380958891632</v>
      </c>
      <c r="AL34" s="18">
        <v>68.297632387658382</v>
      </c>
      <c r="AM34" s="18">
        <v>70.346561359288131</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58">SUM(D35, D34, D33, D32, D31 + D30)</f>
        <v>4225</v>
      </c>
      <c r="E36" s="19">
        <f t="shared" ref="E36:AL36" si="59">SUM(E35, E34, E33, E32, E31 + E30)</f>
        <v>4351.75</v>
      </c>
      <c r="F36" s="19">
        <f t="shared" si="59"/>
        <v>4482.3024999999998</v>
      </c>
      <c r="G36" s="19">
        <f t="shared" si="59"/>
        <v>4208.3250750000007</v>
      </c>
      <c r="H36" s="19">
        <f t="shared" si="59"/>
        <v>3958.8040472500006</v>
      </c>
      <c r="I36" s="19">
        <f t="shared" si="59"/>
        <v>3731.8590510675003</v>
      </c>
      <c r="J36" s="19">
        <f t="shared" si="59"/>
        <v>3843.8148225995255</v>
      </c>
      <c r="K36" s="19">
        <f t="shared" si="59"/>
        <v>3959.1292672775116</v>
      </c>
      <c r="L36" s="19">
        <f t="shared" si="59"/>
        <v>4077.903145295837</v>
      </c>
      <c r="M36" s="19">
        <f t="shared" si="59"/>
        <v>4200.2402396547122</v>
      </c>
      <c r="N36" s="19">
        <f t="shared" si="59"/>
        <v>4326.2474468443534</v>
      </c>
      <c r="O36" s="19">
        <f t="shared" si="59"/>
        <v>4456.0348702496849</v>
      </c>
      <c r="P36" s="19">
        <f t="shared" si="59"/>
        <v>4589.715916357175</v>
      </c>
      <c r="Q36" s="19">
        <f t="shared" si="59"/>
        <v>4727.4073938478905</v>
      </c>
      <c r="R36" s="19">
        <f t="shared" si="59"/>
        <v>4869.2296156633274</v>
      </c>
      <c r="S36" s="19">
        <f t="shared" si="59"/>
        <v>5015.3065041332266</v>
      </c>
      <c r="T36" s="19">
        <f t="shared" si="59"/>
        <v>5165.7656992572238</v>
      </c>
      <c r="U36" s="19">
        <f t="shared" si="59"/>
        <v>4880.4797818347743</v>
      </c>
      <c r="V36" s="19">
        <f t="shared" si="59"/>
        <v>4621.8559979616648</v>
      </c>
      <c r="W36" s="19">
        <f t="shared" si="59"/>
        <v>4760.5116779005148</v>
      </c>
      <c r="X36" s="19">
        <f t="shared" si="59"/>
        <v>4903.3270282375306</v>
      </c>
      <c r="Y36" s="19">
        <f t="shared" si="59"/>
        <v>5050.4268390846564</v>
      </c>
      <c r="Z36" s="19">
        <f t="shared" si="59"/>
        <v>4794.7511840517163</v>
      </c>
      <c r="AA36" s="19">
        <f t="shared" si="59"/>
        <v>4563.9803361842269</v>
      </c>
      <c r="AB36" s="19">
        <f t="shared" si="59"/>
        <v>4700.8997462697535</v>
      </c>
      <c r="AC36" s="19">
        <f t="shared" si="59"/>
        <v>4841.9267386578458</v>
      </c>
      <c r="AD36" s="19">
        <f t="shared" si="59"/>
        <v>4987.1845408175814</v>
      </c>
      <c r="AE36" s="19">
        <f t="shared" si="59"/>
        <v>5136.8000770421095</v>
      </c>
      <c r="AF36" s="19">
        <f t="shared" si="59"/>
        <v>5290.9040793533732</v>
      </c>
      <c r="AG36" s="19">
        <f t="shared" si="59"/>
        <v>5449.6312017339733</v>
      </c>
      <c r="AH36" s="19">
        <f t="shared" si="59"/>
        <v>5613.1201377859934</v>
      </c>
      <c r="AI36" s="19">
        <f t="shared" si="59"/>
        <v>5781.5137419195726</v>
      </c>
      <c r="AJ36" s="19">
        <f t="shared" si="59"/>
        <v>5954.9591541771606</v>
      </c>
      <c r="AK36" s="19">
        <f t="shared" si="59"/>
        <v>6133.6079288024757</v>
      </c>
      <c r="AL36" s="19">
        <f t="shared" si="59"/>
        <v>6317.6161666665503</v>
      </c>
      <c r="AM36" s="19">
        <f t="shared" si="58"/>
        <v>6507.1446516665455</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300</v>
      </c>
      <c r="E39" s="18">
        <v>309</v>
      </c>
      <c r="F39" s="18">
        <v>318.27</v>
      </c>
      <c r="G39" s="18">
        <v>327.81810000000002</v>
      </c>
      <c r="H39" s="18">
        <v>337.65264300000001</v>
      </c>
      <c r="I39" s="18">
        <v>347.78222228999999</v>
      </c>
      <c r="J39" s="18">
        <v>358.21568895870001</v>
      </c>
      <c r="K39" s="18">
        <v>368.96215962746101</v>
      </c>
      <c r="L39" s="18">
        <v>380.03102441628482</v>
      </c>
      <c r="M39" s="18">
        <v>391.4319551487734</v>
      </c>
      <c r="N39" s="18">
        <v>403.17491380323662</v>
      </c>
      <c r="O39" s="18">
        <v>415.27016121733374</v>
      </c>
      <c r="P39" s="18">
        <v>427.72826605385376</v>
      </c>
      <c r="Q39" s="18">
        <v>440.56011403546938</v>
      </c>
      <c r="R39" s="18">
        <v>453.77691745653345</v>
      </c>
      <c r="S39" s="18">
        <v>467.39022498022945</v>
      </c>
      <c r="T39" s="18">
        <v>481.41193172963636</v>
      </c>
      <c r="U39" s="18">
        <v>495.85428968152547</v>
      </c>
      <c r="V39" s="18">
        <v>510.72991837197122</v>
      </c>
      <c r="W39" s="18">
        <v>526.05181592313033</v>
      </c>
      <c r="X39" s="18">
        <v>541.83337040082426</v>
      </c>
      <c r="Y39" s="18">
        <v>558.08837151284899</v>
      </c>
      <c r="Z39" s="18">
        <v>574.83102265823447</v>
      </c>
      <c r="AA39" s="18">
        <v>592.07595333798156</v>
      </c>
      <c r="AB39" s="18">
        <v>609.838231938121</v>
      </c>
      <c r="AC39" s="18">
        <v>628.13337889626462</v>
      </c>
      <c r="AD39" s="18">
        <v>646.97738026315255</v>
      </c>
      <c r="AE39" s="18">
        <v>666.38670167104715</v>
      </c>
      <c r="AF39" s="18">
        <v>686.37830272117856</v>
      </c>
      <c r="AG39" s="18">
        <v>706.96965180281393</v>
      </c>
      <c r="AH39" s="18">
        <v>728.1787413568984</v>
      </c>
      <c r="AI39" s="18">
        <v>750.0241035976054</v>
      </c>
      <c r="AJ39" s="18">
        <v>772.52482670553354</v>
      </c>
      <c r="AK39" s="18">
        <v>795.70057150669959</v>
      </c>
      <c r="AL39" s="18">
        <v>819.57158865190058</v>
      </c>
      <c r="AM39" s="18">
        <v>844.15873631145757</v>
      </c>
    </row>
    <row r="40" spans="2:39" s="17" customFormat="1" ht="21" customHeight="1" x14ac:dyDescent="0.25">
      <c r="B40" s="7" t="s">
        <v>60</v>
      </c>
      <c r="C40" s="15"/>
      <c r="D40" s="18">
        <v>200</v>
      </c>
      <c r="E40" s="18">
        <f t="shared" ref="E40:G40" si="60">D40*(0.92)</f>
        <v>184</v>
      </c>
      <c r="F40" s="18">
        <f t="shared" si="60"/>
        <v>169.28</v>
      </c>
      <c r="G40" s="18">
        <f t="shared" si="60"/>
        <v>155.73760000000001</v>
      </c>
      <c r="H40" s="18">
        <v>160.40972800000003</v>
      </c>
      <c r="I40" s="18">
        <v>165.22201984000003</v>
      </c>
      <c r="J40" s="18">
        <v>170.17868043520002</v>
      </c>
      <c r="K40" s="18">
        <v>175.28404084825604</v>
      </c>
      <c r="L40" s="18">
        <v>180.54256207370372</v>
      </c>
      <c r="M40" s="18">
        <v>185.95883893591483</v>
      </c>
      <c r="N40" s="18">
        <v>191.53760410399227</v>
      </c>
      <c r="O40" s="18">
        <v>197.28373222711204</v>
      </c>
      <c r="P40" s="18">
        <v>203.2022441939254</v>
      </c>
      <c r="Q40" s="18">
        <v>209.29831151974315</v>
      </c>
      <c r="R40" s="18">
        <v>215.57726086533546</v>
      </c>
      <c r="S40" s="18">
        <v>222.04457869129553</v>
      </c>
      <c r="T40" s="18">
        <v>228.70591605203441</v>
      </c>
      <c r="U40" s="18">
        <v>235.56709353359545</v>
      </c>
      <c r="V40" s="18">
        <v>242.63410633960333</v>
      </c>
      <c r="W40" s="18">
        <v>249.91312952979143</v>
      </c>
      <c r="X40" s="18">
        <v>257.41052341568519</v>
      </c>
      <c r="Y40" s="18">
        <v>265.13283911815574</v>
      </c>
      <c r="Z40" s="18">
        <v>273.0868242917004</v>
      </c>
      <c r="AA40" s="18">
        <v>281.2794290204514</v>
      </c>
      <c r="AB40" s="18">
        <v>289.71781189106497</v>
      </c>
      <c r="AC40" s="18">
        <v>298.40934624779692</v>
      </c>
      <c r="AD40" s="18">
        <v>307.36162663523083</v>
      </c>
      <c r="AE40" s="18">
        <v>316.58247543428774</v>
      </c>
      <c r="AF40" s="18">
        <v>326.07994969731641</v>
      </c>
      <c r="AG40" s="18">
        <v>335.8623481882359</v>
      </c>
      <c r="AH40" s="18">
        <v>345.93821863388297</v>
      </c>
      <c r="AI40" s="18">
        <v>356.31636519289947</v>
      </c>
      <c r="AJ40" s="18">
        <v>367.00585614868646</v>
      </c>
      <c r="AK40" s="18">
        <v>378.01603183314705</v>
      </c>
      <c r="AL40" s="18">
        <v>389.35651278814146</v>
      </c>
      <c r="AM40" s="18">
        <v>401.03720817178572</v>
      </c>
    </row>
    <row r="41" spans="2:39" s="17" customFormat="1" ht="21" customHeight="1" x14ac:dyDescent="0.25">
      <c r="B41" s="7" t="s">
        <v>61</v>
      </c>
      <c r="C41" s="15"/>
      <c r="D41" s="18">
        <v>200</v>
      </c>
      <c r="E41" s="18">
        <v>206</v>
      </c>
      <c r="F41" s="18">
        <v>212.18</v>
      </c>
      <c r="G41" s="18">
        <v>218.5454</v>
      </c>
      <c r="H41" s="18">
        <v>225.10176200000001</v>
      </c>
      <c r="I41" s="18">
        <v>231.85481486</v>
      </c>
      <c r="J41" s="18">
        <v>238.81045930580001</v>
      </c>
      <c r="K41" s="18">
        <v>245.974773084974</v>
      </c>
      <c r="L41" s="18">
        <v>253.35401627752324</v>
      </c>
      <c r="M41" s="18">
        <v>260.95463676584893</v>
      </c>
      <c r="N41" s="18">
        <v>268.78327586882443</v>
      </c>
      <c r="O41" s="18">
        <v>276.8467741448892</v>
      </c>
      <c r="P41" s="18">
        <v>285.15217736923586</v>
      </c>
      <c r="Q41" s="18">
        <v>293.70674269031292</v>
      </c>
      <c r="R41" s="18">
        <v>302.5179449710223</v>
      </c>
      <c r="S41" s="18">
        <v>311.59348332015298</v>
      </c>
      <c r="T41" s="18">
        <v>320.94128781975758</v>
      </c>
      <c r="U41" s="18">
        <v>330.5695264543503</v>
      </c>
      <c r="V41" s="18">
        <v>340.48661224798082</v>
      </c>
      <c r="W41" s="18">
        <v>350.70121061542022</v>
      </c>
      <c r="X41" s="18">
        <v>361.22224693388284</v>
      </c>
      <c r="Y41" s="18">
        <v>372.05891434189931</v>
      </c>
      <c r="Z41" s="18">
        <v>383.2206817721563</v>
      </c>
      <c r="AA41" s="18">
        <v>394.71730222532102</v>
      </c>
      <c r="AB41" s="18">
        <v>406.55882129208067</v>
      </c>
      <c r="AC41" s="18">
        <v>418.7555859308431</v>
      </c>
      <c r="AD41" s="18">
        <v>431.31825350876841</v>
      </c>
      <c r="AE41" s="18">
        <v>444.25780111403145</v>
      </c>
      <c r="AF41" s="18">
        <v>457.58553514745239</v>
      </c>
      <c r="AG41" s="18">
        <v>471.31310120187595</v>
      </c>
      <c r="AH41" s="18">
        <v>485.45249423793223</v>
      </c>
      <c r="AI41" s="18">
        <v>500.01606906507021</v>
      </c>
      <c r="AJ41" s="18">
        <v>515.01655113702236</v>
      </c>
      <c r="AK41" s="18">
        <v>530.46704767113306</v>
      </c>
      <c r="AL41" s="18">
        <v>546.38105910126706</v>
      </c>
      <c r="AM41" s="18">
        <v>562.77249087430505</v>
      </c>
    </row>
    <row r="42" spans="2:39" s="17" customFormat="1" ht="21" customHeight="1" x14ac:dyDescent="0.25">
      <c r="B42" s="6" t="s">
        <v>62</v>
      </c>
      <c r="C42" s="15"/>
      <c r="D42" s="18">
        <f t="shared" ref="D42" si="61">SUM(D41, D40, D39 + D38)</f>
        <v>700</v>
      </c>
      <c r="E42" s="18">
        <v>700</v>
      </c>
      <c r="F42" s="18">
        <v>700</v>
      </c>
      <c r="G42" s="18">
        <v>700</v>
      </c>
      <c r="H42" s="18">
        <v>700</v>
      </c>
      <c r="I42" s="18">
        <v>700</v>
      </c>
      <c r="J42" s="18">
        <v>700</v>
      </c>
      <c r="K42" s="18">
        <v>700</v>
      </c>
      <c r="L42" s="18">
        <v>700</v>
      </c>
      <c r="M42" s="18">
        <v>700</v>
      </c>
      <c r="N42" s="18">
        <v>700</v>
      </c>
      <c r="O42" s="18">
        <v>700</v>
      </c>
      <c r="P42" s="18">
        <v>700</v>
      </c>
      <c r="Q42" s="18">
        <v>700</v>
      </c>
      <c r="R42" s="18">
        <v>700</v>
      </c>
      <c r="S42" s="18">
        <v>700</v>
      </c>
      <c r="T42" s="18">
        <v>700</v>
      </c>
      <c r="U42" s="18">
        <v>700</v>
      </c>
      <c r="V42" s="18">
        <v>700</v>
      </c>
      <c r="W42" s="18">
        <v>700</v>
      </c>
      <c r="X42" s="18">
        <v>700</v>
      </c>
      <c r="Y42" s="18">
        <v>700</v>
      </c>
      <c r="Z42" s="18">
        <v>700</v>
      </c>
      <c r="AA42" s="18">
        <v>700</v>
      </c>
      <c r="AB42" s="18">
        <v>700</v>
      </c>
      <c r="AC42" s="18">
        <v>700</v>
      </c>
      <c r="AD42" s="18">
        <v>700</v>
      </c>
      <c r="AE42" s="18">
        <v>700</v>
      </c>
      <c r="AF42" s="18">
        <v>700</v>
      </c>
      <c r="AG42" s="18">
        <v>700</v>
      </c>
      <c r="AH42" s="18">
        <v>700</v>
      </c>
      <c r="AI42" s="18">
        <v>700</v>
      </c>
      <c r="AJ42" s="18">
        <v>700</v>
      </c>
      <c r="AK42" s="18">
        <v>700</v>
      </c>
      <c r="AL42" s="18">
        <v>700</v>
      </c>
      <c r="AM42" s="18">
        <v>700</v>
      </c>
    </row>
    <row r="43" spans="2:39" s="17" customFormat="1" ht="21" customHeight="1" x14ac:dyDescent="0.25">
      <c r="B43" s="5" t="s">
        <v>63</v>
      </c>
      <c r="C43" s="15"/>
      <c r="D43" s="19">
        <f t="shared" ref="D43:AM43" si="62">SUM(D41, D40, D39, D38, D37, D35, D34, D33, D32, D31, D30, D28, D27, D26, D25, D24, D22, D21, D20, D19, D18, D17, D16, D15, D14 + D13)</f>
        <v>10325</v>
      </c>
      <c r="E43" s="19">
        <f t="shared" ref="E43:AL43" si="63">SUM(E41, E40, E39, E38, E37, E35, E34, E33, E32, E31, E30, E28, E27, E26, E25, E24, E22, E21, E20, E19, E18, E17, E16, E15, E14 + E13)</f>
        <v>10612.75</v>
      </c>
      <c r="F43" s="19">
        <f t="shared" si="63"/>
        <v>10882.567500000001</v>
      </c>
      <c r="G43" s="19">
        <f t="shared" si="63"/>
        <v>10680.063875</v>
      </c>
      <c r="H43" s="19">
        <f t="shared" si="63"/>
        <v>10324.19508625</v>
      </c>
      <c r="I43" s="19">
        <f t="shared" si="63"/>
        <v>10011.751890237501</v>
      </c>
      <c r="J43" s="19">
        <f t="shared" si="63"/>
        <v>10312.104446944628</v>
      </c>
      <c r="K43" s="19">
        <f t="shared" si="63"/>
        <v>10621.467580352964</v>
      </c>
      <c r="L43" s="19">
        <f t="shared" si="63"/>
        <v>10669.539357370084</v>
      </c>
      <c r="M43" s="19">
        <f t="shared" si="63"/>
        <v>10740.699067729192</v>
      </c>
      <c r="N43" s="19">
        <f t="shared" si="63"/>
        <v>10833.907687028033</v>
      </c>
      <c r="O43" s="19">
        <f t="shared" si="63"/>
        <v>11073.096937606588</v>
      </c>
      <c r="P43" s="19">
        <f t="shared" si="63"/>
        <v>11405.289845734786</v>
      </c>
      <c r="Q43" s="19">
        <f t="shared" si="63"/>
        <v>11747.448541106829</v>
      </c>
      <c r="R43" s="19">
        <f t="shared" si="63"/>
        <v>11777.677721590211</v>
      </c>
      <c r="S43" s="19">
        <f t="shared" si="63"/>
        <v>11834.589319548082</v>
      </c>
      <c r="T43" s="19">
        <f t="shared" si="63"/>
        <v>12189.626999134525</v>
      </c>
      <c r="U43" s="19">
        <f t="shared" si="63"/>
        <v>12023.518620775503</v>
      </c>
      <c r="V43" s="19">
        <f t="shared" si="63"/>
        <v>11894.970766132355</v>
      </c>
      <c r="W43" s="19">
        <f t="shared" si="63"/>
        <v>12251.819889116328</v>
      </c>
      <c r="X43" s="19">
        <f t="shared" si="63"/>
        <v>12619.374485789816</v>
      </c>
      <c r="Y43" s="19">
        <f t="shared" si="63"/>
        <v>12632.60771630391</v>
      </c>
      <c r="Z43" s="19">
        <f t="shared" si="63"/>
        <v>12268.277323852713</v>
      </c>
      <c r="AA43" s="19">
        <f t="shared" si="63"/>
        <v>12261.712260179253</v>
      </c>
      <c r="AB43" s="19">
        <f t="shared" si="63"/>
        <v>12284.10879525563</v>
      </c>
      <c r="AC43" s="19">
        <f t="shared" si="63"/>
        <v>12261.00567872138</v>
      </c>
      <c r="AD43" s="19">
        <f t="shared" si="63"/>
        <v>12560.932549544286</v>
      </c>
      <c r="AE43" s="19">
        <f t="shared" si="63"/>
        <v>12937.760526030614</v>
      </c>
      <c r="AF43" s="19">
        <f t="shared" si="63"/>
        <v>13048.062304080984</v>
      </c>
      <c r="AG43" s="19">
        <f t="shared" si="63"/>
        <v>13439.504173203413</v>
      </c>
      <c r="AH43" s="19">
        <f t="shared" si="63"/>
        <v>13513.598434207681</v>
      </c>
      <c r="AI43" s="19">
        <f t="shared" si="63"/>
        <v>13919.006387233911</v>
      </c>
      <c r="AJ43" s="19">
        <f t="shared" si="63"/>
        <v>14264.155526913415</v>
      </c>
      <c r="AK43" s="19">
        <f t="shared" si="63"/>
        <v>14404.395014516216</v>
      </c>
      <c r="AL43" s="19">
        <f t="shared" si="63"/>
        <v>14571.856501003471</v>
      </c>
      <c r="AM43" s="19">
        <f t="shared" si="62"/>
        <v>15009.012196033573</v>
      </c>
    </row>
    <row r="44" spans="2:39" s="21" customFormat="1" ht="21" customHeight="1" x14ac:dyDescent="0.25">
      <c r="B44" s="5" t="s">
        <v>64</v>
      </c>
      <c r="C44" s="22"/>
      <c r="D44" s="23">
        <f t="shared" ref="D44:AM44" si="64">D12-D43</f>
        <v>-10325</v>
      </c>
      <c r="E44" s="23">
        <f t="shared" ref="E44:AL44" si="65">E12-E43</f>
        <v>-10612.75</v>
      </c>
      <c r="F44" s="23">
        <f t="shared" si="65"/>
        <v>-10882.567500000001</v>
      </c>
      <c r="G44" s="23">
        <f t="shared" si="65"/>
        <v>-10680.063875</v>
      </c>
      <c r="H44" s="23">
        <f t="shared" si="65"/>
        <v>-10324.19508625</v>
      </c>
      <c r="I44" s="23">
        <f t="shared" si="65"/>
        <v>-10011.751890237501</v>
      </c>
      <c r="J44" s="23">
        <f t="shared" si="65"/>
        <v>-10312.104446944628</v>
      </c>
      <c r="K44" s="23">
        <f t="shared" si="65"/>
        <v>-10621.467580352964</v>
      </c>
      <c r="L44" s="23">
        <f t="shared" si="65"/>
        <v>-10669.539357370084</v>
      </c>
      <c r="M44" s="23">
        <f t="shared" si="65"/>
        <v>-10740.699067729192</v>
      </c>
      <c r="N44" s="23">
        <f t="shared" si="65"/>
        <v>-10833.907687028033</v>
      </c>
      <c r="O44" s="23">
        <f t="shared" si="65"/>
        <v>-11073.096937606588</v>
      </c>
      <c r="P44" s="23">
        <f t="shared" si="65"/>
        <v>-11405.289845734786</v>
      </c>
      <c r="Q44" s="23">
        <f t="shared" si="65"/>
        <v>-11747.448541106829</v>
      </c>
      <c r="R44" s="23">
        <f t="shared" si="65"/>
        <v>-11777.677721590211</v>
      </c>
      <c r="S44" s="23">
        <f t="shared" si="65"/>
        <v>-11834.589319548082</v>
      </c>
      <c r="T44" s="23">
        <f t="shared" si="65"/>
        <v>-12189.626999134525</v>
      </c>
      <c r="U44" s="23">
        <f t="shared" si="65"/>
        <v>-12023.518620775503</v>
      </c>
      <c r="V44" s="23">
        <f t="shared" si="65"/>
        <v>-11894.970766132355</v>
      </c>
      <c r="W44" s="23">
        <f t="shared" si="65"/>
        <v>-12251.819889116328</v>
      </c>
      <c r="X44" s="23">
        <f t="shared" si="65"/>
        <v>-12619.374485789816</v>
      </c>
      <c r="Y44" s="23">
        <f t="shared" si="65"/>
        <v>-12632.60771630391</v>
      </c>
      <c r="Z44" s="23">
        <f t="shared" si="65"/>
        <v>-12268.277323852713</v>
      </c>
      <c r="AA44" s="23">
        <f t="shared" si="65"/>
        <v>-12261.712260179253</v>
      </c>
      <c r="AB44" s="23">
        <f t="shared" si="65"/>
        <v>-12284.10879525563</v>
      </c>
      <c r="AC44" s="23">
        <f t="shared" si="65"/>
        <v>-12261.00567872138</v>
      </c>
      <c r="AD44" s="23">
        <f t="shared" si="65"/>
        <v>-12560.932549544286</v>
      </c>
      <c r="AE44" s="23">
        <f t="shared" si="65"/>
        <v>-12937.760526030614</v>
      </c>
      <c r="AF44" s="23">
        <f t="shared" si="65"/>
        <v>-13048.062304080984</v>
      </c>
      <c r="AG44" s="23">
        <f t="shared" si="65"/>
        <v>-13439.504173203413</v>
      </c>
      <c r="AH44" s="23">
        <f t="shared" si="65"/>
        <v>-13513.598434207681</v>
      </c>
      <c r="AI44" s="23">
        <f t="shared" si="65"/>
        <v>-13919.006387233911</v>
      </c>
      <c r="AJ44" s="23">
        <f t="shared" si="65"/>
        <v>-14264.155526913415</v>
      </c>
      <c r="AK44" s="23">
        <f t="shared" si="65"/>
        <v>-14404.395014516216</v>
      </c>
      <c r="AL44" s="23">
        <f t="shared" si="65"/>
        <v>-14571.856501003471</v>
      </c>
      <c r="AM44" s="23">
        <f t="shared" si="64"/>
        <v>-15009.012196033573</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66">SUM(D46 + D45)</f>
        <v>0</v>
      </c>
      <c r="E47" s="19">
        <f t="shared" si="66"/>
        <v>0</v>
      </c>
      <c r="F47" s="19">
        <f t="shared" si="66"/>
        <v>0</v>
      </c>
      <c r="G47" s="19">
        <f t="shared" si="66"/>
        <v>0</v>
      </c>
      <c r="H47" s="19">
        <f t="shared" si="66"/>
        <v>0</v>
      </c>
      <c r="I47" s="19">
        <f t="shared" si="66"/>
        <v>0</v>
      </c>
      <c r="J47" s="19">
        <f t="shared" si="66"/>
        <v>0</v>
      </c>
      <c r="K47" s="19">
        <f t="shared" si="66"/>
        <v>0</v>
      </c>
      <c r="L47" s="19">
        <f t="shared" si="66"/>
        <v>0</v>
      </c>
      <c r="M47" s="19">
        <f t="shared" si="66"/>
        <v>0</v>
      </c>
      <c r="N47" s="19">
        <f t="shared" si="66"/>
        <v>0</v>
      </c>
      <c r="O47" s="19">
        <f t="shared" si="66"/>
        <v>0</v>
      </c>
      <c r="P47" s="19">
        <f t="shared" si="66"/>
        <v>0</v>
      </c>
      <c r="Q47" s="19">
        <f t="shared" si="66"/>
        <v>0</v>
      </c>
      <c r="R47" s="19">
        <f t="shared" si="66"/>
        <v>0</v>
      </c>
      <c r="S47" s="19">
        <f t="shared" si="66"/>
        <v>0</v>
      </c>
      <c r="T47" s="19">
        <f t="shared" si="66"/>
        <v>0</v>
      </c>
      <c r="U47" s="19">
        <f t="shared" si="66"/>
        <v>0</v>
      </c>
      <c r="V47" s="19">
        <f t="shared" si="66"/>
        <v>0</v>
      </c>
      <c r="W47" s="19">
        <f t="shared" si="66"/>
        <v>0</v>
      </c>
      <c r="X47" s="19">
        <f t="shared" si="66"/>
        <v>0</v>
      </c>
      <c r="Y47" s="19">
        <f t="shared" si="66"/>
        <v>0</v>
      </c>
      <c r="Z47" s="19">
        <f t="shared" si="66"/>
        <v>0</v>
      </c>
      <c r="AA47" s="19">
        <f t="shared" si="66"/>
        <v>0</v>
      </c>
      <c r="AB47" s="19">
        <f t="shared" si="66"/>
        <v>0</v>
      </c>
      <c r="AC47" s="19">
        <f t="shared" si="66"/>
        <v>0</v>
      </c>
      <c r="AD47" s="19">
        <f t="shared" si="66"/>
        <v>0</v>
      </c>
      <c r="AE47" s="19">
        <f t="shared" si="66"/>
        <v>0</v>
      </c>
      <c r="AF47" s="19">
        <f t="shared" si="66"/>
        <v>0</v>
      </c>
      <c r="AG47" s="19">
        <f t="shared" si="66"/>
        <v>0</v>
      </c>
      <c r="AH47" s="19">
        <f t="shared" si="66"/>
        <v>0</v>
      </c>
      <c r="AI47" s="19">
        <f t="shared" si="66"/>
        <v>0</v>
      </c>
      <c r="AJ47" s="19">
        <f t="shared" si="66"/>
        <v>0</v>
      </c>
      <c r="AK47" s="19">
        <f t="shared" si="66"/>
        <v>0</v>
      </c>
      <c r="AL47" s="19">
        <f t="shared" si="66"/>
        <v>0</v>
      </c>
      <c r="AM47" s="19">
        <f t="shared" ref="AM47" si="67">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68">SUM(D50, D49 + D48)</f>
        <v>0</v>
      </c>
      <c r="E51" s="19">
        <f t="shared" ref="E51:AL51" si="69">SUM(E50, E49 + E48)</f>
        <v>0</v>
      </c>
      <c r="F51" s="19">
        <f t="shared" si="69"/>
        <v>0</v>
      </c>
      <c r="G51" s="19">
        <f t="shared" si="69"/>
        <v>0</v>
      </c>
      <c r="H51" s="19">
        <f t="shared" si="69"/>
        <v>0</v>
      </c>
      <c r="I51" s="19">
        <f t="shared" si="69"/>
        <v>0</v>
      </c>
      <c r="J51" s="19">
        <f t="shared" si="69"/>
        <v>0</v>
      </c>
      <c r="K51" s="19">
        <f t="shared" si="69"/>
        <v>0</v>
      </c>
      <c r="L51" s="19">
        <f t="shared" si="69"/>
        <v>0</v>
      </c>
      <c r="M51" s="19">
        <f t="shared" si="69"/>
        <v>0</v>
      </c>
      <c r="N51" s="19">
        <f t="shared" si="69"/>
        <v>0</v>
      </c>
      <c r="O51" s="19">
        <f t="shared" si="69"/>
        <v>0</v>
      </c>
      <c r="P51" s="19">
        <f t="shared" si="69"/>
        <v>0</v>
      </c>
      <c r="Q51" s="19">
        <f t="shared" si="69"/>
        <v>0</v>
      </c>
      <c r="R51" s="19">
        <f t="shared" si="69"/>
        <v>0</v>
      </c>
      <c r="S51" s="19">
        <f t="shared" si="69"/>
        <v>0</v>
      </c>
      <c r="T51" s="19">
        <f t="shared" si="69"/>
        <v>0</v>
      </c>
      <c r="U51" s="19">
        <f t="shared" si="69"/>
        <v>0</v>
      </c>
      <c r="V51" s="19">
        <f t="shared" si="69"/>
        <v>0</v>
      </c>
      <c r="W51" s="19">
        <f t="shared" si="69"/>
        <v>0</v>
      </c>
      <c r="X51" s="19">
        <f t="shared" si="69"/>
        <v>0</v>
      </c>
      <c r="Y51" s="19">
        <f t="shared" si="69"/>
        <v>0</v>
      </c>
      <c r="Z51" s="19">
        <f t="shared" si="69"/>
        <v>0</v>
      </c>
      <c r="AA51" s="19">
        <f t="shared" si="69"/>
        <v>0</v>
      </c>
      <c r="AB51" s="19">
        <f t="shared" si="69"/>
        <v>0</v>
      </c>
      <c r="AC51" s="19">
        <f t="shared" si="69"/>
        <v>0</v>
      </c>
      <c r="AD51" s="19">
        <f t="shared" si="69"/>
        <v>0</v>
      </c>
      <c r="AE51" s="19">
        <f t="shared" si="69"/>
        <v>0</v>
      </c>
      <c r="AF51" s="19">
        <f t="shared" si="69"/>
        <v>0</v>
      </c>
      <c r="AG51" s="19">
        <f t="shared" si="69"/>
        <v>0</v>
      </c>
      <c r="AH51" s="19">
        <f t="shared" si="69"/>
        <v>0</v>
      </c>
      <c r="AI51" s="19">
        <f t="shared" si="69"/>
        <v>0</v>
      </c>
      <c r="AJ51" s="19">
        <f t="shared" si="69"/>
        <v>0</v>
      </c>
      <c r="AK51" s="19">
        <f t="shared" si="69"/>
        <v>0</v>
      </c>
      <c r="AL51" s="19">
        <f t="shared" si="69"/>
        <v>0</v>
      </c>
      <c r="AM51" s="19">
        <f t="shared" si="68"/>
        <v>0</v>
      </c>
    </row>
    <row r="52" spans="2:39" s="21" customFormat="1" ht="21" customHeight="1" x14ac:dyDescent="0.25">
      <c r="B52" s="5" t="s">
        <v>72</v>
      </c>
      <c r="C52" s="22"/>
      <c r="D52" s="23">
        <f t="shared" ref="D52:AM52" si="70">D47-D51</f>
        <v>0</v>
      </c>
      <c r="E52" s="23">
        <f t="shared" ref="E52:AL52" si="71">E47-E51</f>
        <v>0</v>
      </c>
      <c r="F52" s="23">
        <f t="shared" si="71"/>
        <v>0</v>
      </c>
      <c r="G52" s="23">
        <f t="shared" si="71"/>
        <v>0</v>
      </c>
      <c r="H52" s="23">
        <f t="shared" si="71"/>
        <v>0</v>
      </c>
      <c r="I52" s="23">
        <f t="shared" si="71"/>
        <v>0</v>
      </c>
      <c r="J52" s="23">
        <f t="shared" si="71"/>
        <v>0</v>
      </c>
      <c r="K52" s="23">
        <f t="shared" si="71"/>
        <v>0</v>
      </c>
      <c r="L52" s="23">
        <f t="shared" si="71"/>
        <v>0</v>
      </c>
      <c r="M52" s="23">
        <f t="shared" si="71"/>
        <v>0</v>
      </c>
      <c r="N52" s="23">
        <f t="shared" si="71"/>
        <v>0</v>
      </c>
      <c r="O52" s="23">
        <f t="shared" si="71"/>
        <v>0</v>
      </c>
      <c r="P52" s="23">
        <f t="shared" si="71"/>
        <v>0</v>
      </c>
      <c r="Q52" s="23">
        <f t="shared" si="71"/>
        <v>0</v>
      </c>
      <c r="R52" s="23">
        <f t="shared" si="71"/>
        <v>0</v>
      </c>
      <c r="S52" s="23">
        <f t="shared" si="71"/>
        <v>0</v>
      </c>
      <c r="T52" s="23">
        <f t="shared" si="71"/>
        <v>0</v>
      </c>
      <c r="U52" s="23">
        <f t="shared" si="71"/>
        <v>0</v>
      </c>
      <c r="V52" s="23">
        <f t="shared" si="71"/>
        <v>0</v>
      </c>
      <c r="W52" s="23">
        <f t="shared" si="71"/>
        <v>0</v>
      </c>
      <c r="X52" s="23">
        <f t="shared" si="71"/>
        <v>0</v>
      </c>
      <c r="Y52" s="23">
        <f t="shared" si="71"/>
        <v>0</v>
      </c>
      <c r="Z52" s="23">
        <f t="shared" si="71"/>
        <v>0</v>
      </c>
      <c r="AA52" s="23">
        <f t="shared" si="71"/>
        <v>0</v>
      </c>
      <c r="AB52" s="23">
        <f t="shared" si="71"/>
        <v>0</v>
      </c>
      <c r="AC52" s="23">
        <f t="shared" si="71"/>
        <v>0</v>
      </c>
      <c r="AD52" s="23">
        <f t="shared" si="71"/>
        <v>0</v>
      </c>
      <c r="AE52" s="23">
        <f t="shared" si="71"/>
        <v>0</v>
      </c>
      <c r="AF52" s="23">
        <f t="shared" si="71"/>
        <v>0</v>
      </c>
      <c r="AG52" s="23">
        <f t="shared" si="71"/>
        <v>0</v>
      </c>
      <c r="AH52" s="23">
        <f t="shared" si="71"/>
        <v>0</v>
      </c>
      <c r="AI52" s="23">
        <f t="shared" si="71"/>
        <v>0</v>
      </c>
      <c r="AJ52" s="23">
        <f t="shared" si="71"/>
        <v>0</v>
      </c>
      <c r="AK52" s="23">
        <f t="shared" si="71"/>
        <v>0</v>
      </c>
      <c r="AL52" s="23">
        <f t="shared" si="71"/>
        <v>0</v>
      </c>
      <c r="AM52" s="23">
        <f t="shared" si="70"/>
        <v>0</v>
      </c>
    </row>
    <row r="53" spans="2:39" s="21" customFormat="1" ht="21" customHeight="1" x14ac:dyDescent="0.25">
      <c r="B53" s="5" t="s">
        <v>73</v>
      </c>
      <c r="C53" s="22"/>
      <c r="D53" s="23">
        <f t="shared" ref="D53:AM53" si="72">D44+D52</f>
        <v>-10325</v>
      </c>
      <c r="E53" s="23">
        <f t="shared" ref="E53:AL53" si="73">E44+E52</f>
        <v>-10612.75</v>
      </c>
      <c r="F53" s="23">
        <f t="shared" si="73"/>
        <v>-10882.567500000001</v>
      </c>
      <c r="G53" s="23">
        <f t="shared" si="73"/>
        <v>-10680.063875</v>
      </c>
      <c r="H53" s="23">
        <f t="shared" si="73"/>
        <v>-10324.19508625</v>
      </c>
      <c r="I53" s="23">
        <f t="shared" si="73"/>
        <v>-10011.751890237501</v>
      </c>
      <c r="J53" s="23">
        <f t="shared" si="73"/>
        <v>-10312.104446944628</v>
      </c>
      <c r="K53" s="23">
        <f t="shared" si="73"/>
        <v>-10621.467580352964</v>
      </c>
      <c r="L53" s="23">
        <f t="shared" si="73"/>
        <v>-10669.539357370084</v>
      </c>
      <c r="M53" s="23">
        <f t="shared" si="73"/>
        <v>-10740.699067729192</v>
      </c>
      <c r="N53" s="23">
        <f t="shared" si="73"/>
        <v>-10833.907687028033</v>
      </c>
      <c r="O53" s="23">
        <f t="shared" si="73"/>
        <v>-11073.096937606588</v>
      </c>
      <c r="P53" s="23">
        <f t="shared" si="73"/>
        <v>-11405.289845734786</v>
      </c>
      <c r="Q53" s="23">
        <f t="shared" si="73"/>
        <v>-11747.448541106829</v>
      </c>
      <c r="R53" s="23">
        <f t="shared" si="73"/>
        <v>-11777.677721590211</v>
      </c>
      <c r="S53" s="23">
        <f t="shared" si="73"/>
        <v>-11834.589319548082</v>
      </c>
      <c r="T53" s="23">
        <f t="shared" si="73"/>
        <v>-12189.626999134525</v>
      </c>
      <c r="U53" s="23">
        <f t="shared" si="73"/>
        <v>-12023.518620775503</v>
      </c>
      <c r="V53" s="23">
        <f t="shared" si="73"/>
        <v>-11894.970766132355</v>
      </c>
      <c r="W53" s="23">
        <f t="shared" si="73"/>
        <v>-12251.819889116328</v>
      </c>
      <c r="X53" s="23">
        <f t="shared" si="73"/>
        <v>-12619.374485789816</v>
      </c>
      <c r="Y53" s="23">
        <f t="shared" si="73"/>
        <v>-12632.60771630391</v>
      </c>
      <c r="Z53" s="23">
        <f t="shared" si="73"/>
        <v>-12268.277323852713</v>
      </c>
      <c r="AA53" s="23">
        <f t="shared" si="73"/>
        <v>-12261.712260179253</v>
      </c>
      <c r="AB53" s="23">
        <f t="shared" si="73"/>
        <v>-12284.10879525563</v>
      </c>
      <c r="AC53" s="23">
        <f t="shared" si="73"/>
        <v>-12261.00567872138</v>
      </c>
      <c r="AD53" s="23">
        <f t="shared" si="73"/>
        <v>-12560.932549544286</v>
      </c>
      <c r="AE53" s="23">
        <f t="shared" si="73"/>
        <v>-12937.760526030614</v>
      </c>
      <c r="AF53" s="23">
        <f t="shared" si="73"/>
        <v>-13048.062304080984</v>
      </c>
      <c r="AG53" s="23">
        <f t="shared" si="73"/>
        <v>-13439.504173203413</v>
      </c>
      <c r="AH53" s="23">
        <f t="shared" si="73"/>
        <v>-13513.598434207681</v>
      </c>
      <c r="AI53" s="23">
        <f t="shared" si="73"/>
        <v>-13919.006387233911</v>
      </c>
      <c r="AJ53" s="23">
        <f t="shared" si="73"/>
        <v>-14264.155526913415</v>
      </c>
      <c r="AK53" s="23">
        <f t="shared" si="73"/>
        <v>-14404.395014516216</v>
      </c>
      <c r="AL53" s="23">
        <f t="shared" si="73"/>
        <v>-14571.856501003471</v>
      </c>
      <c r="AM53" s="23">
        <f t="shared" si="72"/>
        <v>-15009.012196033573</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P304"/>
  <sheetViews>
    <sheetView showGridLines="0" zoomScaleNormal="100" workbookViewId="0">
      <pane xSplit="3" ySplit="4" topLeftCell="X5" activePane="bottomRight" state="frozen"/>
      <selection pane="topRight" activeCell="F16" sqref="F16"/>
      <selection pane="bottomLeft" activeCell="F16" sqref="F16"/>
      <selection pane="bottomRight" activeCell="AA12" sqref="AA12"/>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15</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35">SUM(D6 + D5)</f>
        <v>0</v>
      </c>
      <c r="E7" s="19">
        <f t="shared" ref="E7:AL7" si="36">SUM(E6 + E5)</f>
        <v>0</v>
      </c>
      <c r="F7" s="19">
        <f t="shared" si="36"/>
        <v>0</v>
      </c>
      <c r="G7" s="19">
        <f t="shared" si="36"/>
        <v>0</v>
      </c>
      <c r="H7" s="19">
        <f t="shared" si="36"/>
        <v>0</v>
      </c>
      <c r="I7" s="19">
        <f t="shared" si="36"/>
        <v>0</v>
      </c>
      <c r="J7" s="19">
        <f t="shared" si="36"/>
        <v>0</v>
      </c>
      <c r="K7" s="19">
        <f t="shared" si="36"/>
        <v>0</v>
      </c>
      <c r="L7" s="19">
        <f t="shared" si="36"/>
        <v>0</v>
      </c>
      <c r="M7" s="19">
        <f t="shared" si="36"/>
        <v>0</v>
      </c>
      <c r="N7" s="19">
        <f t="shared" si="36"/>
        <v>0</v>
      </c>
      <c r="O7" s="19">
        <f t="shared" si="36"/>
        <v>0</v>
      </c>
      <c r="P7" s="19">
        <f t="shared" si="36"/>
        <v>0</v>
      </c>
      <c r="Q7" s="19">
        <f t="shared" si="36"/>
        <v>0</v>
      </c>
      <c r="R7" s="19">
        <f t="shared" si="36"/>
        <v>0</v>
      </c>
      <c r="S7" s="19">
        <f t="shared" si="36"/>
        <v>0</v>
      </c>
      <c r="T7" s="19">
        <f t="shared" si="36"/>
        <v>0</v>
      </c>
      <c r="U7" s="19">
        <f t="shared" si="36"/>
        <v>0</v>
      </c>
      <c r="V7" s="19">
        <f t="shared" si="36"/>
        <v>0</v>
      </c>
      <c r="W7" s="19">
        <f t="shared" si="36"/>
        <v>0</v>
      </c>
      <c r="X7" s="19">
        <f t="shared" si="36"/>
        <v>0</v>
      </c>
      <c r="Y7" s="19">
        <f t="shared" si="36"/>
        <v>0</v>
      </c>
      <c r="Z7" s="19">
        <f t="shared" si="36"/>
        <v>0</v>
      </c>
      <c r="AA7" s="19">
        <f t="shared" si="36"/>
        <v>0</v>
      </c>
      <c r="AB7" s="19">
        <f t="shared" si="36"/>
        <v>0</v>
      </c>
      <c r="AC7" s="19">
        <f t="shared" si="36"/>
        <v>0</v>
      </c>
      <c r="AD7" s="19">
        <f t="shared" si="36"/>
        <v>0</v>
      </c>
      <c r="AE7" s="19">
        <f t="shared" si="36"/>
        <v>0</v>
      </c>
      <c r="AF7" s="19">
        <f t="shared" si="36"/>
        <v>0</v>
      </c>
      <c r="AG7" s="19">
        <f t="shared" si="36"/>
        <v>0</v>
      </c>
      <c r="AH7" s="19">
        <f t="shared" si="36"/>
        <v>0</v>
      </c>
      <c r="AI7" s="19">
        <f t="shared" si="36"/>
        <v>0</v>
      </c>
      <c r="AJ7" s="19">
        <f t="shared" si="36"/>
        <v>0</v>
      </c>
      <c r="AK7" s="19">
        <f t="shared" si="36"/>
        <v>0</v>
      </c>
      <c r="AL7" s="19">
        <f t="shared" si="36"/>
        <v>0</v>
      </c>
      <c r="AM7" s="19">
        <f t="shared" si="35"/>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37">SUM(D10, D9 + D8)</f>
        <v>0</v>
      </c>
      <c r="E11" s="19">
        <f t="shared" ref="E11:AL11" si="38">SUM(E10, E9 + E8)</f>
        <v>0</v>
      </c>
      <c r="F11" s="19">
        <f t="shared" si="38"/>
        <v>0</v>
      </c>
      <c r="G11" s="19">
        <f t="shared" si="38"/>
        <v>0</v>
      </c>
      <c r="H11" s="19">
        <f t="shared" si="38"/>
        <v>0</v>
      </c>
      <c r="I11" s="19">
        <f t="shared" si="38"/>
        <v>0</v>
      </c>
      <c r="J11" s="19">
        <f t="shared" si="38"/>
        <v>0</v>
      </c>
      <c r="K11" s="19">
        <f t="shared" si="38"/>
        <v>0</v>
      </c>
      <c r="L11" s="19">
        <f t="shared" si="38"/>
        <v>0</v>
      </c>
      <c r="M11" s="19">
        <f t="shared" si="38"/>
        <v>0</v>
      </c>
      <c r="N11" s="19">
        <f t="shared" si="38"/>
        <v>0</v>
      </c>
      <c r="O11" s="19">
        <f t="shared" si="38"/>
        <v>0</v>
      </c>
      <c r="P11" s="19">
        <f t="shared" si="38"/>
        <v>0</v>
      </c>
      <c r="Q11" s="19">
        <f t="shared" si="38"/>
        <v>0</v>
      </c>
      <c r="R11" s="19">
        <f t="shared" si="38"/>
        <v>0</v>
      </c>
      <c r="S11" s="19">
        <f t="shared" si="38"/>
        <v>0</v>
      </c>
      <c r="T11" s="19">
        <f t="shared" si="38"/>
        <v>0</v>
      </c>
      <c r="U11" s="19">
        <f t="shared" si="38"/>
        <v>0</v>
      </c>
      <c r="V11" s="19">
        <f t="shared" si="38"/>
        <v>0</v>
      </c>
      <c r="W11" s="19">
        <f t="shared" si="38"/>
        <v>0</v>
      </c>
      <c r="X11" s="19">
        <f t="shared" si="38"/>
        <v>0</v>
      </c>
      <c r="Y11" s="19">
        <f t="shared" si="38"/>
        <v>0</v>
      </c>
      <c r="Z11" s="19">
        <f t="shared" si="38"/>
        <v>0</v>
      </c>
      <c r="AA11" s="19">
        <f t="shared" si="38"/>
        <v>0</v>
      </c>
      <c r="AB11" s="19">
        <f t="shared" si="38"/>
        <v>0</v>
      </c>
      <c r="AC11" s="19">
        <f t="shared" si="38"/>
        <v>0</v>
      </c>
      <c r="AD11" s="19">
        <f t="shared" si="38"/>
        <v>0</v>
      </c>
      <c r="AE11" s="19">
        <f t="shared" si="38"/>
        <v>0</v>
      </c>
      <c r="AF11" s="19">
        <f t="shared" si="38"/>
        <v>0</v>
      </c>
      <c r="AG11" s="19">
        <f t="shared" si="38"/>
        <v>0</v>
      </c>
      <c r="AH11" s="19">
        <f t="shared" si="38"/>
        <v>0</v>
      </c>
      <c r="AI11" s="19">
        <f t="shared" si="38"/>
        <v>0</v>
      </c>
      <c r="AJ11" s="19">
        <f t="shared" si="38"/>
        <v>0</v>
      </c>
      <c r="AK11" s="19">
        <f t="shared" si="38"/>
        <v>0</v>
      </c>
      <c r="AL11" s="19">
        <f t="shared" si="38"/>
        <v>0</v>
      </c>
      <c r="AM11" s="19">
        <f t="shared" si="37"/>
        <v>0</v>
      </c>
    </row>
    <row r="12" spans="1:39" s="21" customFormat="1" ht="21" customHeight="1" x14ac:dyDescent="0.25">
      <c r="B12" s="5" t="s">
        <v>32</v>
      </c>
      <c r="C12" s="22"/>
      <c r="D12" s="23">
        <f t="shared" ref="D12:AM12" si="39">D7-D11</f>
        <v>0</v>
      </c>
      <c r="E12" s="23">
        <f t="shared" ref="E12:AL12" si="40">E7-E11</f>
        <v>0</v>
      </c>
      <c r="F12" s="23">
        <f t="shared" si="40"/>
        <v>0</v>
      </c>
      <c r="G12" s="23">
        <f t="shared" si="40"/>
        <v>0</v>
      </c>
      <c r="H12" s="23">
        <f t="shared" si="40"/>
        <v>0</v>
      </c>
      <c r="I12" s="23">
        <f t="shared" si="40"/>
        <v>0</v>
      </c>
      <c r="J12" s="23">
        <f t="shared" si="40"/>
        <v>0</v>
      </c>
      <c r="K12" s="23">
        <f t="shared" si="40"/>
        <v>0</v>
      </c>
      <c r="L12" s="23">
        <f t="shared" si="40"/>
        <v>0</v>
      </c>
      <c r="M12" s="23">
        <f t="shared" si="40"/>
        <v>0</v>
      </c>
      <c r="N12" s="23">
        <f t="shared" si="40"/>
        <v>0</v>
      </c>
      <c r="O12" s="23">
        <f t="shared" si="40"/>
        <v>0</v>
      </c>
      <c r="P12" s="23">
        <f t="shared" si="40"/>
        <v>0</v>
      </c>
      <c r="Q12" s="23">
        <f t="shared" si="40"/>
        <v>0</v>
      </c>
      <c r="R12" s="23">
        <f t="shared" si="40"/>
        <v>0</v>
      </c>
      <c r="S12" s="23">
        <f t="shared" si="40"/>
        <v>0</v>
      </c>
      <c r="T12" s="23">
        <f t="shared" si="40"/>
        <v>0</v>
      </c>
      <c r="U12" s="23">
        <f t="shared" si="40"/>
        <v>0</v>
      </c>
      <c r="V12" s="23">
        <f t="shared" si="40"/>
        <v>0</v>
      </c>
      <c r="W12" s="23">
        <f t="shared" si="40"/>
        <v>0</v>
      </c>
      <c r="X12" s="23">
        <f t="shared" si="40"/>
        <v>0</v>
      </c>
      <c r="Y12" s="23">
        <f t="shared" si="40"/>
        <v>0</v>
      </c>
      <c r="Z12" s="23">
        <f t="shared" si="40"/>
        <v>0</v>
      </c>
      <c r="AA12" s="23">
        <f t="shared" si="40"/>
        <v>0</v>
      </c>
      <c r="AB12" s="23">
        <f t="shared" si="40"/>
        <v>0</v>
      </c>
      <c r="AC12" s="23">
        <f t="shared" si="40"/>
        <v>0</v>
      </c>
      <c r="AD12" s="23">
        <f t="shared" si="40"/>
        <v>0</v>
      </c>
      <c r="AE12" s="23">
        <f t="shared" si="40"/>
        <v>0</v>
      </c>
      <c r="AF12" s="23">
        <f t="shared" si="40"/>
        <v>0</v>
      </c>
      <c r="AG12" s="23">
        <f t="shared" si="40"/>
        <v>0</v>
      </c>
      <c r="AH12" s="23">
        <f t="shared" si="40"/>
        <v>0</v>
      </c>
      <c r="AI12" s="23">
        <f t="shared" si="40"/>
        <v>0</v>
      </c>
      <c r="AJ12" s="23">
        <f t="shared" si="40"/>
        <v>0</v>
      </c>
      <c r="AK12" s="23">
        <f t="shared" si="40"/>
        <v>0</v>
      </c>
      <c r="AL12" s="23">
        <f t="shared" si="40"/>
        <v>0</v>
      </c>
      <c r="AM12" s="23">
        <f t="shared" si="39"/>
        <v>0</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15000</v>
      </c>
      <c r="E14" s="18">
        <f>D14*(0.85)</f>
        <v>12750</v>
      </c>
      <c r="F14" s="18">
        <v>13132.5</v>
      </c>
      <c r="G14" s="18">
        <v>13526.475</v>
      </c>
      <c r="H14" s="18">
        <v>13932.269250000001</v>
      </c>
      <c r="I14" s="18">
        <v>14350.237327500001</v>
      </c>
      <c r="J14" s="18">
        <v>14780.744447325002</v>
      </c>
      <c r="K14" s="18">
        <v>15224.166780744752</v>
      </c>
      <c r="L14" s="18">
        <v>15680.891784167095</v>
      </c>
      <c r="M14" s="18">
        <f t="shared" ref="M14:N14" si="41">L14*(0.85)</f>
        <v>13328.758016542031</v>
      </c>
      <c r="N14" s="18">
        <f t="shared" si="41"/>
        <v>11329.444314060725</v>
      </c>
      <c r="O14" s="18">
        <v>11669.327643482548</v>
      </c>
      <c r="P14" s="18">
        <v>12019.407472787025</v>
      </c>
      <c r="Q14" s="18">
        <v>12379.989696970635</v>
      </c>
      <c r="R14" s="18">
        <v>12751.389387879755</v>
      </c>
      <c r="S14" s="18">
        <v>13133.931069516148</v>
      </c>
      <c r="T14" s="18">
        <f t="shared" ref="T14:U14" si="42">S14*(0.85)</f>
        <v>11163.841409088725</v>
      </c>
      <c r="U14" s="18">
        <f t="shared" si="42"/>
        <v>9489.2651977254172</v>
      </c>
      <c r="V14" s="18">
        <v>9773.9431536571792</v>
      </c>
      <c r="W14" s="18">
        <v>10067.161448266896</v>
      </c>
      <c r="X14" s="18">
        <v>10369.176291714903</v>
      </c>
      <c r="Y14" s="18">
        <v>10680.251580466351</v>
      </c>
      <c r="Z14" s="18">
        <f t="shared" ref="Z14:AA14" si="43">Y14*(0.85)</f>
        <v>9078.2138433963974</v>
      </c>
      <c r="AA14" s="18">
        <f t="shared" si="43"/>
        <v>7716.4817668869373</v>
      </c>
      <c r="AB14" s="18">
        <v>7947.9762198935459</v>
      </c>
      <c r="AC14" s="18">
        <v>8186.4155064903525</v>
      </c>
      <c r="AD14" s="18">
        <v>8432.0079716850632</v>
      </c>
      <c r="AE14" s="18">
        <f t="shared" ref="AE14:AF14" si="44">AD14*(0.85)</f>
        <v>7167.2067759323036</v>
      </c>
      <c r="AF14" s="18">
        <f t="shared" si="44"/>
        <v>6092.1257595424577</v>
      </c>
      <c r="AG14" s="18">
        <v>6274.8895323287315</v>
      </c>
      <c r="AH14" s="18">
        <v>6463.136218298594</v>
      </c>
      <c r="AI14" s="18">
        <v>6657.0303048475516</v>
      </c>
      <c r="AJ14" s="18">
        <v>6856.7412139929784</v>
      </c>
      <c r="AK14" s="18">
        <v>7062.4434504127676</v>
      </c>
      <c r="AL14" s="18">
        <f t="shared" ref="AL14:AM14" si="45">AK14*(0.85)</f>
        <v>6003.0769328508522</v>
      </c>
      <c r="AM14" s="18">
        <f t="shared" si="45"/>
        <v>5102.6153929232241</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5000</v>
      </c>
      <c r="E16" s="18">
        <v>5150</v>
      </c>
      <c r="F16" s="18">
        <v>5304.5</v>
      </c>
      <c r="G16" s="18">
        <f>F16*(0.9)</f>
        <v>4774.05</v>
      </c>
      <c r="H16" s="18">
        <v>4917.2715000000007</v>
      </c>
      <c r="I16" s="18">
        <v>5064.7896450000007</v>
      </c>
      <c r="J16" s="18">
        <v>5216.7333343500013</v>
      </c>
      <c r="K16" s="18">
        <v>5373.2353343805016</v>
      </c>
      <c r="L16" s="18">
        <v>5534.4323944119169</v>
      </c>
      <c r="M16" s="18">
        <v>5700.4653662442743</v>
      </c>
      <c r="N16" s="18">
        <f>M16*(0.9)</f>
        <v>5130.4188296198472</v>
      </c>
      <c r="O16" s="18">
        <v>5284.3313945084428</v>
      </c>
      <c r="P16" s="18">
        <v>5442.8613363436962</v>
      </c>
      <c r="Q16" s="18">
        <v>5606.1471764340076</v>
      </c>
      <c r="R16" s="18">
        <f t="shared" ref="R16:S16" si="46">Q16*(0.9)</f>
        <v>5045.5324587906071</v>
      </c>
      <c r="S16" s="18">
        <f t="shared" si="46"/>
        <v>4540.9792129115467</v>
      </c>
      <c r="T16" s="18">
        <v>4677.2085892988935</v>
      </c>
      <c r="U16" s="18">
        <v>4817.5248469778608</v>
      </c>
      <c r="V16" s="18">
        <v>4962.050592387197</v>
      </c>
      <c r="W16" s="18">
        <f t="shared" ref="W16:X16" si="47">V16*(0.9)</f>
        <v>4465.8455331484774</v>
      </c>
      <c r="X16" s="18">
        <f t="shared" si="47"/>
        <v>4019.2609798336298</v>
      </c>
      <c r="Y16" s="18">
        <v>4139.8388092286386</v>
      </c>
      <c r="Z16" s="18">
        <v>4264.0339735054977</v>
      </c>
      <c r="AA16" s="18">
        <v>4391.9549927106627</v>
      </c>
      <c r="AB16" s="18">
        <v>4523.7136424919827</v>
      </c>
      <c r="AC16" s="18">
        <f t="shared" ref="AC16:AD16" si="48">AB16*(0.9)</f>
        <v>4071.3422782427847</v>
      </c>
      <c r="AD16" s="18">
        <f t="shared" si="48"/>
        <v>3664.2080504185064</v>
      </c>
      <c r="AE16" s="18">
        <v>3774.1342919310619</v>
      </c>
      <c r="AF16" s="18">
        <v>3887.3583206889939</v>
      </c>
      <c r="AG16" s="18">
        <f t="shared" ref="AG16:AH16" si="49">AF16*(0.9)</f>
        <v>3498.6224886200944</v>
      </c>
      <c r="AH16" s="18">
        <f t="shared" si="49"/>
        <v>3148.7602397580849</v>
      </c>
      <c r="AI16" s="18">
        <v>3243.2230469508277</v>
      </c>
      <c r="AJ16" s="18">
        <v>3340.5197383593527</v>
      </c>
      <c r="AK16" s="18">
        <v>3440.7353305101333</v>
      </c>
      <c r="AL16" s="18">
        <f>AK16*(0.9)</f>
        <v>3096.66179745912</v>
      </c>
      <c r="AM16" s="18">
        <v>3189.5616513828936</v>
      </c>
    </row>
    <row r="17" spans="2:39" s="17" customFormat="1" ht="21" customHeight="1" x14ac:dyDescent="0.25">
      <c r="B17" s="4" t="s">
        <v>37</v>
      </c>
      <c r="C17" s="15"/>
      <c r="D17" s="18">
        <v>2500</v>
      </c>
      <c r="E17" s="18">
        <v>2575</v>
      </c>
      <c r="F17" s="18">
        <f>E17*(0.9)</f>
        <v>2317.5</v>
      </c>
      <c r="G17" s="18">
        <v>2387.0250000000001</v>
      </c>
      <c r="H17" s="18">
        <v>2458.6357500000004</v>
      </c>
      <c r="I17" s="18">
        <f>H17*(0.9)</f>
        <v>2212.7721750000005</v>
      </c>
      <c r="J17" s="18">
        <v>2279.1553402500008</v>
      </c>
      <c r="K17" s="18">
        <v>2347.530000457501</v>
      </c>
      <c r="L17" s="18">
        <v>2417.955900471226</v>
      </c>
      <c r="M17" s="18">
        <v>2490.4945774853627</v>
      </c>
      <c r="N17" s="18">
        <v>2565.2094148099236</v>
      </c>
      <c r="O17" s="18">
        <v>2642.1656972542214</v>
      </c>
      <c r="P17" s="18">
        <v>2721.4306681718481</v>
      </c>
      <c r="Q17" s="18">
        <v>2803.0735882170038</v>
      </c>
      <c r="R17" s="18">
        <f>Q17*(0.9)</f>
        <v>2522.7662293953035</v>
      </c>
      <c r="S17" s="18">
        <v>2598.4492162771626</v>
      </c>
      <c r="T17" s="18">
        <v>2676.4026927654777</v>
      </c>
      <c r="U17" s="18">
        <v>2756.6947735484423</v>
      </c>
      <c r="V17" s="18">
        <v>2839.3956167548959</v>
      </c>
      <c r="W17" s="18">
        <f t="shared" ref="W17:X17" si="50">V17*(0.9)</f>
        <v>2555.4560550794063</v>
      </c>
      <c r="X17" s="18">
        <f t="shared" si="50"/>
        <v>2299.9104495714655</v>
      </c>
      <c r="Y17" s="18">
        <v>2368.9077630586094</v>
      </c>
      <c r="Z17" s="18">
        <v>2439.9749959503679</v>
      </c>
      <c r="AA17" s="18">
        <v>2513.1742458288791</v>
      </c>
      <c r="AB17" s="18">
        <f t="shared" ref="AB17:AC17" si="51">AA17*(0.9)</f>
        <v>2261.8568212459913</v>
      </c>
      <c r="AC17" s="18">
        <f t="shared" si="51"/>
        <v>2035.6711391213923</v>
      </c>
      <c r="AD17" s="18">
        <v>2096.7412732950343</v>
      </c>
      <c r="AE17" s="18">
        <v>2159.6435114938854</v>
      </c>
      <c r="AF17" s="18">
        <v>2224.4328168387019</v>
      </c>
      <c r="AG17" s="18">
        <v>2291.1658013438632</v>
      </c>
      <c r="AH17" s="18">
        <f>AG17*(0.9)</f>
        <v>2062.0492212094769</v>
      </c>
      <c r="AI17" s="18">
        <v>2123.9106978457612</v>
      </c>
      <c r="AJ17" s="18">
        <v>2187.628018781134</v>
      </c>
      <c r="AK17" s="18">
        <v>2253.2568593445681</v>
      </c>
      <c r="AL17" s="18">
        <v>2320.8545651249051</v>
      </c>
      <c r="AM17" s="18">
        <f>AL17*(0.9)</f>
        <v>2088.7691086124146</v>
      </c>
    </row>
    <row r="18" spans="2:39" s="17" customFormat="1" ht="21" customHeight="1" x14ac:dyDescent="0.25">
      <c r="B18" s="4" t="s">
        <v>38</v>
      </c>
      <c r="C18" s="15"/>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650</v>
      </c>
      <c r="E20" s="18">
        <v>669.5</v>
      </c>
      <c r="F20" s="18">
        <v>689.58500000000004</v>
      </c>
      <c r="G20" s="18">
        <v>710.27255000000002</v>
      </c>
      <c r="H20" s="18">
        <v>731.58072650000008</v>
      </c>
      <c r="I20" s="18">
        <v>753.52814829500005</v>
      </c>
      <c r="J20" s="18">
        <v>776.13399274385006</v>
      </c>
      <c r="K20" s="18">
        <v>799.41801252616563</v>
      </c>
      <c r="L20" s="18">
        <v>823.40055290195062</v>
      </c>
      <c r="M20" s="18">
        <v>848.10256948900917</v>
      </c>
      <c r="N20" s="18">
        <v>873.54564657367951</v>
      </c>
      <c r="O20" s="18">
        <v>899.75201597088994</v>
      </c>
      <c r="P20" s="18">
        <v>926.74457645001667</v>
      </c>
      <c r="Q20" s="18">
        <v>954.54691374351717</v>
      </c>
      <c r="R20" s="18">
        <v>983.18332115582268</v>
      </c>
      <c r="S20" s="18">
        <v>1012.6788207904974</v>
      </c>
      <c r="T20" s="18">
        <v>1043.0591854142124</v>
      </c>
      <c r="U20" s="18">
        <v>1074.3509609766388</v>
      </c>
      <c r="V20" s="18">
        <v>1106.581489805938</v>
      </c>
      <c r="W20" s="18">
        <v>1139.7789345001161</v>
      </c>
      <c r="X20" s="18">
        <v>1173.9723025351195</v>
      </c>
      <c r="Y20" s="18">
        <v>1209.191471611173</v>
      </c>
      <c r="Z20" s="18">
        <v>1245.4672157595082</v>
      </c>
      <c r="AA20" s="18">
        <v>1282.8312322322936</v>
      </c>
      <c r="AB20" s="18">
        <v>1321.3161691992625</v>
      </c>
      <c r="AC20" s="18">
        <v>1360.9556542752405</v>
      </c>
      <c r="AD20" s="18">
        <v>1401.7843239034978</v>
      </c>
      <c r="AE20" s="18">
        <v>1443.8378536206028</v>
      </c>
      <c r="AF20" s="18">
        <v>1487.152989229221</v>
      </c>
      <c r="AG20" s="18">
        <v>1531.7675789060977</v>
      </c>
      <c r="AH20" s="18">
        <v>1577.7206062732807</v>
      </c>
      <c r="AI20" s="18">
        <v>1625.0522244614792</v>
      </c>
      <c r="AJ20" s="18">
        <v>1673.8037911953236</v>
      </c>
      <c r="AK20" s="18">
        <v>1724.0179049311832</v>
      </c>
      <c r="AL20" s="18">
        <v>1775.7384420791188</v>
      </c>
      <c r="AM20" s="18">
        <v>1829.0105953414925</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 t="shared" ref="D23:AM23" si="52">SUM(D22, D21, D20 + D19)</f>
        <v>650</v>
      </c>
      <c r="E23" s="19">
        <f t="shared" ref="E23:AL23" si="53">SUM(E22, E21, E20 + E19)</f>
        <v>669.5</v>
      </c>
      <c r="F23" s="19">
        <f t="shared" si="53"/>
        <v>689.58500000000004</v>
      </c>
      <c r="G23" s="19">
        <f t="shared" si="53"/>
        <v>710.27255000000002</v>
      </c>
      <c r="H23" s="19">
        <f t="shared" si="53"/>
        <v>731.58072650000008</v>
      </c>
      <c r="I23" s="19">
        <f t="shared" si="53"/>
        <v>753.52814829500005</v>
      </c>
      <c r="J23" s="19">
        <f t="shared" si="53"/>
        <v>776.13399274385006</v>
      </c>
      <c r="K23" s="19">
        <f t="shared" si="53"/>
        <v>799.41801252616563</v>
      </c>
      <c r="L23" s="19">
        <f t="shared" si="53"/>
        <v>823.40055290195062</v>
      </c>
      <c r="M23" s="19">
        <f t="shared" si="53"/>
        <v>848.10256948900917</v>
      </c>
      <c r="N23" s="19">
        <f t="shared" si="53"/>
        <v>873.54564657367951</v>
      </c>
      <c r="O23" s="19">
        <f t="shared" si="53"/>
        <v>899.75201597088994</v>
      </c>
      <c r="P23" s="19">
        <f t="shared" si="53"/>
        <v>926.74457645001667</v>
      </c>
      <c r="Q23" s="19">
        <f t="shared" si="53"/>
        <v>954.54691374351717</v>
      </c>
      <c r="R23" s="19">
        <f t="shared" si="53"/>
        <v>983.18332115582268</v>
      </c>
      <c r="S23" s="19">
        <f t="shared" si="53"/>
        <v>1012.6788207904974</v>
      </c>
      <c r="T23" s="19">
        <f t="shared" si="53"/>
        <v>1043.0591854142124</v>
      </c>
      <c r="U23" s="19">
        <f t="shared" si="53"/>
        <v>1074.3509609766388</v>
      </c>
      <c r="V23" s="19">
        <f t="shared" si="53"/>
        <v>1106.581489805938</v>
      </c>
      <c r="W23" s="19">
        <f t="shared" si="53"/>
        <v>1139.7789345001161</v>
      </c>
      <c r="X23" s="19">
        <f t="shared" si="53"/>
        <v>1173.9723025351195</v>
      </c>
      <c r="Y23" s="19">
        <f t="shared" si="53"/>
        <v>1209.191471611173</v>
      </c>
      <c r="Z23" s="19">
        <f t="shared" si="53"/>
        <v>1245.4672157595082</v>
      </c>
      <c r="AA23" s="19">
        <f t="shared" si="53"/>
        <v>1282.8312322322936</v>
      </c>
      <c r="AB23" s="19">
        <f t="shared" si="53"/>
        <v>1321.3161691992625</v>
      </c>
      <c r="AC23" s="19">
        <f t="shared" si="53"/>
        <v>1360.9556542752405</v>
      </c>
      <c r="AD23" s="19">
        <f t="shared" si="53"/>
        <v>1401.7843239034978</v>
      </c>
      <c r="AE23" s="19">
        <f t="shared" si="53"/>
        <v>1443.8378536206028</v>
      </c>
      <c r="AF23" s="19">
        <f t="shared" si="53"/>
        <v>1487.152989229221</v>
      </c>
      <c r="AG23" s="19">
        <f t="shared" si="53"/>
        <v>1531.7675789060977</v>
      </c>
      <c r="AH23" s="19">
        <f t="shared" si="53"/>
        <v>1577.7206062732807</v>
      </c>
      <c r="AI23" s="19">
        <f t="shared" si="53"/>
        <v>1625.0522244614792</v>
      </c>
      <c r="AJ23" s="19">
        <f t="shared" si="53"/>
        <v>1673.8037911953236</v>
      </c>
      <c r="AK23" s="19">
        <f t="shared" si="53"/>
        <v>1724.0179049311832</v>
      </c>
      <c r="AL23" s="19">
        <f t="shared" si="53"/>
        <v>1775.7384420791188</v>
      </c>
      <c r="AM23" s="19">
        <f t="shared" si="52"/>
        <v>1829.0105953414925</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row>
    <row r="28" spans="2:39" s="17" customFormat="1" ht="21" customHeight="1" x14ac:dyDescent="0.25">
      <c r="B28" s="7" t="s">
        <v>48</v>
      </c>
      <c r="C28" s="15"/>
      <c r="D28" s="18">
        <v>1000</v>
      </c>
      <c r="E28" s="18">
        <v>1030</v>
      </c>
      <c r="F28" s="18">
        <v>1060.9000000000001</v>
      </c>
      <c r="G28" s="18">
        <v>1092.7270000000001</v>
      </c>
      <c r="H28" s="18">
        <f>G28*(0.9)</f>
        <v>983.4543000000001</v>
      </c>
      <c r="I28" s="18">
        <v>1012.9579290000001</v>
      </c>
      <c r="J28" s="18">
        <v>1043.3466668700003</v>
      </c>
      <c r="K28" s="18">
        <v>1074.6470668761003</v>
      </c>
      <c r="L28" s="18">
        <v>1106.8864788823835</v>
      </c>
      <c r="M28" s="18">
        <v>1140.093073248855</v>
      </c>
      <c r="N28" s="18">
        <v>1174.2958654463207</v>
      </c>
      <c r="O28" s="18">
        <v>1209.5247414097103</v>
      </c>
      <c r="P28" s="18">
        <v>1245.8104836520015</v>
      </c>
      <c r="Q28" s="18">
        <f>P28*(0.9)</f>
        <v>1121.2294352868014</v>
      </c>
      <c r="R28" s="18">
        <v>1154.8663183454055</v>
      </c>
      <c r="S28" s="18">
        <v>1189.5123078957677</v>
      </c>
      <c r="T28" s="18">
        <v>1225.1976771326408</v>
      </c>
      <c r="U28" s="18">
        <v>1261.95360744662</v>
      </c>
      <c r="V28" s="18">
        <v>1299.8122156700188</v>
      </c>
      <c r="W28" s="18">
        <v>1338.8065821401194</v>
      </c>
      <c r="X28" s="18">
        <v>1378.9707796043231</v>
      </c>
      <c r="Y28" s="18">
        <v>1420.3399029924528</v>
      </c>
      <c r="Z28" s="18">
        <f>Y28*(0.9)</f>
        <v>1278.3059126932076</v>
      </c>
      <c r="AA28" s="18">
        <v>1316.6550900740037</v>
      </c>
      <c r="AB28" s="18">
        <v>1356.1547427762239</v>
      </c>
      <c r="AC28" s="18">
        <v>1396.8393850595107</v>
      </c>
      <c r="AD28" s="18">
        <v>1438.744566611296</v>
      </c>
      <c r="AE28" s="18">
        <v>1481.906903609635</v>
      </c>
      <c r="AF28" s="18">
        <f>AE28*(0.9)</f>
        <v>1333.7162132486715</v>
      </c>
      <c r="AG28" s="18">
        <v>1373.7276996461317</v>
      </c>
      <c r="AH28" s="18">
        <v>1414.9395306355157</v>
      </c>
      <c r="AI28" s="18">
        <v>1457.3877165545812</v>
      </c>
      <c r="AJ28" s="18">
        <v>1501.1093480512186</v>
      </c>
      <c r="AK28" s="18">
        <v>1546.1426284927552</v>
      </c>
      <c r="AL28" s="18">
        <f>AK28*(0.9)</f>
        <v>1391.5283656434797</v>
      </c>
      <c r="AM28" s="18">
        <v>1433.2742166127841</v>
      </c>
    </row>
    <row r="29" spans="2:39" s="17" customFormat="1" ht="21" customHeight="1" x14ac:dyDescent="0.25">
      <c r="B29" s="6" t="s">
        <v>49</v>
      </c>
      <c r="C29" s="15"/>
      <c r="D29" s="19">
        <f t="shared" ref="D29:AM29" si="54">SUM(D28, D27, D26, D25 + D24)</f>
        <v>1000</v>
      </c>
      <c r="E29" s="19">
        <f t="shared" ref="E29:AL29" si="55">SUM(E28, E27, E26, E25 + E24)</f>
        <v>1030</v>
      </c>
      <c r="F29" s="19">
        <f t="shared" si="55"/>
        <v>1060.9000000000001</v>
      </c>
      <c r="G29" s="19">
        <f t="shared" si="55"/>
        <v>1092.7270000000001</v>
      </c>
      <c r="H29" s="19">
        <f t="shared" si="55"/>
        <v>983.4543000000001</v>
      </c>
      <c r="I29" s="19">
        <f t="shared" si="55"/>
        <v>1012.9579290000001</v>
      </c>
      <c r="J29" s="19">
        <f t="shared" si="55"/>
        <v>1043.3466668700003</v>
      </c>
      <c r="K29" s="19">
        <f t="shared" si="55"/>
        <v>1074.6470668761003</v>
      </c>
      <c r="L29" s="19">
        <f t="shared" si="55"/>
        <v>1106.8864788823835</v>
      </c>
      <c r="M29" s="19">
        <f t="shared" si="55"/>
        <v>1140.093073248855</v>
      </c>
      <c r="N29" s="19">
        <f t="shared" si="55"/>
        <v>1174.2958654463207</v>
      </c>
      <c r="O29" s="19">
        <f t="shared" si="55"/>
        <v>1209.5247414097103</v>
      </c>
      <c r="P29" s="19">
        <f t="shared" si="55"/>
        <v>1245.8104836520015</v>
      </c>
      <c r="Q29" s="19">
        <f t="shared" si="55"/>
        <v>1121.2294352868014</v>
      </c>
      <c r="R29" s="19">
        <f t="shared" si="55"/>
        <v>1154.8663183454055</v>
      </c>
      <c r="S29" s="19">
        <f t="shared" si="55"/>
        <v>1189.5123078957677</v>
      </c>
      <c r="T29" s="19">
        <f t="shared" si="55"/>
        <v>1225.1976771326408</v>
      </c>
      <c r="U29" s="19">
        <f t="shared" si="55"/>
        <v>1261.95360744662</v>
      </c>
      <c r="V29" s="19">
        <f t="shared" si="55"/>
        <v>1299.8122156700188</v>
      </c>
      <c r="W29" s="19">
        <f t="shared" si="55"/>
        <v>1338.8065821401194</v>
      </c>
      <c r="X29" s="19">
        <f t="shared" si="55"/>
        <v>1378.9707796043231</v>
      </c>
      <c r="Y29" s="19">
        <f t="shared" si="55"/>
        <v>1420.3399029924528</v>
      </c>
      <c r="Z29" s="19">
        <f t="shared" si="55"/>
        <v>1278.3059126932076</v>
      </c>
      <c r="AA29" s="19">
        <f t="shared" si="55"/>
        <v>1316.6550900740037</v>
      </c>
      <c r="AB29" s="19">
        <f t="shared" si="55"/>
        <v>1356.1547427762239</v>
      </c>
      <c r="AC29" s="19">
        <f t="shared" si="55"/>
        <v>1396.8393850595107</v>
      </c>
      <c r="AD29" s="19">
        <f t="shared" si="55"/>
        <v>1438.744566611296</v>
      </c>
      <c r="AE29" s="19">
        <f t="shared" si="55"/>
        <v>1481.906903609635</v>
      </c>
      <c r="AF29" s="19">
        <f t="shared" si="55"/>
        <v>1333.7162132486715</v>
      </c>
      <c r="AG29" s="19">
        <f t="shared" si="55"/>
        <v>1373.7276996461317</v>
      </c>
      <c r="AH29" s="19">
        <f t="shared" si="55"/>
        <v>1414.9395306355157</v>
      </c>
      <c r="AI29" s="19">
        <f t="shared" si="55"/>
        <v>1457.3877165545812</v>
      </c>
      <c r="AJ29" s="19">
        <f t="shared" si="55"/>
        <v>1501.1093480512186</v>
      </c>
      <c r="AK29" s="19">
        <f t="shared" si="55"/>
        <v>1546.1426284927552</v>
      </c>
      <c r="AL29" s="19">
        <f t="shared" si="55"/>
        <v>1391.5283656434797</v>
      </c>
      <c r="AM29" s="19">
        <f t="shared" si="54"/>
        <v>1433.2742166127841</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15000</v>
      </c>
      <c r="E31" s="18">
        <v>15450</v>
      </c>
      <c r="F31" s="18">
        <f>E31*(0.7)</f>
        <v>10815</v>
      </c>
      <c r="G31" s="18">
        <v>11139.45</v>
      </c>
      <c r="H31" s="18">
        <v>11473.633500000002</v>
      </c>
      <c r="I31" s="18">
        <v>11817.842505000002</v>
      </c>
      <c r="J31" s="18">
        <v>12172.377780150002</v>
      </c>
      <c r="K31" s="18">
        <v>12537.549113554502</v>
      </c>
      <c r="L31" s="18">
        <v>12913.675586961137</v>
      </c>
      <c r="M31" s="18">
        <f>L31*(0.7)</f>
        <v>9039.5729108727955</v>
      </c>
      <c r="N31" s="18">
        <v>9310.7600981989799</v>
      </c>
      <c r="O31" s="18">
        <v>9590.0829011449496</v>
      </c>
      <c r="P31" s="18">
        <v>9877.785388179298</v>
      </c>
      <c r="Q31" s="18">
        <v>10174.118949824677</v>
      </c>
      <c r="R31" s="18">
        <v>10479.342518319418</v>
      </c>
      <c r="S31" s="18">
        <v>10793.722793869001</v>
      </c>
      <c r="T31" s="18">
        <v>11117.534477685071</v>
      </c>
      <c r="U31" s="18">
        <v>11451.060512015623</v>
      </c>
      <c r="V31" s="18">
        <v>11794.592327376093</v>
      </c>
      <c r="W31" s="18">
        <f>V31*(0.7)</f>
        <v>8256.2146291632653</v>
      </c>
      <c r="X31" s="18">
        <v>8503.9010680381634</v>
      </c>
      <c r="Y31" s="18">
        <v>8759.0181000793091</v>
      </c>
      <c r="Z31" s="18">
        <v>9021.7886430816889</v>
      </c>
      <c r="AA31" s="18">
        <v>9292.4423023741401</v>
      </c>
      <c r="AB31" s="18">
        <v>9571.2155714453638</v>
      </c>
      <c r="AC31" s="18">
        <v>9858.3520385887241</v>
      </c>
      <c r="AD31" s="18">
        <v>10154.102599746386</v>
      </c>
      <c r="AE31" s="18">
        <v>10458.725677738777</v>
      </c>
      <c r="AF31" s="18">
        <v>10772.48744807094</v>
      </c>
      <c r="AG31" s="18">
        <v>11095.662071513068</v>
      </c>
      <c r="AH31" s="18">
        <f>AG31*(0.7)</f>
        <v>7766.9634500591474</v>
      </c>
      <c r="AI31" s="18">
        <v>7999.9723535609219</v>
      </c>
      <c r="AJ31" s="18">
        <v>8239.9715241677495</v>
      </c>
      <c r="AK31" s="18">
        <v>8487.1706698927828</v>
      </c>
      <c r="AL31" s="18">
        <v>8741.7857899895662</v>
      </c>
      <c r="AM31" s="18">
        <f>AL31*(0.7)</f>
        <v>6119.2500529926956</v>
      </c>
    </row>
    <row r="32" spans="2:39" s="17" customFormat="1" ht="21" customHeight="1" x14ac:dyDescent="0.25">
      <c r="B32" s="7" t="s">
        <v>52</v>
      </c>
      <c r="C32" s="15"/>
      <c r="D32" s="18">
        <v>1500</v>
      </c>
      <c r="E32" s="18">
        <v>1545</v>
      </c>
      <c r="F32" s="18">
        <v>1591.3500000000001</v>
      </c>
      <c r="G32" s="18">
        <v>1639.0905000000002</v>
      </c>
      <c r="H32" s="18">
        <f>G32*(0.7)</f>
        <v>1147.3633500000001</v>
      </c>
      <c r="I32" s="18">
        <v>1181.7842505000001</v>
      </c>
      <c r="J32" s="18">
        <v>1217.2377780150002</v>
      </c>
      <c r="K32" s="18">
        <v>1253.7549113554503</v>
      </c>
      <c r="L32" s="18">
        <v>1291.3675586961137</v>
      </c>
      <c r="M32" s="18">
        <f>L32*(0.7)</f>
        <v>903.9572910872796</v>
      </c>
      <c r="N32" s="18">
        <v>931.07600981989799</v>
      </c>
      <c r="O32" s="18">
        <v>959.00829011449491</v>
      </c>
      <c r="P32" s="18">
        <v>987.77853881792976</v>
      </c>
      <c r="Q32" s="18">
        <v>1017.4118949824676</v>
      </c>
      <c r="R32" s="18">
        <v>1047.9342518319418</v>
      </c>
      <c r="S32" s="18">
        <v>1079.3722793869001</v>
      </c>
      <c r="T32" s="18">
        <f>S32*(0.7)</f>
        <v>755.56059557083006</v>
      </c>
      <c r="U32" s="18">
        <v>778.22741343795497</v>
      </c>
      <c r="V32" s="18">
        <v>801.57423584109358</v>
      </c>
      <c r="W32" s="18">
        <f>V32*(0.7)</f>
        <v>561.1019650887655</v>
      </c>
      <c r="X32" s="18">
        <v>577.93502404142851</v>
      </c>
      <c r="Y32" s="18">
        <v>595.2730747626714</v>
      </c>
      <c r="Z32" s="18">
        <v>613.13126700555154</v>
      </c>
      <c r="AA32" s="18">
        <v>631.52520501571814</v>
      </c>
      <c r="AB32" s="18">
        <v>650.47096116618968</v>
      </c>
      <c r="AC32" s="18">
        <v>669.98509000117542</v>
      </c>
      <c r="AD32" s="18">
        <v>690.08464270121067</v>
      </c>
      <c r="AE32" s="18">
        <v>710.78718198224703</v>
      </c>
      <c r="AF32" s="18">
        <v>732.11079744171445</v>
      </c>
      <c r="AG32" s="18">
        <v>754.07412136496589</v>
      </c>
      <c r="AH32" s="18">
        <v>776.69634500591485</v>
      </c>
      <c r="AI32" s="18">
        <v>799.99723535609235</v>
      </c>
      <c r="AJ32" s="18">
        <v>823.99715241677518</v>
      </c>
      <c r="AK32" s="18">
        <v>848.71706698927846</v>
      </c>
      <c r="AL32" s="18">
        <v>874.17857899895682</v>
      </c>
      <c r="AM32" s="18">
        <v>900.40393636892554</v>
      </c>
    </row>
    <row r="33" spans="2:39" s="17" customFormat="1" ht="21" customHeight="1" x14ac:dyDescent="0.25">
      <c r="B33" s="7" t="s">
        <v>53</v>
      </c>
      <c r="C33" s="15"/>
      <c r="D33" s="18">
        <v>1450</v>
      </c>
      <c r="E33" s="18">
        <v>1493.5</v>
      </c>
      <c r="F33" s="18">
        <v>1538.3050000000001</v>
      </c>
      <c r="G33" s="18">
        <v>1584.45415</v>
      </c>
      <c r="H33" s="18">
        <v>1631.9877745000001</v>
      </c>
      <c r="I33" s="18">
        <v>1680.9474077350001</v>
      </c>
      <c r="J33" s="18">
        <f>I33*(0.7)</f>
        <v>1176.6631854145</v>
      </c>
      <c r="K33" s="18">
        <v>1211.9630809769351</v>
      </c>
      <c r="L33" s="18">
        <v>1248.3219734062432</v>
      </c>
      <c r="M33" s="18">
        <v>1285.7716326084305</v>
      </c>
      <c r="N33" s="18">
        <v>1324.3447815866834</v>
      </c>
      <c r="O33" s="18">
        <f>N33*(0.7)</f>
        <v>927.04134711067832</v>
      </c>
      <c r="P33" s="18">
        <v>954.85258752399864</v>
      </c>
      <c r="Q33" s="18">
        <v>983.4981651497186</v>
      </c>
      <c r="R33" s="18">
        <v>1013.0031101042102</v>
      </c>
      <c r="S33" s="18">
        <v>1043.3932034073366</v>
      </c>
      <c r="T33" s="18">
        <f>S33*(0.7)</f>
        <v>730.37524238513561</v>
      </c>
      <c r="U33" s="18">
        <v>752.28649965668967</v>
      </c>
      <c r="V33" s="18">
        <v>774.8550946463904</v>
      </c>
      <c r="W33" s="18">
        <v>798.10074748578211</v>
      </c>
      <c r="X33" s="18">
        <f>W33*(0.7)</f>
        <v>558.67052324004749</v>
      </c>
      <c r="Y33" s="18">
        <v>575.43063893724889</v>
      </c>
      <c r="Z33" s="18">
        <v>592.69355810536638</v>
      </c>
      <c r="AA33" s="18">
        <v>610.47436484852733</v>
      </c>
      <c r="AB33" s="18">
        <v>628.78859579398318</v>
      </c>
      <c r="AC33" s="18">
        <v>647.65225366780271</v>
      </c>
      <c r="AD33" s="18">
        <v>667.08182127783687</v>
      </c>
      <c r="AE33" s="18">
        <v>687.09427591617202</v>
      </c>
      <c r="AF33" s="18">
        <v>707.70710419365719</v>
      </c>
      <c r="AG33" s="18">
        <v>728.93831731946693</v>
      </c>
      <c r="AH33" s="18">
        <v>750.80646683905093</v>
      </c>
      <c r="AI33" s="18">
        <v>773.33066084422251</v>
      </c>
      <c r="AJ33" s="18">
        <v>796.53058066954918</v>
      </c>
      <c r="AK33" s="18">
        <v>820.42649808963563</v>
      </c>
      <c r="AL33" s="18">
        <v>845.03929303232474</v>
      </c>
      <c r="AM33" s="18">
        <v>870.39047182329455</v>
      </c>
    </row>
    <row r="34" spans="2:39" s="17" customFormat="1" ht="21" customHeight="1" x14ac:dyDescent="0.25">
      <c r="B34" s="7" t="s">
        <v>54</v>
      </c>
      <c r="C34" s="15"/>
      <c r="D34" s="18">
        <v>50</v>
      </c>
      <c r="E34" s="18">
        <v>51.5</v>
      </c>
      <c r="F34" s="18">
        <v>53.045000000000002</v>
      </c>
      <c r="G34" s="18">
        <v>54.63635</v>
      </c>
      <c r="H34" s="18">
        <v>56.275440500000002</v>
      </c>
      <c r="I34" s="18">
        <v>57.963703715000001</v>
      </c>
      <c r="J34" s="18">
        <v>59.702614826450002</v>
      </c>
      <c r="K34" s="18">
        <v>61.493693271243501</v>
      </c>
      <c r="L34" s="18">
        <v>63.338504069380811</v>
      </c>
      <c r="M34" s="18">
        <v>65.238659191462233</v>
      </c>
      <c r="N34" s="18">
        <v>67.195818967206108</v>
      </c>
      <c r="O34" s="18">
        <v>69.211693536222299</v>
      </c>
      <c r="P34" s="18">
        <v>71.288044342308964</v>
      </c>
      <c r="Q34" s="18">
        <v>73.42668567257823</v>
      </c>
      <c r="R34" s="18">
        <v>75.629486242755576</v>
      </c>
      <c r="S34" s="18">
        <v>77.898370830038246</v>
      </c>
      <c r="T34" s="18">
        <v>80.235321954939394</v>
      </c>
      <c r="U34" s="18">
        <v>82.642381613587574</v>
      </c>
      <c r="V34" s="18">
        <v>85.121653061995204</v>
      </c>
      <c r="W34" s="18">
        <v>87.675302653855056</v>
      </c>
      <c r="X34" s="18">
        <v>90.305561733470711</v>
      </c>
      <c r="Y34" s="18">
        <v>93.014728585474828</v>
      </c>
      <c r="Z34" s="18">
        <v>95.805170443039074</v>
      </c>
      <c r="AA34" s="18">
        <v>98.679325556330255</v>
      </c>
      <c r="AB34" s="18">
        <v>101.63970532302017</v>
      </c>
      <c r="AC34" s="18">
        <v>104.68889648271077</v>
      </c>
      <c r="AD34" s="18">
        <v>107.8295633771921</v>
      </c>
      <c r="AE34" s="18">
        <v>111.06445027850786</v>
      </c>
      <c r="AF34" s="18">
        <v>114.3963837868631</v>
      </c>
      <c r="AG34" s="18">
        <v>117.82827530046899</v>
      </c>
      <c r="AH34" s="18">
        <v>121.36312355948306</v>
      </c>
      <c r="AI34" s="18">
        <v>125.00401726626755</v>
      </c>
      <c r="AJ34" s="18">
        <v>128.75413778425559</v>
      </c>
      <c r="AK34" s="18">
        <v>132.61676191778326</v>
      </c>
      <c r="AL34" s="18">
        <v>136.59526477531676</v>
      </c>
      <c r="AM34" s="18">
        <v>140.69312271857626</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56">SUM(D35, D34, D33, D32, D31 + D30)</f>
        <v>18000</v>
      </c>
      <c r="E36" s="19">
        <f t="shared" ref="E36:AL36" si="57">SUM(E35, E34, E33, E32, E31 + E30)</f>
        <v>18540</v>
      </c>
      <c r="F36" s="19">
        <f t="shared" si="57"/>
        <v>13997.7</v>
      </c>
      <c r="G36" s="19">
        <f t="shared" si="57"/>
        <v>14417.631000000001</v>
      </c>
      <c r="H36" s="19">
        <f t="shared" si="57"/>
        <v>14309.260065000002</v>
      </c>
      <c r="I36" s="19">
        <f t="shared" si="57"/>
        <v>14738.537866950002</v>
      </c>
      <c r="J36" s="19">
        <f t="shared" si="57"/>
        <v>14625.981358405952</v>
      </c>
      <c r="K36" s="19">
        <f t="shared" si="57"/>
        <v>15064.760799158132</v>
      </c>
      <c r="L36" s="19">
        <f t="shared" si="57"/>
        <v>15516.703623132875</v>
      </c>
      <c r="M36" s="19">
        <f t="shared" si="57"/>
        <v>11294.540493759967</v>
      </c>
      <c r="N36" s="19">
        <f t="shared" si="57"/>
        <v>11633.376708572767</v>
      </c>
      <c r="O36" s="19">
        <f t="shared" si="57"/>
        <v>11545.344231906345</v>
      </c>
      <c r="P36" s="19">
        <f t="shared" si="57"/>
        <v>11891.704558863536</v>
      </c>
      <c r="Q36" s="19">
        <f t="shared" si="57"/>
        <v>12248.45569562944</v>
      </c>
      <c r="R36" s="19">
        <f t="shared" si="57"/>
        <v>12615.909366498325</v>
      </c>
      <c r="S36" s="19">
        <f t="shared" si="57"/>
        <v>12994.386647493277</v>
      </c>
      <c r="T36" s="19">
        <f t="shared" si="57"/>
        <v>12683.705637595976</v>
      </c>
      <c r="U36" s="19">
        <f t="shared" si="57"/>
        <v>13064.216806723856</v>
      </c>
      <c r="V36" s="19">
        <f t="shared" si="57"/>
        <v>13456.143310925572</v>
      </c>
      <c r="W36" s="19">
        <f t="shared" si="57"/>
        <v>9703.0926443916687</v>
      </c>
      <c r="X36" s="19">
        <f t="shared" si="57"/>
        <v>9730.8121770531106</v>
      </c>
      <c r="Y36" s="19">
        <f t="shared" si="57"/>
        <v>10022.736542364704</v>
      </c>
      <c r="Z36" s="19">
        <f t="shared" si="57"/>
        <v>10323.418638635645</v>
      </c>
      <c r="AA36" s="19">
        <f t="shared" si="57"/>
        <v>10633.121197794717</v>
      </c>
      <c r="AB36" s="19">
        <f t="shared" si="57"/>
        <v>10952.114833728556</v>
      </c>
      <c r="AC36" s="19">
        <f t="shared" si="57"/>
        <v>11280.678278740414</v>
      </c>
      <c r="AD36" s="19">
        <f t="shared" si="57"/>
        <v>11619.098627102625</v>
      </c>
      <c r="AE36" s="19">
        <f t="shared" si="57"/>
        <v>11967.671585915705</v>
      </c>
      <c r="AF36" s="19">
        <f t="shared" si="57"/>
        <v>12326.701733493175</v>
      </c>
      <c r="AG36" s="19">
        <f t="shared" si="57"/>
        <v>12696.502785497971</v>
      </c>
      <c r="AH36" s="19">
        <f t="shared" si="57"/>
        <v>9415.8293854635958</v>
      </c>
      <c r="AI36" s="19">
        <f t="shared" si="57"/>
        <v>9698.3042670275045</v>
      </c>
      <c r="AJ36" s="19">
        <f t="shared" si="57"/>
        <v>9989.2533950383295</v>
      </c>
      <c r="AK36" s="19">
        <f t="shared" si="57"/>
        <v>10288.93099688948</v>
      </c>
      <c r="AL36" s="19">
        <f t="shared" si="57"/>
        <v>10597.598926796165</v>
      </c>
      <c r="AM36" s="19">
        <f t="shared" si="56"/>
        <v>8030.7375839034921</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850</v>
      </c>
      <c r="E39" s="18">
        <v>875.5</v>
      </c>
      <c r="F39" s="18">
        <v>901.76499999999999</v>
      </c>
      <c r="G39" s="18">
        <v>928.81795</v>
      </c>
      <c r="H39" s="18">
        <v>956.68248849999998</v>
      </c>
      <c r="I39" s="18">
        <v>985.38296315499997</v>
      </c>
      <c r="J39" s="18">
        <v>1014.94445204965</v>
      </c>
      <c r="K39" s="18">
        <v>1045.3927856111395</v>
      </c>
      <c r="L39" s="18">
        <v>1076.7545691794737</v>
      </c>
      <c r="M39" s="18">
        <v>1109.0572062548579</v>
      </c>
      <c r="N39" s="18">
        <v>1142.3289224425037</v>
      </c>
      <c r="O39" s="18">
        <v>1176.5987901157787</v>
      </c>
      <c r="P39" s="18">
        <v>1211.8967538192521</v>
      </c>
      <c r="Q39" s="18">
        <v>1248.2536564338297</v>
      </c>
      <c r="R39" s="18">
        <v>1285.7012661268448</v>
      </c>
      <c r="S39" s="18">
        <v>1324.2723041106501</v>
      </c>
      <c r="T39" s="18">
        <v>1364.0004732339696</v>
      </c>
      <c r="U39" s="18">
        <v>1404.9204874309887</v>
      </c>
      <c r="V39" s="18">
        <v>1447.0681020539184</v>
      </c>
      <c r="W39" s="18">
        <v>1490.4801451155361</v>
      </c>
      <c r="X39" s="18">
        <v>1535.1945494690021</v>
      </c>
      <c r="Y39" s="18">
        <v>1581.2503859530723</v>
      </c>
      <c r="Z39" s="18">
        <v>1628.6878975316645</v>
      </c>
      <c r="AA39" s="18">
        <v>1677.5485344576146</v>
      </c>
      <c r="AB39" s="18">
        <v>1727.8749904913429</v>
      </c>
      <c r="AC39" s="18">
        <v>1779.7112402060832</v>
      </c>
      <c r="AD39" s="18">
        <v>1833.1025774122656</v>
      </c>
      <c r="AE39" s="18">
        <v>1888.0956547346336</v>
      </c>
      <c r="AF39" s="18">
        <v>1944.7385243766728</v>
      </c>
      <c r="AG39" s="18">
        <v>2003.080680107973</v>
      </c>
      <c r="AH39" s="18">
        <v>2063.1731005112124</v>
      </c>
      <c r="AI39" s="18">
        <v>2125.068293526549</v>
      </c>
      <c r="AJ39" s="18">
        <v>2188.8203423323457</v>
      </c>
      <c r="AK39" s="18">
        <v>2254.4849526023163</v>
      </c>
      <c r="AL39" s="18">
        <v>2322.1195011803857</v>
      </c>
      <c r="AM39" s="18">
        <v>2391.7830862157971</v>
      </c>
    </row>
    <row r="40" spans="2:39" s="17" customFormat="1" ht="21" customHeight="1" x14ac:dyDescent="0.25">
      <c r="B40" s="7" t="s">
        <v>60</v>
      </c>
      <c r="C40" s="15"/>
      <c r="D40" s="18">
        <v>600</v>
      </c>
      <c r="E40" s="18">
        <v>618</v>
      </c>
      <c r="F40" s="18">
        <v>636.54</v>
      </c>
      <c r="G40" s="18">
        <v>655.63620000000003</v>
      </c>
      <c r="H40" s="18">
        <v>675.30528600000002</v>
      </c>
      <c r="I40" s="18">
        <v>695.56444457999999</v>
      </c>
      <c r="J40" s="18">
        <v>716.43137791740003</v>
      </c>
      <c r="K40" s="18">
        <v>737.92431925492201</v>
      </c>
      <c r="L40" s="18">
        <v>760.06204883256964</v>
      </c>
      <c r="M40" s="18">
        <v>782.86391029754679</v>
      </c>
      <c r="N40" s="18">
        <v>806.34982760647324</v>
      </c>
      <c r="O40" s="18">
        <v>830.54032243466747</v>
      </c>
      <c r="P40" s="18">
        <v>855.45653210770752</v>
      </c>
      <c r="Q40" s="18">
        <v>881.12022807093877</v>
      </c>
      <c r="R40" s="18">
        <v>907.55383491306691</v>
      </c>
      <c r="S40" s="18">
        <v>934.7804499604589</v>
      </c>
      <c r="T40" s="18">
        <v>962.82386345927273</v>
      </c>
      <c r="U40" s="18">
        <v>991.70857936305094</v>
      </c>
      <c r="V40" s="18">
        <v>1021.4598367439424</v>
      </c>
      <c r="W40" s="18">
        <v>1052.1036318462607</v>
      </c>
      <c r="X40" s="18">
        <v>1083.6667408016485</v>
      </c>
      <c r="Y40" s="18">
        <v>1116.176743025698</v>
      </c>
      <c r="Z40" s="18">
        <v>1149.6620453164689</v>
      </c>
      <c r="AA40" s="18">
        <v>1184.1519066759631</v>
      </c>
      <c r="AB40" s="18">
        <v>1219.676463876242</v>
      </c>
      <c r="AC40" s="18">
        <v>1256.2667577925292</v>
      </c>
      <c r="AD40" s="18">
        <v>1293.9547605263051</v>
      </c>
      <c r="AE40" s="18">
        <v>1332.7734033420943</v>
      </c>
      <c r="AF40" s="18">
        <v>1372.7566054423571</v>
      </c>
      <c r="AG40" s="18">
        <v>1413.9393036056279</v>
      </c>
      <c r="AH40" s="18">
        <v>1456.3574827137968</v>
      </c>
      <c r="AI40" s="18">
        <v>1500.0482071952108</v>
      </c>
      <c r="AJ40" s="18">
        <v>1545.0496534110671</v>
      </c>
      <c r="AK40" s="18">
        <v>1591.4011430133992</v>
      </c>
      <c r="AL40" s="18">
        <v>1639.1431773038012</v>
      </c>
      <c r="AM40" s="18">
        <v>1688.3174726229151</v>
      </c>
    </row>
    <row r="41" spans="2:39" s="17" customFormat="1" ht="21" customHeight="1" x14ac:dyDescent="0.25">
      <c r="B41" s="7" t="s">
        <v>61</v>
      </c>
      <c r="C41" s="15"/>
      <c r="D41" s="18">
        <v>250</v>
      </c>
      <c r="E41" s="18">
        <v>257.5</v>
      </c>
      <c r="F41" s="18">
        <v>265.22500000000002</v>
      </c>
      <c r="G41" s="18">
        <v>273.18175000000002</v>
      </c>
      <c r="H41" s="18">
        <v>281.37720250000001</v>
      </c>
      <c r="I41" s="18">
        <v>289.81851857500004</v>
      </c>
      <c r="J41" s="18">
        <v>298.51307413225004</v>
      </c>
      <c r="K41" s="18">
        <v>307.46846635621756</v>
      </c>
      <c r="L41" s="18">
        <v>316.69252034690408</v>
      </c>
      <c r="M41" s="18">
        <v>326.19329595731119</v>
      </c>
      <c r="N41" s="18">
        <v>335.97909483603053</v>
      </c>
      <c r="O41" s="18">
        <v>346.05846768111144</v>
      </c>
      <c r="P41" s="18">
        <v>356.44022171154478</v>
      </c>
      <c r="Q41" s="18">
        <v>367.13342836289115</v>
      </c>
      <c r="R41" s="18">
        <v>378.14743121377791</v>
      </c>
      <c r="S41" s="18">
        <v>389.49185415019127</v>
      </c>
      <c r="T41" s="18">
        <v>401.176609774697</v>
      </c>
      <c r="U41" s="18">
        <v>413.21190806793794</v>
      </c>
      <c r="V41" s="18">
        <v>425.6082653099761</v>
      </c>
      <c r="W41" s="18">
        <v>438.37651326927539</v>
      </c>
      <c r="X41" s="18">
        <v>451.52780866735367</v>
      </c>
      <c r="Y41" s="18">
        <v>465.07364292737429</v>
      </c>
      <c r="Z41" s="18">
        <v>479.02585221519553</v>
      </c>
      <c r="AA41" s="18">
        <v>493.39662778165143</v>
      </c>
      <c r="AB41" s="18">
        <v>508.198526615101</v>
      </c>
      <c r="AC41" s="18">
        <v>523.44448241355406</v>
      </c>
      <c r="AD41" s="18">
        <v>539.14781688596065</v>
      </c>
      <c r="AE41" s="18">
        <v>555.32225139253944</v>
      </c>
      <c r="AF41" s="18">
        <v>571.98191893431567</v>
      </c>
      <c r="AG41" s="18">
        <v>589.14137650234511</v>
      </c>
      <c r="AH41" s="18">
        <v>606.81561779741548</v>
      </c>
      <c r="AI41" s="18">
        <v>625.02008633133801</v>
      </c>
      <c r="AJ41" s="18">
        <v>643.77068892127818</v>
      </c>
      <c r="AK41" s="18">
        <v>663.08380958891655</v>
      </c>
      <c r="AL41" s="18">
        <v>682.97632387658405</v>
      </c>
      <c r="AM41" s="18">
        <v>703.4656135928816</v>
      </c>
    </row>
    <row r="42" spans="2:39" s="32" customFormat="1" ht="21" customHeight="1" x14ac:dyDescent="0.25">
      <c r="B42" s="28" t="s">
        <v>62</v>
      </c>
      <c r="C42" s="29"/>
      <c r="D42" s="31">
        <f t="shared" ref="D42" si="58">SUM(D41, D40, D39 + D38)</f>
        <v>1700</v>
      </c>
      <c r="E42" s="31">
        <v>1700</v>
      </c>
      <c r="F42" s="31">
        <v>1700</v>
      </c>
      <c r="G42" s="31">
        <v>1700</v>
      </c>
      <c r="H42" s="31">
        <v>1700</v>
      </c>
      <c r="I42" s="31">
        <v>1700</v>
      </c>
      <c r="J42" s="31">
        <v>1700</v>
      </c>
      <c r="K42" s="31">
        <v>1700</v>
      </c>
      <c r="L42" s="31">
        <v>1700</v>
      </c>
      <c r="M42" s="31">
        <v>1700</v>
      </c>
      <c r="N42" s="31">
        <v>1700</v>
      </c>
      <c r="O42" s="31">
        <v>1700</v>
      </c>
      <c r="P42" s="31">
        <v>1700</v>
      </c>
      <c r="Q42" s="31">
        <v>1700</v>
      </c>
      <c r="R42" s="31">
        <v>1700</v>
      </c>
      <c r="S42" s="31">
        <v>1700</v>
      </c>
      <c r="T42" s="31">
        <v>1700</v>
      </c>
      <c r="U42" s="31">
        <v>1700</v>
      </c>
      <c r="V42" s="31">
        <v>1700</v>
      </c>
      <c r="W42" s="31">
        <v>1700</v>
      </c>
      <c r="X42" s="31">
        <v>1700</v>
      </c>
      <c r="Y42" s="31">
        <v>1700</v>
      </c>
      <c r="Z42" s="31">
        <v>1700</v>
      </c>
      <c r="AA42" s="31">
        <v>1700</v>
      </c>
      <c r="AB42" s="31">
        <v>1700</v>
      </c>
      <c r="AC42" s="31">
        <v>1700</v>
      </c>
      <c r="AD42" s="31">
        <v>1700</v>
      </c>
      <c r="AE42" s="31">
        <v>1700</v>
      </c>
      <c r="AF42" s="31">
        <v>1700</v>
      </c>
      <c r="AG42" s="31">
        <v>1700</v>
      </c>
      <c r="AH42" s="31">
        <v>1700</v>
      </c>
      <c r="AI42" s="31">
        <v>1700</v>
      </c>
      <c r="AJ42" s="31">
        <v>1700</v>
      </c>
      <c r="AK42" s="31">
        <v>1700</v>
      </c>
      <c r="AL42" s="31">
        <v>1700</v>
      </c>
      <c r="AM42" s="31">
        <v>1700</v>
      </c>
    </row>
    <row r="43" spans="2:39" s="17" customFormat="1" ht="21" customHeight="1" x14ac:dyDescent="0.25">
      <c r="B43" s="5" t="s">
        <v>63</v>
      </c>
      <c r="C43" s="15"/>
      <c r="D43" s="19">
        <f t="shared" ref="D43:AM43" si="59">SUM(D41, D40, D39, D38, D37, D35, D34, D33, D32, D31, D30, D28, D27, D26, D25, D24, D22, D21, D20, D19, D18, D17, D16, D15, D14 + D13)</f>
        <v>43850</v>
      </c>
      <c r="E43" s="19">
        <f t="shared" ref="E43:AL43" si="60">SUM(E41, E40, E39, E38, E37, E35, E34, E33, E32, E31, E30, E28, E27, E26, E25, E24, E22, E21, E20, E19, E18, E17, E16, E15, E14 + E13)</f>
        <v>42465.5</v>
      </c>
      <c r="F43" s="19">
        <f t="shared" si="60"/>
        <v>38306.214999999997</v>
      </c>
      <c r="G43" s="19">
        <f t="shared" si="60"/>
        <v>38765.816450000006</v>
      </c>
      <c r="H43" s="19">
        <f t="shared" si="60"/>
        <v>39245.836568500003</v>
      </c>
      <c r="I43" s="19">
        <f t="shared" si="60"/>
        <v>40103.589018055005</v>
      </c>
      <c r="J43" s="19">
        <f t="shared" si="60"/>
        <v>40751.984044044104</v>
      </c>
      <c r="K43" s="19">
        <f t="shared" si="60"/>
        <v>41974.543565365428</v>
      </c>
      <c r="L43" s="19">
        <f t="shared" si="60"/>
        <v>43233.779872326399</v>
      </c>
      <c r="M43" s="19">
        <f t="shared" si="60"/>
        <v>37020.568509279212</v>
      </c>
      <c r="N43" s="19">
        <f t="shared" si="60"/>
        <v>34990.948623968274</v>
      </c>
      <c r="O43" s="19">
        <f t="shared" si="60"/>
        <v>35603.643304763711</v>
      </c>
      <c r="P43" s="19">
        <f t="shared" si="60"/>
        <v>36671.752603906629</v>
      </c>
      <c r="Q43" s="19">
        <f t="shared" si="60"/>
        <v>37609.949819149071</v>
      </c>
      <c r="R43" s="19">
        <f t="shared" si="60"/>
        <v>37645.049614318908</v>
      </c>
      <c r="S43" s="19">
        <f t="shared" si="60"/>
        <v>38118.481883105698</v>
      </c>
      <c r="T43" s="19">
        <f t="shared" si="60"/>
        <v>36197.416137763867</v>
      </c>
      <c r="U43" s="19">
        <f t="shared" si="60"/>
        <v>35273.847168260807</v>
      </c>
      <c r="V43" s="19">
        <f t="shared" si="60"/>
        <v>36332.062583308638</v>
      </c>
      <c r="W43" s="19">
        <f t="shared" si="60"/>
        <v>32251.101487757755</v>
      </c>
      <c r="X43" s="19">
        <f t="shared" si="60"/>
        <v>32042.492079250555</v>
      </c>
      <c r="Y43" s="19">
        <f t="shared" si="60"/>
        <v>33003.766841628072</v>
      </c>
      <c r="Z43" s="19">
        <f t="shared" si="60"/>
        <v>31886.790375003955</v>
      </c>
      <c r="AA43" s="19">
        <f t="shared" si="60"/>
        <v>31209.31559444272</v>
      </c>
      <c r="AB43" s="19">
        <f t="shared" si="60"/>
        <v>31818.882410318245</v>
      </c>
      <c r="AC43" s="19">
        <f t="shared" si="60"/>
        <v>31891.324722341862</v>
      </c>
      <c r="AD43" s="19">
        <f t="shared" si="60"/>
        <v>32318.789967840556</v>
      </c>
      <c r="AE43" s="19">
        <f t="shared" si="60"/>
        <v>31770.592231972463</v>
      </c>
      <c r="AF43" s="19">
        <f t="shared" si="60"/>
        <v>31240.964881794564</v>
      </c>
      <c r="AG43" s="19">
        <f t="shared" si="60"/>
        <v>31672.837246558836</v>
      </c>
      <c r="AH43" s="19">
        <f t="shared" si="60"/>
        <v>28208.781402660974</v>
      </c>
      <c r="AI43" s="19">
        <f t="shared" si="60"/>
        <v>29055.044844740802</v>
      </c>
      <c r="AJ43" s="19">
        <f t="shared" si="60"/>
        <v>29926.696190083028</v>
      </c>
      <c r="AK43" s="19">
        <f t="shared" si="60"/>
        <v>30824.497075785523</v>
      </c>
      <c r="AL43" s="19">
        <f t="shared" si="60"/>
        <v>29829.698032314416</v>
      </c>
      <c r="AM43" s="19">
        <f t="shared" si="59"/>
        <v>26457.534721207896</v>
      </c>
    </row>
    <row r="44" spans="2:39" s="21" customFormat="1" ht="21" customHeight="1" x14ac:dyDescent="0.25">
      <c r="B44" s="5" t="s">
        <v>64</v>
      </c>
      <c r="C44" s="22"/>
      <c r="D44" s="23">
        <f t="shared" ref="D44:AM44" si="61">D12-D43</f>
        <v>-43850</v>
      </c>
      <c r="E44" s="23">
        <f t="shared" ref="E44:AL44" si="62">E12-E43</f>
        <v>-42465.5</v>
      </c>
      <c r="F44" s="23">
        <f t="shared" si="62"/>
        <v>-38306.214999999997</v>
      </c>
      <c r="G44" s="23">
        <f t="shared" si="62"/>
        <v>-38765.816450000006</v>
      </c>
      <c r="H44" s="23">
        <f t="shared" si="62"/>
        <v>-39245.836568500003</v>
      </c>
      <c r="I44" s="23">
        <f t="shared" si="62"/>
        <v>-40103.589018055005</v>
      </c>
      <c r="J44" s="23">
        <f t="shared" si="62"/>
        <v>-40751.984044044104</v>
      </c>
      <c r="K44" s="23">
        <f t="shared" si="62"/>
        <v>-41974.543565365428</v>
      </c>
      <c r="L44" s="23">
        <f t="shared" si="62"/>
        <v>-43233.779872326399</v>
      </c>
      <c r="M44" s="23">
        <f t="shared" si="62"/>
        <v>-37020.568509279212</v>
      </c>
      <c r="N44" s="23">
        <f t="shared" si="62"/>
        <v>-34990.948623968274</v>
      </c>
      <c r="O44" s="23">
        <f t="shared" si="62"/>
        <v>-35603.643304763711</v>
      </c>
      <c r="P44" s="23">
        <f t="shared" si="62"/>
        <v>-36671.752603906629</v>
      </c>
      <c r="Q44" s="23">
        <f t="shared" si="62"/>
        <v>-37609.949819149071</v>
      </c>
      <c r="R44" s="23">
        <f t="shared" si="62"/>
        <v>-37645.049614318908</v>
      </c>
      <c r="S44" s="23">
        <f t="shared" si="62"/>
        <v>-38118.481883105698</v>
      </c>
      <c r="T44" s="23">
        <f t="shared" si="62"/>
        <v>-36197.416137763867</v>
      </c>
      <c r="U44" s="23">
        <f t="shared" si="62"/>
        <v>-35273.847168260807</v>
      </c>
      <c r="V44" s="23">
        <f t="shared" si="62"/>
        <v>-36332.062583308638</v>
      </c>
      <c r="W44" s="23">
        <f t="shared" si="62"/>
        <v>-32251.101487757755</v>
      </c>
      <c r="X44" s="23">
        <f t="shared" si="62"/>
        <v>-32042.492079250555</v>
      </c>
      <c r="Y44" s="23">
        <f t="shared" si="62"/>
        <v>-33003.766841628072</v>
      </c>
      <c r="Z44" s="23">
        <f t="shared" si="62"/>
        <v>-31886.790375003955</v>
      </c>
      <c r="AA44" s="23">
        <f t="shared" si="62"/>
        <v>-31209.31559444272</v>
      </c>
      <c r="AB44" s="23">
        <f t="shared" si="62"/>
        <v>-31818.882410318245</v>
      </c>
      <c r="AC44" s="23">
        <f t="shared" si="62"/>
        <v>-31891.324722341862</v>
      </c>
      <c r="AD44" s="23">
        <f t="shared" si="62"/>
        <v>-32318.789967840556</v>
      </c>
      <c r="AE44" s="23">
        <f t="shared" si="62"/>
        <v>-31770.592231972463</v>
      </c>
      <c r="AF44" s="23">
        <f t="shared" si="62"/>
        <v>-31240.964881794564</v>
      </c>
      <c r="AG44" s="23">
        <f t="shared" si="62"/>
        <v>-31672.837246558836</v>
      </c>
      <c r="AH44" s="23">
        <f t="shared" si="62"/>
        <v>-28208.781402660974</v>
      </c>
      <c r="AI44" s="23">
        <f t="shared" si="62"/>
        <v>-29055.044844740802</v>
      </c>
      <c r="AJ44" s="23">
        <f t="shared" si="62"/>
        <v>-29926.696190083028</v>
      </c>
      <c r="AK44" s="23">
        <f t="shared" si="62"/>
        <v>-30824.497075785523</v>
      </c>
      <c r="AL44" s="23">
        <f t="shared" si="62"/>
        <v>-29829.698032314416</v>
      </c>
      <c r="AM44" s="23">
        <f t="shared" si="61"/>
        <v>-26457.534721207896</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63">SUM(D46 + D45)</f>
        <v>0</v>
      </c>
      <c r="E47" s="19">
        <f t="shared" si="63"/>
        <v>0</v>
      </c>
      <c r="F47" s="19">
        <f t="shared" si="63"/>
        <v>0</v>
      </c>
      <c r="G47" s="19">
        <f t="shared" si="63"/>
        <v>0</v>
      </c>
      <c r="H47" s="19">
        <f t="shared" si="63"/>
        <v>0</v>
      </c>
      <c r="I47" s="19">
        <f t="shared" si="63"/>
        <v>0</v>
      </c>
      <c r="J47" s="19">
        <f t="shared" si="63"/>
        <v>0</v>
      </c>
      <c r="K47" s="19">
        <f t="shared" si="63"/>
        <v>0</v>
      </c>
      <c r="L47" s="19">
        <f t="shared" si="63"/>
        <v>0</v>
      </c>
      <c r="M47" s="19">
        <f t="shared" si="63"/>
        <v>0</v>
      </c>
      <c r="N47" s="19">
        <f t="shared" si="63"/>
        <v>0</v>
      </c>
      <c r="O47" s="19">
        <f t="shared" si="63"/>
        <v>0</v>
      </c>
      <c r="P47" s="19">
        <f t="shared" si="63"/>
        <v>0</v>
      </c>
      <c r="Q47" s="19">
        <f t="shared" si="63"/>
        <v>0</v>
      </c>
      <c r="R47" s="19">
        <f t="shared" si="63"/>
        <v>0</v>
      </c>
      <c r="S47" s="19">
        <f t="shared" si="63"/>
        <v>0</v>
      </c>
      <c r="T47" s="19">
        <f t="shared" si="63"/>
        <v>0</v>
      </c>
      <c r="U47" s="19">
        <f t="shared" si="63"/>
        <v>0</v>
      </c>
      <c r="V47" s="19">
        <f t="shared" si="63"/>
        <v>0</v>
      </c>
      <c r="W47" s="19">
        <f t="shared" si="63"/>
        <v>0</v>
      </c>
      <c r="X47" s="19">
        <f t="shared" si="63"/>
        <v>0</v>
      </c>
      <c r="Y47" s="19">
        <f t="shared" si="63"/>
        <v>0</v>
      </c>
      <c r="Z47" s="19">
        <f t="shared" si="63"/>
        <v>0</v>
      </c>
      <c r="AA47" s="19">
        <f t="shared" si="63"/>
        <v>0</v>
      </c>
      <c r="AB47" s="19">
        <f t="shared" si="63"/>
        <v>0</v>
      </c>
      <c r="AC47" s="19">
        <f t="shared" si="63"/>
        <v>0</v>
      </c>
      <c r="AD47" s="19">
        <f t="shared" si="63"/>
        <v>0</v>
      </c>
      <c r="AE47" s="19">
        <f t="shared" si="63"/>
        <v>0</v>
      </c>
      <c r="AF47" s="19">
        <f t="shared" si="63"/>
        <v>0</v>
      </c>
      <c r="AG47" s="19">
        <f t="shared" si="63"/>
        <v>0</v>
      </c>
      <c r="AH47" s="19">
        <f t="shared" si="63"/>
        <v>0</v>
      </c>
      <c r="AI47" s="19">
        <f t="shared" si="63"/>
        <v>0</v>
      </c>
      <c r="AJ47" s="19">
        <f t="shared" si="63"/>
        <v>0</v>
      </c>
      <c r="AK47" s="19">
        <f t="shared" si="63"/>
        <v>0</v>
      </c>
      <c r="AL47" s="19">
        <f t="shared" si="63"/>
        <v>0</v>
      </c>
      <c r="AM47" s="19">
        <f t="shared" ref="AM47" si="64">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65">SUM(D50, D49 + D48)</f>
        <v>0</v>
      </c>
      <c r="E51" s="19">
        <f t="shared" ref="E51:AL51" si="66">SUM(E50, E49 + E48)</f>
        <v>0</v>
      </c>
      <c r="F51" s="19">
        <f t="shared" si="66"/>
        <v>0</v>
      </c>
      <c r="G51" s="19">
        <f t="shared" si="66"/>
        <v>0</v>
      </c>
      <c r="H51" s="19">
        <f t="shared" si="66"/>
        <v>0</v>
      </c>
      <c r="I51" s="19">
        <f t="shared" si="66"/>
        <v>0</v>
      </c>
      <c r="J51" s="19">
        <f t="shared" si="66"/>
        <v>0</v>
      </c>
      <c r="K51" s="19">
        <f t="shared" si="66"/>
        <v>0</v>
      </c>
      <c r="L51" s="19">
        <f t="shared" si="66"/>
        <v>0</v>
      </c>
      <c r="M51" s="19">
        <f t="shared" si="66"/>
        <v>0</v>
      </c>
      <c r="N51" s="19">
        <f t="shared" si="66"/>
        <v>0</v>
      </c>
      <c r="O51" s="19">
        <f t="shared" si="66"/>
        <v>0</v>
      </c>
      <c r="P51" s="19">
        <f t="shared" si="66"/>
        <v>0</v>
      </c>
      <c r="Q51" s="19">
        <f t="shared" si="66"/>
        <v>0</v>
      </c>
      <c r="R51" s="19">
        <f t="shared" si="66"/>
        <v>0</v>
      </c>
      <c r="S51" s="19">
        <f t="shared" si="66"/>
        <v>0</v>
      </c>
      <c r="T51" s="19">
        <f t="shared" si="66"/>
        <v>0</v>
      </c>
      <c r="U51" s="19">
        <f t="shared" si="66"/>
        <v>0</v>
      </c>
      <c r="V51" s="19">
        <f t="shared" si="66"/>
        <v>0</v>
      </c>
      <c r="W51" s="19">
        <f t="shared" si="66"/>
        <v>0</v>
      </c>
      <c r="X51" s="19">
        <f t="shared" si="66"/>
        <v>0</v>
      </c>
      <c r="Y51" s="19">
        <f t="shared" si="66"/>
        <v>0</v>
      </c>
      <c r="Z51" s="19">
        <f t="shared" si="66"/>
        <v>0</v>
      </c>
      <c r="AA51" s="19">
        <f t="shared" si="66"/>
        <v>0</v>
      </c>
      <c r="AB51" s="19">
        <f t="shared" si="66"/>
        <v>0</v>
      </c>
      <c r="AC51" s="19">
        <f t="shared" si="66"/>
        <v>0</v>
      </c>
      <c r="AD51" s="19">
        <f t="shared" si="66"/>
        <v>0</v>
      </c>
      <c r="AE51" s="19">
        <f t="shared" si="66"/>
        <v>0</v>
      </c>
      <c r="AF51" s="19">
        <f t="shared" si="66"/>
        <v>0</v>
      </c>
      <c r="AG51" s="19">
        <f t="shared" si="66"/>
        <v>0</v>
      </c>
      <c r="AH51" s="19">
        <f t="shared" si="66"/>
        <v>0</v>
      </c>
      <c r="AI51" s="19">
        <f t="shared" si="66"/>
        <v>0</v>
      </c>
      <c r="AJ51" s="19">
        <f t="shared" si="66"/>
        <v>0</v>
      </c>
      <c r="AK51" s="19">
        <f t="shared" si="66"/>
        <v>0</v>
      </c>
      <c r="AL51" s="19">
        <f t="shared" si="66"/>
        <v>0</v>
      </c>
      <c r="AM51" s="19">
        <f t="shared" si="65"/>
        <v>0</v>
      </c>
    </row>
    <row r="52" spans="2:39" s="21" customFormat="1" ht="21" customHeight="1" x14ac:dyDescent="0.25">
      <c r="B52" s="5" t="s">
        <v>72</v>
      </c>
      <c r="C52" s="22"/>
      <c r="D52" s="23">
        <f t="shared" ref="D52:AM52" si="67">D47-D51</f>
        <v>0</v>
      </c>
      <c r="E52" s="23">
        <f t="shared" ref="E52:AL52" si="68">E47-E51</f>
        <v>0</v>
      </c>
      <c r="F52" s="23">
        <f t="shared" si="68"/>
        <v>0</v>
      </c>
      <c r="G52" s="23">
        <f t="shared" si="68"/>
        <v>0</v>
      </c>
      <c r="H52" s="23">
        <f t="shared" si="68"/>
        <v>0</v>
      </c>
      <c r="I52" s="23">
        <f t="shared" si="68"/>
        <v>0</v>
      </c>
      <c r="J52" s="23">
        <f t="shared" si="68"/>
        <v>0</v>
      </c>
      <c r="K52" s="23">
        <f t="shared" si="68"/>
        <v>0</v>
      </c>
      <c r="L52" s="23">
        <f t="shared" si="68"/>
        <v>0</v>
      </c>
      <c r="M52" s="23">
        <f t="shared" si="68"/>
        <v>0</v>
      </c>
      <c r="N52" s="23">
        <f t="shared" si="68"/>
        <v>0</v>
      </c>
      <c r="O52" s="23">
        <f t="shared" si="68"/>
        <v>0</v>
      </c>
      <c r="P52" s="23">
        <f t="shared" si="68"/>
        <v>0</v>
      </c>
      <c r="Q52" s="23">
        <f t="shared" si="68"/>
        <v>0</v>
      </c>
      <c r="R52" s="23">
        <f t="shared" si="68"/>
        <v>0</v>
      </c>
      <c r="S52" s="23">
        <f t="shared" si="68"/>
        <v>0</v>
      </c>
      <c r="T52" s="23">
        <f t="shared" si="68"/>
        <v>0</v>
      </c>
      <c r="U52" s="23">
        <f t="shared" si="68"/>
        <v>0</v>
      </c>
      <c r="V52" s="23">
        <f t="shared" si="68"/>
        <v>0</v>
      </c>
      <c r="W52" s="23">
        <f t="shared" si="68"/>
        <v>0</v>
      </c>
      <c r="X52" s="23">
        <f t="shared" si="68"/>
        <v>0</v>
      </c>
      <c r="Y52" s="23">
        <f t="shared" si="68"/>
        <v>0</v>
      </c>
      <c r="Z52" s="23">
        <f t="shared" si="68"/>
        <v>0</v>
      </c>
      <c r="AA52" s="23">
        <f t="shared" si="68"/>
        <v>0</v>
      </c>
      <c r="AB52" s="23">
        <f t="shared" si="68"/>
        <v>0</v>
      </c>
      <c r="AC52" s="23">
        <f t="shared" si="68"/>
        <v>0</v>
      </c>
      <c r="AD52" s="23">
        <f t="shared" si="68"/>
        <v>0</v>
      </c>
      <c r="AE52" s="23">
        <f t="shared" si="68"/>
        <v>0</v>
      </c>
      <c r="AF52" s="23">
        <f t="shared" si="68"/>
        <v>0</v>
      </c>
      <c r="AG52" s="23">
        <f t="shared" si="68"/>
        <v>0</v>
      </c>
      <c r="AH52" s="23">
        <f t="shared" si="68"/>
        <v>0</v>
      </c>
      <c r="AI52" s="23">
        <f t="shared" si="68"/>
        <v>0</v>
      </c>
      <c r="AJ52" s="23">
        <f t="shared" si="68"/>
        <v>0</v>
      </c>
      <c r="AK52" s="23">
        <f t="shared" si="68"/>
        <v>0</v>
      </c>
      <c r="AL52" s="23">
        <f t="shared" si="68"/>
        <v>0</v>
      </c>
      <c r="AM52" s="23">
        <f t="shared" si="67"/>
        <v>0</v>
      </c>
    </row>
    <row r="53" spans="2:39" s="21" customFormat="1" ht="21" customHeight="1" x14ac:dyDescent="0.25">
      <c r="B53" s="5" t="s">
        <v>73</v>
      </c>
      <c r="C53" s="22"/>
      <c r="D53" s="23">
        <f t="shared" ref="D53:AM53" si="69">D44+D52</f>
        <v>-43850</v>
      </c>
      <c r="E53" s="23">
        <f t="shared" ref="E53:AL53" si="70">E44+E52</f>
        <v>-42465.5</v>
      </c>
      <c r="F53" s="23">
        <f t="shared" si="70"/>
        <v>-38306.214999999997</v>
      </c>
      <c r="G53" s="23">
        <f t="shared" si="70"/>
        <v>-38765.816450000006</v>
      </c>
      <c r="H53" s="23">
        <f t="shared" si="70"/>
        <v>-39245.836568500003</v>
      </c>
      <c r="I53" s="23">
        <f t="shared" si="70"/>
        <v>-40103.589018055005</v>
      </c>
      <c r="J53" s="23">
        <f t="shared" si="70"/>
        <v>-40751.984044044104</v>
      </c>
      <c r="K53" s="23">
        <f t="shared" si="70"/>
        <v>-41974.543565365428</v>
      </c>
      <c r="L53" s="23">
        <f t="shared" si="70"/>
        <v>-43233.779872326399</v>
      </c>
      <c r="M53" s="23">
        <f t="shared" si="70"/>
        <v>-37020.568509279212</v>
      </c>
      <c r="N53" s="23">
        <f t="shared" si="70"/>
        <v>-34990.948623968274</v>
      </c>
      <c r="O53" s="23">
        <f t="shared" si="70"/>
        <v>-35603.643304763711</v>
      </c>
      <c r="P53" s="23">
        <f t="shared" si="70"/>
        <v>-36671.752603906629</v>
      </c>
      <c r="Q53" s="23">
        <f t="shared" si="70"/>
        <v>-37609.949819149071</v>
      </c>
      <c r="R53" s="23">
        <f t="shared" si="70"/>
        <v>-37645.049614318908</v>
      </c>
      <c r="S53" s="23">
        <f t="shared" si="70"/>
        <v>-38118.481883105698</v>
      </c>
      <c r="T53" s="23">
        <f t="shared" si="70"/>
        <v>-36197.416137763867</v>
      </c>
      <c r="U53" s="23">
        <f t="shared" si="70"/>
        <v>-35273.847168260807</v>
      </c>
      <c r="V53" s="23">
        <f t="shared" si="70"/>
        <v>-36332.062583308638</v>
      </c>
      <c r="W53" s="23">
        <f t="shared" si="70"/>
        <v>-32251.101487757755</v>
      </c>
      <c r="X53" s="23">
        <f t="shared" si="70"/>
        <v>-32042.492079250555</v>
      </c>
      <c r="Y53" s="23">
        <f t="shared" si="70"/>
        <v>-33003.766841628072</v>
      </c>
      <c r="Z53" s="23">
        <f t="shared" si="70"/>
        <v>-31886.790375003955</v>
      </c>
      <c r="AA53" s="23">
        <f t="shared" si="70"/>
        <v>-31209.31559444272</v>
      </c>
      <c r="AB53" s="23">
        <f t="shared" si="70"/>
        <v>-31818.882410318245</v>
      </c>
      <c r="AC53" s="23">
        <f t="shared" si="70"/>
        <v>-31891.324722341862</v>
      </c>
      <c r="AD53" s="23">
        <f t="shared" si="70"/>
        <v>-32318.789967840556</v>
      </c>
      <c r="AE53" s="23">
        <f t="shared" si="70"/>
        <v>-31770.592231972463</v>
      </c>
      <c r="AF53" s="23">
        <f t="shared" si="70"/>
        <v>-31240.964881794564</v>
      </c>
      <c r="AG53" s="23">
        <f t="shared" si="70"/>
        <v>-31672.837246558836</v>
      </c>
      <c r="AH53" s="23">
        <f t="shared" si="70"/>
        <v>-28208.781402660974</v>
      </c>
      <c r="AI53" s="23">
        <f t="shared" si="70"/>
        <v>-29055.044844740802</v>
      </c>
      <c r="AJ53" s="23">
        <f t="shared" si="70"/>
        <v>-29926.696190083028</v>
      </c>
      <c r="AK53" s="23">
        <f t="shared" si="70"/>
        <v>-30824.497075785523</v>
      </c>
      <c r="AL53" s="23">
        <f t="shared" si="70"/>
        <v>-29829.698032314416</v>
      </c>
      <c r="AM53" s="23">
        <f t="shared" si="69"/>
        <v>-26457.534721207896</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P304"/>
  <sheetViews>
    <sheetView showGridLines="0" zoomScaleNormal="100" workbookViewId="0">
      <pane xSplit="3" ySplit="4" topLeftCell="AB5" activePane="bottomRight" state="frozen"/>
      <selection pane="topRight" activeCell="F16" sqref="F16"/>
      <selection pane="bottomLeft" activeCell="F16" sqref="F16"/>
      <selection pane="bottomRight" activeCell="X11" sqref="X11:AM11"/>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24</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95000</v>
      </c>
      <c r="E6" s="18">
        <v>97850</v>
      </c>
      <c r="F6" s="18">
        <f>E6*(0.96)</f>
        <v>93936</v>
      </c>
      <c r="G6" s="18">
        <v>96754.08</v>
      </c>
      <c r="H6" s="18">
        <v>99656.702400000009</v>
      </c>
      <c r="I6" s="18">
        <v>102646.40347200001</v>
      </c>
      <c r="J6" s="18">
        <v>105725.79557616</v>
      </c>
      <c r="K6" s="18">
        <f>J6*(0.96)</f>
        <v>101496.7637531136</v>
      </c>
      <c r="L6" s="18">
        <v>104541.66666570702</v>
      </c>
      <c r="M6" s="18">
        <v>107677.91666567823</v>
      </c>
      <c r="N6" s="18">
        <v>110908.25416564858</v>
      </c>
      <c r="O6" s="18">
        <f>N6*(0.96)</f>
        <v>106471.92399902263</v>
      </c>
      <c r="P6" s="18">
        <v>109666.08171899332</v>
      </c>
      <c r="Q6" s="18">
        <v>112956.06417056311</v>
      </c>
      <c r="R6" s="18">
        <v>116344.74609568001</v>
      </c>
      <c r="S6" s="18">
        <f>R6*(0.96)</f>
        <v>111690.9562518528</v>
      </c>
      <c r="T6" s="18">
        <v>115041.68493940838</v>
      </c>
      <c r="U6" s="18">
        <v>118492.93548759064</v>
      </c>
      <c r="V6" s="18">
        <v>122047.72355221836</v>
      </c>
      <c r="W6" s="18">
        <v>125709.15525878491</v>
      </c>
      <c r="X6" s="18">
        <v>129480.42991654847</v>
      </c>
      <c r="Y6" s="18">
        <v>133364.84281404494</v>
      </c>
      <c r="Z6" s="18">
        <v>137365.78809846629</v>
      </c>
      <c r="AA6" s="18">
        <f>Z6*(0.96)</f>
        <v>131871.15657452765</v>
      </c>
      <c r="AB6" s="18">
        <v>135827.29127176348</v>
      </c>
      <c r="AC6" s="18">
        <v>139902.11000991639</v>
      </c>
      <c r="AD6" s="18">
        <v>144099.1733102139</v>
      </c>
      <c r="AE6" s="18">
        <f>AD6*(0.96)</f>
        <v>138335.20637780533</v>
      </c>
      <c r="AF6" s="18">
        <v>142485.26256913948</v>
      </c>
      <c r="AG6" s="18">
        <v>146759.82044621368</v>
      </c>
      <c r="AH6" s="18">
        <f>AG6*(0.96)</f>
        <v>140889.42762836511</v>
      </c>
      <c r="AI6" s="18">
        <v>145116.11045721607</v>
      </c>
      <c r="AJ6" s="18">
        <v>149469.59377093255</v>
      </c>
      <c r="AK6" s="18">
        <v>153953.68158406054</v>
      </c>
      <c r="AL6" s="18">
        <f>AK6*(0.96)</f>
        <v>147795.53432069812</v>
      </c>
      <c r="AM6" s="18">
        <v>152229.40035031908</v>
      </c>
    </row>
    <row r="7" spans="1:39" s="17" customFormat="1" ht="21" customHeight="1" x14ac:dyDescent="0.25">
      <c r="A7" s="14"/>
      <c r="B7" s="5" t="s">
        <v>27</v>
      </c>
      <c r="C7" s="15"/>
      <c r="D7" s="19">
        <f t="shared" ref="D7" si="35">SUM(D6 + D5)</f>
        <v>95000</v>
      </c>
      <c r="E7" s="19">
        <f t="shared" ref="E7:AL7" si="36">SUM(E6 + E5)</f>
        <v>97850</v>
      </c>
      <c r="F7" s="19">
        <f t="shared" si="36"/>
        <v>93936</v>
      </c>
      <c r="G7" s="19">
        <f t="shared" si="36"/>
        <v>96754.08</v>
      </c>
      <c r="H7" s="19">
        <f t="shared" si="36"/>
        <v>99656.702400000009</v>
      </c>
      <c r="I7" s="19">
        <f t="shared" si="36"/>
        <v>102646.40347200001</v>
      </c>
      <c r="J7" s="19">
        <f t="shared" si="36"/>
        <v>105725.79557616</v>
      </c>
      <c r="K7" s="19">
        <f t="shared" si="36"/>
        <v>101496.7637531136</v>
      </c>
      <c r="L7" s="19">
        <f t="shared" si="36"/>
        <v>104541.66666570702</v>
      </c>
      <c r="M7" s="19">
        <f t="shared" si="36"/>
        <v>107677.91666567823</v>
      </c>
      <c r="N7" s="19">
        <f t="shared" si="36"/>
        <v>110908.25416564858</v>
      </c>
      <c r="O7" s="19">
        <f t="shared" si="36"/>
        <v>106471.92399902263</v>
      </c>
      <c r="P7" s="19">
        <f t="shared" si="36"/>
        <v>109666.08171899332</v>
      </c>
      <c r="Q7" s="19">
        <f t="shared" si="36"/>
        <v>112956.06417056311</v>
      </c>
      <c r="R7" s="19">
        <f t="shared" si="36"/>
        <v>116344.74609568001</v>
      </c>
      <c r="S7" s="19">
        <f t="shared" si="36"/>
        <v>111690.9562518528</v>
      </c>
      <c r="T7" s="19">
        <f t="shared" si="36"/>
        <v>115041.68493940838</v>
      </c>
      <c r="U7" s="19">
        <f t="shared" si="36"/>
        <v>118492.93548759064</v>
      </c>
      <c r="V7" s="19">
        <f t="shared" si="36"/>
        <v>122047.72355221836</v>
      </c>
      <c r="W7" s="19">
        <f t="shared" si="36"/>
        <v>125709.15525878491</v>
      </c>
      <c r="X7" s="19">
        <f t="shared" si="36"/>
        <v>129480.42991654847</v>
      </c>
      <c r="Y7" s="19">
        <f t="shared" si="36"/>
        <v>133364.84281404494</v>
      </c>
      <c r="Z7" s="19">
        <f t="shared" si="36"/>
        <v>137365.78809846629</v>
      </c>
      <c r="AA7" s="19">
        <f t="shared" si="36"/>
        <v>131871.15657452765</v>
      </c>
      <c r="AB7" s="19">
        <f t="shared" si="36"/>
        <v>135827.29127176348</v>
      </c>
      <c r="AC7" s="19">
        <f t="shared" si="36"/>
        <v>139902.11000991639</v>
      </c>
      <c r="AD7" s="19">
        <f t="shared" si="36"/>
        <v>144099.1733102139</v>
      </c>
      <c r="AE7" s="19">
        <f t="shared" si="36"/>
        <v>138335.20637780533</v>
      </c>
      <c r="AF7" s="19">
        <f t="shared" si="36"/>
        <v>142485.26256913948</v>
      </c>
      <c r="AG7" s="19">
        <f t="shared" si="36"/>
        <v>146759.82044621368</v>
      </c>
      <c r="AH7" s="19">
        <f t="shared" si="36"/>
        <v>140889.42762836511</v>
      </c>
      <c r="AI7" s="19">
        <f t="shared" si="36"/>
        <v>145116.11045721607</v>
      </c>
      <c r="AJ7" s="19">
        <f t="shared" si="36"/>
        <v>149469.59377093255</v>
      </c>
      <c r="AK7" s="19">
        <f t="shared" si="36"/>
        <v>153953.68158406054</v>
      </c>
      <c r="AL7" s="19">
        <f t="shared" si="36"/>
        <v>147795.53432069812</v>
      </c>
      <c r="AM7" s="19">
        <f t="shared" ref="AM7" si="37">SUM(AM6 + AM5)</f>
        <v>152229.40035031908</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800</v>
      </c>
      <c r="E9" s="18">
        <v>832</v>
      </c>
      <c r="F9" s="18">
        <v>865.28</v>
      </c>
      <c r="G9" s="18">
        <v>899.89120000000003</v>
      </c>
      <c r="H9" s="18">
        <v>935.8868480000001</v>
      </c>
      <c r="I9" s="18">
        <v>973.32232192000015</v>
      </c>
      <c r="J9" s="18">
        <v>1012.2552147968001</v>
      </c>
      <c r="K9" s="18">
        <v>1052.7454233886722</v>
      </c>
      <c r="L9" s="18">
        <v>1094.855240324219</v>
      </c>
      <c r="M9" s="18">
        <v>1138.6494499371879</v>
      </c>
      <c r="N9" s="18">
        <v>1184.1954279346755</v>
      </c>
      <c r="O9" s="18">
        <v>1231.5632450520627</v>
      </c>
      <c r="P9" s="18">
        <v>1280.8257748541453</v>
      </c>
      <c r="Q9" s="18">
        <v>1332.0588058483111</v>
      </c>
      <c r="R9" s="18">
        <v>1385.3411580822435</v>
      </c>
      <c r="S9" s="18">
        <v>1440.7548044055334</v>
      </c>
      <c r="T9" s="18">
        <v>1498.3849965817549</v>
      </c>
      <c r="U9" s="18">
        <v>1558.3203964450252</v>
      </c>
      <c r="V9" s="18">
        <v>1620.6532123028262</v>
      </c>
      <c r="W9" s="18">
        <v>1685.4793407949394</v>
      </c>
      <c r="X9" s="18">
        <v>1752.8985144267369</v>
      </c>
      <c r="Y9" s="18">
        <v>1823.0144550038065</v>
      </c>
      <c r="Z9" s="18">
        <v>1895.9350332039587</v>
      </c>
      <c r="AA9" s="18">
        <v>1971.7724345321171</v>
      </c>
      <c r="AB9" s="18">
        <v>2050.6433319134021</v>
      </c>
      <c r="AC9" s="18">
        <v>2132.6690651899385</v>
      </c>
      <c r="AD9" s="18">
        <v>2217.9758277975361</v>
      </c>
      <c r="AE9" s="18">
        <v>2306.6948609094375</v>
      </c>
      <c r="AF9" s="18">
        <v>2398.9626553458152</v>
      </c>
      <c r="AG9" s="18">
        <v>2494.9211615596478</v>
      </c>
      <c r="AH9" s="18">
        <v>2594.7180080220337</v>
      </c>
      <c r="AI9" s="18">
        <v>2698.5067283429153</v>
      </c>
      <c r="AJ9" s="18">
        <v>2806.4469974766321</v>
      </c>
      <c r="AK9" s="18">
        <v>2918.7048773756974</v>
      </c>
      <c r="AL9" s="18">
        <v>3035.4530724707256</v>
      </c>
      <c r="AM9" s="18">
        <v>3156.8711953695547</v>
      </c>
    </row>
    <row r="10" spans="1:39" s="17" customFormat="1" ht="21" customHeight="1" x14ac:dyDescent="0.25">
      <c r="A10" s="14"/>
      <c r="B10" s="4" t="s">
        <v>30</v>
      </c>
      <c r="C10" s="15"/>
      <c r="D10" s="18">
        <v>250</v>
      </c>
      <c r="E10" s="18">
        <v>260</v>
      </c>
      <c r="F10" s="18">
        <v>270.40000000000003</v>
      </c>
      <c r="G10" s="18">
        <v>281.21600000000007</v>
      </c>
      <c r="H10" s="18">
        <v>292.46464000000009</v>
      </c>
      <c r="I10" s="18">
        <v>304.16322560000009</v>
      </c>
      <c r="J10" s="18">
        <v>316.32975462400009</v>
      </c>
      <c r="K10" s="18">
        <v>328.9829448089601</v>
      </c>
      <c r="L10" s="18">
        <v>342.14226260131852</v>
      </c>
      <c r="M10" s="18">
        <v>355.82795310537125</v>
      </c>
      <c r="N10" s="18">
        <v>370.0610712295861</v>
      </c>
      <c r="O10" s="18">
        <v>384.86351407876958</v>
      </c>
      <c r="P10" s="18">
        <v>400.25805464192035</v>
      </c>
      <c r="Q10" s="18">
        <v>416.26837682759719</v>
      </c>
      <c r="R10" s="18">
        <v>432.91911190070107</v>
      </c>
      <c r="S10" s="18">
        <v>450.23587637672915</v>
      </c>
      <c r="T10" s="18">
        <v>468.24531143179831</v>
      </c>
      <c r="U10" s="18">
        <v>486.97512388907029</v>
      </c>
      <c r="V10" s="18">
        <v>506.45412884463315</v>
      </c>
      <c r="W10" s="18">
        <v>526.71229399841855</v>
      </c>
      <c r="X10" s="18">
        <v>547.78078575835525</v>
      </c>
      <c r="Y10" s="18">
        <v>569.69201718868953</v>
      </c>
      <c r="Z10" s="18">
        <v>592.47969787623708</v>
      </c>
      <c r="AA10" s="18">
        <v>616.17888579128658</v>
      </c>
      <c r="AB10" s="18">
        <v>640.8260412229381</v>
      </c>
      <c r="AC10" s="18">
        <v>666.45908287185568</v>
      </c>
      <c r="AD10" s="18">
        <v>693.11744618672992</v>
      </c>
      <c r="AE10" s="18">
        <v>720.84214403419912</v>
      </c>
      <c r="AF10" s="18">
        <v>749.6758297955671</v>
      </c>
      <c r="AG10" s="18">
        <v>779.66286298738976</v>
      </c>
      <c r="AH10" s="18">
        <v>810.84937750688539</v>
      </c>
      <c r="AI10" s="18">
        <v>843.28335260716085</v>
      </c>
      <c r="AJ10" s="18">
        <v>877.01468671144733</v>
      </c>
      <c r="AK10" s="18">
        <v>912.09527417990523</v>
      </c>
      <c r="AL10" s="18">
        <v>948.57908514710152</v>
      </c>
      <c r="AM10" s="18">
        <v>986.52224855298562</v>
      </c>
    </row>
    <row r="11" spans="1:39" s="17" customFormat="1" ht="21" customHeight="1" x14ac:dyDescent="0.25">
      <c r="A11" s="14"/>
      <c r="B11" s="5" t="s">
        <v>31</v>
      </c>
      <c r="C11" s="15"/>
      <c r="D11" s="19">
        <f t="shared" ref="D11:AM11" si="38">SUM(D10, D9 + D8)</f>
        <v>1050</v>
      </c>
      <c r="E11" s="19">
        <f t="shared" ref="E11:AL11" si="39">SUM(E10, E9 + E8)</f>
        <v>1092</v>
      </c>
      <c r="F11" s="19">
        <f t="shared" si="39"/>
        <v>1135.68</v>
      </c>
      <c r="G11" s="19">
        <f t="shared" si="39"/>
        <v>1181.1072000000001</v>
      </c>
      <c r="H11" s="19">
        <f t="shared" si="39"/>
        <v>1228.3514880000002</v>
      </c>
      <c r="I11" s="19">
        <f t="shared" si="39"/>
        <v>1277.4855475200002</v>
      </c>
      <c r="J11" s="19">
        <f t="shared" si="39"/>
        <v>1328.5849694208002</v>
      </c>
      <c r="K11" s="19">
        <f t="shared" si="39"/>
        <v>1381.7283681976323</v>
      </c>
      <c r="L11" s="19">
        <f t="shared" si="39"/>
        <v>1436.9975029255374</v>
      </c>
      <c r="M11" s="19">
        <f t="shared" si="39"/>
        <v>1494.4774030425592</v>
      </c>
      <c r="N11" s="19">
        <f t="shared" si="39"/>
        <v>1554.2564991642616</v>
      </c>
      <c r="O11" s="19">
        <f t="shared" si="39"/>
        <v>1616.4267591308324</v>
      </c>
      <c r="P11" s="19">
        <f t="shared" si="39"/>
        <v>1681.0838294960656</v>
      </c>
      <c r="Q11" s="19">
        <f t="shared" si="39"/>
        <v>1748.3271826759083</v>
      </c>
      <c r="R11" s="19">
        <f t="shared" si="39"/>
        <v>1818.2602699829445</v>
      </c>
      <c r="S11" s="19">
        <f t="shared" si="39"/>
        <v>1890.9906807822626</v>
      </c>
      <c r="T11" s="19">
        <f t="shared" si="39"/>
        <v>1966.6303080135531</v>
      </c>
      <c r="U11" s="19">
        <f t="shared" si="39"/>
        <v>2045.2955203340955</v>
      </c>
      <c r="V11" s="19">
        <f t="shared" si="39"/>
        <v>2127.1073411474595</v>
      </c>
      <c r="W11" s="19">
        <f t="shared" si="39"/>
        <v>2212.1916347933579</v>
      </c>
      <c r="X11" s="19">
        <f t="shared" si="39"/>
        <v>2300.679300185092</v>
      </c>
      <c r="Y11" s="19">
        <f t="shared" si="39"/>
        <v>2392.7064721924962</v>
      </c>
      <c r="Z11" s="19">
        <f t="shared" si="39"/>
        <v>2488.4147310801959</v>
      </c>
      <c r="AA11" s="19">
        <f t="shared" si="39"/>
        <v>2587.9513203234037</v>
      </c>
      <c r="AB11" s="19">
        <f t="shared" si="39"/>
        <v>2691.4693731363404</v>
      </c>
      <c r="AC11" s="19">
        <f t="shared" si="39"/>
        <v>2799.128148061794</v>
      </c>
      <c r="AD11" s="19">
        <f t="shared" si="39"/>
        <v>2911.093273984266</v>
      </c>
      <c r="AE11" s="19">
        <f t="shared" si="39"/>
        <v>3027.5370049436365</v>
      </c>
      <c r="AF11" s="19">
        <f t="shared" si="39"/>
        <v>3148.6384851413823</v>
      </c>
      <c r="AG11" s="19">
        <f t="shared" si="39"/>
        <v>3274.5840245470376</v>
      </c>
      <c r="AH11" s="19">
        <f t="shared" si="39"/>
        <v>3405.5673855289192</v>
      </c>
      <c r="AI11" s="19">
        <f t="shared" si="39"/>
        <v>3541.7900809500761</v>
      </c>
      <c r="AJ11" s="19">
        <f t="shared" si="39"/>
        <v>3683.4616841880793</v>
      </c>
      <c r="AK11" s="19">
        <f t="shared" si="39"/>
        <v>3830.8001515556025</v>
      </c>
      <c r="AL11" s="19">
        <f t="shared" si="39"/>
        <v>3984.0321576178271</v>
      </c>
      <c r="AM11" s="19">
        <f t="shared" si="38"/>
        <v>4143.3934439225404</v>
      </c>
    </row>
    <row r="12" spans="1:39" s="21" customFormat="1" ht="21" customHeight="1" x14ac:dyDescent="0.25">
      <c r="B12" s="5" t="s">
        <v>32</v>
      </c>
      <c r="C12" s="22"/>
      <c r="D12" s="23">
        <f t="shared" ref="D12:AM12" si="40">D7-D11</f>
        <v>93950</v>
      </c>
      <c r="E12" s="23">
        <f t="shared" ref="E12:AL12" si="41">E7-E11</f>
        <v>96758</v>
      </c>
      <c r="F12" s="23">
        <f t="shared" si="41"/>
        <v>92800.320000000007</v>
      </c>
      <c r="G12" s="23">
        <f t="shared" si="41"/>
        <v>95572.972800000003</v>
      </c>
      <c r="H12" s="23">
        <f t="shared" si="41"/>
        <v>98428.350912000009</v>
      </c>
      <c r="I12" s="23">
        <f t="shared" si="41"/>
        <v>101368.91792448</v>
      </c>
      <c r="J12" s="23">
        <f t="shared" si="41"/>
        <v>104397.2106067392</v>
      </c>
      <c r="K12" s="23">
        <f t="shared" si="41"/>
        <v>100115.03538491597</v>
      </c>
      <c r="L12" s="23">
        <f t="shared" si="41"/>
        <v>103104.66916278147</v>
      </c>
      <c r="M12" s="23">
        <f t="shared" si="41"/>
        <v>106183.43926263567</v>
      </c>
      <c r="N12" s="23">
        <f t="shared" si="41"/>
        <v>109353.99766648433</v>
      </c>
      <c r="O12" s="23">
        <f t="shared" si="41"/>
        <v>104855.4972398918</v>
      </c>
      <c r="P12" s="23">
        <f t="shared" si="41"/>
        <v>107984.99788949724</v>
      </c>
      <c r="Q12" s="23">
        <f t="shared" si="41"/>
        <v>111207.73698788721</v>
      </c>
      <c r="R12" s="23">
        <f t="shared" si="41"/>
        <v>114526.48582569706</v>
      </c>
      <c r="S12" s="23">
        <f t="shared" si="41"/>
        <v>109799.96557107053</v>
      </c>
      <c r="T12" s="23">
        <f t="shared" si="41"/>
        <v>113075.05463139483</v>
      </c>
      <c r="U12" s="23">
        <f t="shared" si="41"/>
        <v>116447.63996725655</v>
      </c>
      <c r="V12" s="23">
        <f t="shared" si="41"/>
        <v>119920.6162110709</v>
      </c>
      <c r="W12" s="23">
        <f t="shared" si="41"/>
        <v>123496.96362399156</v>
      </c>
      <c r="X12" s="23">
        <f t="shared" si="41"/>
        <v>127179.75061636338</v>
      </c>
      <c r="Y12" s="23">
        <f t="shared" si="41"/>
        <v>130972.13634185244</v>
      </c>
      <c r="Z12" s="23">
        <f t="shared" si="41"/>
        <v>134877.37336738608</v>
      </c>
      <c r="AA12" s="23">
        <f t="shared" si="41"/>
        <v>129283.20525420424</v>
      </c>
      <c r="AB12" s="23">
        <f t="shared" si="41"/>
        <v>133135.82189862712</v>
      </c>
      <c r="AC12" s="23">
        <f t="shared" si="41"/>
        <v>137102.98186185458</v>
      </c>
      <c r="AD12" s="23">
        <f t="shared" si="41"/>
        <v>141188.08003622963</v>
      </c>
      <c r="AE12" s="23">
        <f t="shared" si="41"/>
        <v>135307.66937286168</v>
      </c>
      <c r="AF12" s="23">
        <f t="shared" si="41"/>
        <v>139336.62408399809</v>
      </c>
      <c r="AG12" s="23">
        <f t="shared" si="41"/>
        <v>143485.23642166663</v>
      </c>
      <c r="AH12" s="23">
        <f t="shared" si="41"/>
        <v>137483.86024283621</v>
      </c>
      <c r="AI12" s="23">
        <f t="shared" si="41"/>
        <v>141574.320376266</v>
      </c>
      <c r="AJ12" s="23">
        <f t="shared" si="41"/>
        <v>145786.13208674447</v>
      </c>
      <c r="AK12" s="23">
        <f t="shared" si="41"/>
        <v>150122.88143250495</v>
      </c>
      <c r="AL12" s="23">
        <f t="shared" si="41"/>
        <v>143811.50216308029</v>
      </c>
      <c r="AM12" s="23">
        <f t="shared" si="40"/>
        <v>148086.00690639653</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350</v>
      </c>
      <c r="E15" s="18">
        <v>364</v>
      </c>
      <c r="F15" s="18">
        <v>378.56</v>
      </c>
      <c r="G15" s="18">
        <v>393.70240000000001</v>
      </c>
      <c r="H15" s="18">
        <v>409.45049600000004</v>
      </c>
      <c r="I15" s="18">
        <v>425.82851584000008</v>
      </c>
      <c r="J15" s="18">
        <v>442.86165647360008</v>
      </c>
      <c r="K15" s="18">
        <v>460.57612273254409</v>
      </c>
      <c r="L15" s="18">
        <v>478.99916764184587</v>
      </c>
      <c r="M15" s="18">
        <v>498.15913434751974</v>
      </c>
      <c r="N15" s="18">
        <v>518.08549972142055</v>
      </c>
      <c r="O15" s="18">
        <v>538.80891971027734</v>
      </c>
      <c r="P15" s="18">
        <v>560.36127649868843</v>
      </c>
      <c r="Q15" s="18">
        <v>582.77572755863594</v>
      </c>
      <c r="R15" s="18">
        <v>606.08675666098145</v>
      </c>
      <c r="S15" s="18">
        <v>630.33022692742077</v>
      </c>
      <c r="T15" s="18">
        <v>655.54343600451762</v>
      </c>
      <c r="U15" s="18">
        <v>681.76517344469835</v>
      </c>
      <c r="V15" s="18">
        <v>709.03578038248634</v>
      </c>
      <c r="W15" s="18">
        <v>737.39721159778583</v>
      </c>
      <c r="X15" s="18">
        <v>766.89310006169728</v>
      </c>
      <c r="Y15" s="18">
        <v>797.56882406416526</v>
      </c>
      <c r="Z15" s="18">
        <v>829.47157702673189</v>
      </c>
      <c r="AA15" s="18">
        <v>862.65044010780116</v>
      </c>
      <c r="AB15" s="18">
        <v>897.15645771211325</v>
      </c>
      <c r="AC15" s="18">
        <v>933.04271602059782</v>
      </c>
      <c r="AD15" s="18">
        <v>970.36442466142182</v>
      </c>
      <c r="AE15" s="18">
        <v>1009.1790016478787</v>
      </c>
      <c r="AF15" s="18">
        <v>1049.5461617137939</v>
      </c>
      <c r="AG15" s="18">
        <v>1091.5280081823457</v>
      </c>
      <c r="AH15" s="18">
        <v>1135.1891285096397</v>
      </c>
      <c r="AI15" s="18">
        <v>1180.5966936500254</v>
      </c>
      <c r="AJ15" s="18">
        <v>1227.8205613960265</v>
      </c>
      <c r="AK15" s="18">
        <v>1276.9333838518676</v>
      </c>
      <c r="AL15" s="18">
        <v>1328.0107192059422</v>
      </c>
      <c r="AM15" s="18">
        <v>1381.1311479741801</v>
      </c>
    </row>
    <row r="16" spans="1:39" s="17" customFormat="1" ht="21" customHeight="1" x14ac:dyDescent="0.25">
      <c r="B16" s="4" t="s">
        <v>36</v>
      </c>
      <c r="C16" s="15"/>
      <c r="D16" s="18">
        <v>8000</v>
      </c>
      <c r="E16" s="18">
        <v>8400</v>
      </c>
      <c r="F16" s="18">
        <f>E16*(0.95)</f>
        <v>7980</v>
      </c>
      <c r="G16" s="18">
        <v>8379</v>
      </c>
      <c r="H16" s="18">
        <v>8797.9500000000007</v>
      </c>
      <c r="I16" s="18">
        <v>9237.8475000000017</v>
      </c>
      <c r="J16" s="18">
        <f t="shared" ref="J16:K16" si="42">I16*(0.95)</f>
        <v>8775.9551250000004</v>
      </c>
      <c r="K16" s="18">
        <f t="shared" si="42"/>
        <v>8337.1573687500004</v>
      </c>
      <c r="L16" s="18">
        <v>8754.015237187501</v>
      </c>
      <c r="M16" s="18">
        <v>9191.7159990468772</v>
      </c>
      <c r="N16" s="18">
        <f t="shared" ref="N16:O16" si="43">M16*(0.95)</f>
        <v>8732.1301990945321</v>
      </c>
      <c r="O16" s="18">
        <f t="shared" si="43"/>
        <v>8295.5236891398054</v>
      </c>
      <c r="P16" s="18">
        <v>8710.2998735967958</v>
      </c>
      <c r="Q16" s="18">
        <v>9145.8148672766365</v>
      </c>
      <c r="R16" s="18">
        <f t="shared" ref="R16:S16" si="44">Q16*(0.95)</f>
        <v>8688.5241239128045</v>
      </c>
      <c r="S16" s="18">
        <f t="shared" si="44"/>
        <v>8254.097917717163</v>
      </c>
      <c r="T16" s="18">
        <v>8666.8028136030207</v>
      </c>
      <c r="U16" s="18">
        <f t="shared" ref="U16:V16" si="45">T16*(0.95)</f>
        <v>8233.4626729228694</v>
      </c>
      <c r="V16" s="18">
        <f t="shared" si="45"/>
        <v>7821.7895392767259</v>
      </c>
      <c r="W16" s="18">
        <v>8212.8790162405621</v>
      </c>
      <c r="X16" s="18">
        <f t="shared" ref="X16:Y16" si="46">W16*(0.95)</f>
        <v>7802.2350654285337</v>
      </c>
      <c r="Y16" s="18">
        <f t="shared" si="46"/>
        <v>7412.1233121571067</v>
      </c>
      <c r="Z16" s="18">
        <v>7782.7294777649622</v>
      </c>
      <c r="AA16" s="18">
        <f t="shared" ref="AA16:AB16" si="47">Z16*(0.95)</f>
        <v>7393.5930038767137</v>
      </c>
      <c r="AB16" s="18">
        <f t="shared" si="47"/>
        <v>7023.9133536828776</v>
      </c>
      <c r="AC16" s="18">
        <v>7375.1090213670223</v>
      </c>
      <c r="AD16" s="18">
        <f t="shared" ref="AD16:AE16" si="48">AC16*(0.95)</f>
        <v>7006.353570298671</v>
      </c>
      <c r="AE16" s="18">
        <f t="shared" si="48"/>
        <v>6656.0358917837375</v>
      </c>
      <c r="AF16" s="18">
        <v>6988.8376863729245</v>
      </c>
      <c r="AG16" s="18">
        <v>7338.2795706915713</v>
      </c>
      <c r="AH16" s="18">
        <v>7705.19354922615</v>
      </c>
      <c r="AI16" s="18">
        <f>AH16*(0.95)</f>
        <v>7319.9338717648425</v>
      </c>
      <c r="AJ16" s="18">
        <v>7685.9305653530846</v>
      </c>
      <c r="AK16" s="18">
        <v>8070.2270936207387</v>
      </c>
      <c r="AL16" s="18">
        <v>8473.7384483017759</v>
      </c>
      <c r="AM16" s="18">
        <f>AL16*(0.95)</f>
        <v>8050.0515258866862</v>
      </c>
    </row>
    <row r="17" spans="2:39" s="17" customFormat="1" ht="21" customHeight="1" x14ac:dyDescent="0.25">
      <c r="B17" s="4" t="s">
        <v>37</v>
      </c>
      <c r="C17" s="15"/>
      <c r="D17" s="18">
        <v>6000</v>
      </c>
      <c r="E17" s="18">
        <f>D17*(0.9)</f>
        <v>5400</v>
      </c>
      <c r="F17" s="18">
        <v>5616</v>
      </c>
      <c r="G17" s="18">
        <v>5840.64</v>
      </c>
      <c r="H17" s="18">
        <v>6074.2656000000006</v>
      </c>
      <c r="I17" s="18">
        <v>6317.2362240000011</v>
      </c>
      <c r="J17" s="18">
        <v>6569.9256729600011</v>
      </c>
      <c r="K17" s="18">
        <f>J17*(0.9)</f>
        <v>5912.9331056640012</v>
      </c>
      <c r="L17" s="18">
        <v>6149.4504298905613</v>
      </c>
      <c r="M17" s="18">
        <v>6395.428447086184</v>
      </c>
      <c r="N17" s="18">
        <v>6651.2455849696316</v>
      </c>
      <c r="O17" s="18">
        <v>6917.2954083684172</v>
      </c>
      <c r="P17" s="18">
        <v>7193.9872247031544</v>
      </c>
      <c r="Q17" s="18">
        <f>P17*(0.9)</f>
        <v>6474.5885022328393</v>
      </c>
      <c r="R17" s="18">
        <v>6733.5720423221528</v>
      </c>
      <c r="S17" s="18">
        <v>7002.9149240150391</v>
      </c>
      <c r="T17" s="18">
        <v>7283.0315209756409</v>
      </c>
      <c r="U17" s="18">
        <v>7574.3527818146667</v>
      </c>
      <c r="V17" s="18">
        <v>7877.3268930872537</v>
      </c>
      <c r="W17" s="18">
        <f>V17*(0.9)</f>
        <v>7089.594203778528</v>
      </c>
      <c r="X17" s="18">
        <v>7373.1779719296692</v>
      </c>
      <c r="Y17" s="18">
        <v>7668.1050908068564</v>
      </c>
      <c r="Z17" s="18">
        <v>7974.8292944391305</v>
      </c>
      <c r="AA17" s="18">
        <v>8293.8224662166958</v>
      </c>
      <c r="AB17" s="18">
        <f>AA17*(0.9)</f>
        <v>7464.4402195950261</v>
      </c>
      <c r="AC17" s="18">
        <v>7763.0178283788273</v>
      </c>
      <c r="AD17" s="18">
        <v>8073.5385415139808</v>
      </c>
      <c r="AE17" s="18">
        <f>AD17*(0.9)</f>
        <v>7266.1846873625827</v>
      </c>
      <c r="AF17" s="18">
        <v>7556.8320748570859</v>
      </c>
      <c r="AG17" s="18">
        <v>7859.1053578513693</v>
      </c>
      <c r="AH17" s="18">
        <f>AG17*(0.9)</f>
        <v>7073.1948220662325</v>
      </c>
      <c r="AI17" s="18">
        <v>7356.1226149488821</v>
      </c>
      <c r="AJ17" s="18">
        <v>7650.3675195468377</v>
      </c>
      <c r="AK17" s="18">
        <v>7956.3822203287118</v>
      </c>
      <c r="AL17" s="18">
        <v>8274.6375091418613</v>
      </c>
      <c r="AM17" s="18">
        <v>8605.6230095075352</v>
      </c>
    </row>
    <row r="18" spans="2:39" s="17" customFormat="1" ht="21" customHeight="1" x14ac:dyDescent="0.25">
      <c r="B18" s="4" t="s">
        <v>38</v>
      </c>
      <c r="C18" s="15"/>
      <c r="D18" s="18">
        <v>250</v>
      </c>
      <c r="E18" s="18">
        <v>260</v>
      </c>
      <c r="F18" s="18">
        <v>270.40000000000003</v>
      </c>
      <c r="G18" s="18">
        <v>281.21600000000007</v>
      </c>
      <c r="H18" s="18">
        <v>292.46464000000009</v>
      </c>
      <c r="I18" s="18">
        <v>304.16322560000009</v>
      </c>
      <c r="J18" s="18">
        <v>316.32975462400009</v>
      </c>
      <c r="K18" s="18">
        <v>328.9829448089601</v>
      </c>
      <c r="L18" s="18">
        <v>342.14226260131852</v>
      </c>
      <c r="M18" s="18">
        <v>355.82795310537125</v>
      </c>
      <c r="N18" s="18">
        <v>370.0610712295861</v>
      </c>
      <c r="O18" s="18">
        <v>384.86351407876958</v>
      </c>
      <c r="P18" s="18">
        <v>400.25805464192035</v>
      </c>
      <c r="Q18" s="18">
        <v>416.26837682759719</v>
      </c>
      <c r="R18" s="18">
        <v>432.91911190070107</v>
      </c>
      <c r="S18" s="18">
        <v>450.23587637672915</v>
      </c>
      <c r="T18" s="18">
        <v>468.24531143179831</v>
      </c>
      <c r="U18" s="18">
        <v>486.97512388907029</v>
      </c>
      <c r="V18" s="18">
        <v>506.45412884463315</v>
      </c>
      <c r="W18" s="18">
        <v>526.71229399841855</v>
      </c>
      <c r="X18" s="18">
        <v>547.78078575835525</v>
      </c>
      <c r="Y18" s="18">
        <v>569.69201718868953</v>
      </c>
      <c r="Z18" s="18">
        <v>592.47969787623708</v>
      </c>
      <c r="AA18" s="18">
        <v>616.17888579128658</v>
      </c>
      <c r="AB18" s="18">
        <v>640.8260412229381</v>
      </c>
      <c r="AC18" s="18">
        <v>666.45908287185568</v>
      </c>
      <c r="AD18" s="18">
        <v>693.11744618672992</v>
      </c>
      <c r="AE18" s="18">
        <v>720.84214403419912</v>
      </c>
      <c r="AF18" s="18">
        <v>749.6758297955671</v>
      </c>
      <c r="AG18" s="18">
        <v>779.66286298738976</v>
      </c>
      <c r="AH18" s="18">
        <v>810.84937750688539</v>
      </c>
      <c r="AI18" s="18">
        <v>843.28335260716085</v>
      </c>
      <c r="AJ18" s="18">
        <v>877.01468671144733</v>
      </c>
      <c r="AK18" s="18">
        <v>912.09527417990523</v>
      </c>
      <c r="AL18" s="18">
        <v>948.57908514710152</v>
      </c>
      <c r="AM18" s="18">
        <v>986.52224855298562</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800</v>
      </c>
      <c r="E20" s="18">
        <v>816</v>
      </c>
      <c r="F20" s="18">
        <v>832.32</v>
      </c>
      <c r="G20" s="18">
        <v>848.96640000000002</v>
      </c>
      <c r="H20" s="18">
        <v>865.94572800000003</v>
      </c>
      <c r="I20" s="18">
        <v>883.26464256000008</v>
      </c>
      <c r="J20" s="18">
        <v>900.92993541120006</v>
      </c>
      <c r="K20" s="18">
        <v>918.94853411942404</v>
      </c>
      <c r="L20" s="18">
        <v>937.32750480181255</v>
      </c>
      <c r="M20" s="18">
        <v>956.07405489784878</v>
      </c>
      <c r="N20" s="18">
        <v>975.19553599580581</v>
      </c>
      <c r="O20" s="18">
        <v>994.69944671572193</v>
      </c>
      <c r="P20" s="18">
        <v>1014.5934356500364</v>
      </c>
      <c r="Q20" s="18">
        <v>1034.8853043630372</v>
      </c>
      <c r="R20" s="18">
        <v>1055.5830104502979</v>
      </c>
      <c r="S20" s="18">
        <v>1076.6946706593039</v>
      </c>
      <c r="T20" s="18">
        <v>1098.2285640724901</v>
      </c>
      <c r="U20" s="18">
        <v>1120.1931353539401</v>
      </c>
      <c r="V20" s="18">
        <v>1142.5969980610189</v>
      </c>
      <c r="W20" s="18">
        <v>1165.4489380222392</v>
      </c>
      <c r="X20" s="18">
        <v>1188.7579167826841</v>
      </c>
      <c r="Y20" s="18">
        <v>1212.5330751183378</v>
      </c>
      <c r="Z20" s="18">
        <v>1236.7837366207045</v>
      </c>
      <c r="AA20" s="18">
        <v>1261.5194113531186</v>
      </c>
      <c r="AB20" s="18">
        <v>1286.7497995801809</v>
      </c>
      <c r="AC20" s="18">
        <v>1312.4847955717846</v>
      </c>
      <c r="AD20" s="18">
        <v>1338.7344914832204</v>
      </c>
      <c r="AE20" s="18">
        <v>1365.5091813128847</v>
      </c>
      <c r="AF20" s="18">
        <v>1392.8193649391424</v>
      </c>
      <c r="AG20" s="18">
        <v>1420.6757522379253</v>
      </c>
      <c r="AH20" s="18">
        <v>1449.0892672826837</v>
      </c>
      <c r="AI20" s="18">
        <v>1478.0710526283374</v>
      </c>
      <c r="AJ20" s="18">
        <v>1507.6324736809042</v>
      </c>
      <c r="AK20" s="18">
        <v>1537.7851231545224</v>
      </c>
      <c r="AL20" s="18">
        <v>1568.5408256176129</v>
      </c>
      <c r="AM20" s="18">
        <v>1599.9116421299652</v>
      </c>
    </row>
    <row r="21" spans="2:39" s="17" customFormat="1" ht="21" customHeight="1" x14ac:dyDescent="0.25">
      <c r="B21" s="7" t="s">
        <v>41</v>
      </c>
      <c r="C21" s="15"/>
      <c r="D21" s="18">
        <v>3500</v>
      </c>
      <c r="E21" s="18">
        <f>D21*(0.7)</f>
        <v>2450</v>
      </c>
      <c r="F21" s="18">
        <v>2548</v>
      </c>
      <c r="G21" s="18">
        <v>2649.92</v>
      </c>
      <c r="H21" s="18">
        <v>2755.9168</v>
      </c>
      <c r="I21" s="18">
        <v>2866.153472</v>
      </c>
      <c r="J21" s="18">
        <f>I21*(0.7)</f>
        <v>2006.3074303999999</v>
      </c>
      <c r="K21" s="18">
        <v>2086.5597276160001</v>
      </c>
      <c r="L21" s="18">
        <v>2170.02211672064</v>
      </c>
      <c r="M21" s="18">
        <v>2256.8230013894658</v>
      </c>
      <c r="N21" s="18">
        <v>2347.0959214450445</v>
      </c>
      <c r="O21" s="18">
        <v>2440.9797583028462</v>
      </c>
      <c r="P21" s="18">
        <v>2538.6189486349604</v>
      </c>
      <c r="Q21" s="18">
        <f t="shared" ref="Q21:R21" si="49">P21*(0.7)</f>
        <v>1777.0332640444722</v>
      </c>
      <c r="R21" s="18">
        <f t="shared" si="49"/>
        <v>1243.9232848311303</v>
      </c>
      <c r="S21" s="18">
        <v>1293.6802162243755</v>
      </c>
      <c r="T21" s="18">
        <v>1345.4274248733507</v>
      </c>
      <c r="U21" s="18">
        <v>1399.2445218682847</v>
      </c>
      <c r="V21" s="18">
        <v>1455.2143027430161</v>
      </c>
      <c r="W21" s="18">
        <v>1513.4228748527369</v>
      </c>
      <c r="X21" s="18">
        <f>W21*(0.7)</f>
        <v>1059.3960123969157</v>
      </c>
      <c r="Y21" s="18">
        <v>1101.7718528927924</v>
      </c>
      <c r="Z21" s="18">
        <v>1145.8427270085042</v>
      </c>
      <c r="AA21" s="18">
        <v>1191.6764360888444</v>
      </c>
      <c r="AB21" s="18">
        <f>AA21*(0.7)</f>
        <v>834.17350526219104</v>
      </c>
      <c r="AC21" s="18">
        <v>867.5404454726787</v>
      </c>
      <c r="AD21" s="18">
        <v>902.24206329158585</v>
      </c>
      <c r="AE21" s="18">
        <v>938.33174582324932</v>
      </c>
      <c r="AF21" s="18">
        <f>AE21*(0.7)</f>
        <v>656.83222207627443</v>
      </c>
      <c r="AG21" s="18">
        <v>683.10551095932544</v>
      </c>
      <c r="AH21" s="18">
        <v>710.42973139769845</v>
      </c>
      <c r="AI21" s="18">
        <f>AH21*(0.7)</f>
        <v>497.30081197838888</v>
      </c>
      <c r="AJ21" s="18">
        <v>517.19284445752442</v>
      </c>
      <c r="AK21" s="18">
        <v>537.88055823582545</v>
      </c>
      <c r="AL21" s="18">
        <v>559.39578056525852</v>
      </c>
      <c r="AM21" s="18">
        <f>AL21*(0.7)</f>
        <v>391.57704639568095</v>
      </c>
    </row>
    <row r="22" spans="2:39" s="17" customFormat="1" ht="21" customHeight="1" x14ac:dyDescent="0.25">
      <c r="B22" s="7" t="s">
        <v>42</v>
      </c>
      <c r="C22" s="15"/>
      <c r="D22" s="18">
        <v>350</v>
      </c>
      <c r="E22" s="18">
        <v>364</v>
      </c>
      <c r="F22" s="18">
        <v>378.56</v>
      </c>
      <c r="G22" s="18">
        <v>393.70240000000001</v>
      </c>
      <c r="H22" s="18">
        <v>409.45049600000004</v>
      </c>
      <c r="I22" s="18">
        <v>425.82851584000008</v>
      </c>
      <c r="J22" s="18">
        <v>442.86165647360008</v>
      </c>
      <c r="K22" s="18">
        <v>460.57612273254409</v>
      </c>
      <c r="L22" s="18">
        <v>478.99916764184587</v>
      </c>
      <c r="M22" s="18">
        <v>498.15913434751974</v>
      </c>
      <c r="N22" s="18">
        <v>518.08549972142055</v>
      </c>
      <c r="O22" s="18">
        <v>538.80891971027734</v>
      </c>
      <c r="P22" s="18">
        <v>560.36127649868843</v>
      </c>
      <c r="Q22" s="18">
        <v>582.77572755863594</v>
      </c>
      <c r="R22" s="18">
        <v>606.08675666098145</v>
      </c>
      <c r="S22" s="18">
        <v>630.33022692742077</v>
      </c>
      <c r="T22" s="18">
        <v>655.54343600451762</v>
      </c>
      <c r="U22" s="18">
        <v>681.76517344469835</v>
      </c>
      <c r="V22" s="18">
        <v>709.03578038248634</v>
      </c>
      <c r="W22" s="18">
        <v>737.39721159778583</v>
      </c>
      <c r="X22" s="18">
        <v>766.89310006169728</v>
      </c>
      <c r="Y22" s="18">
        <v>797.56882406416526</v>
      </c>
      <c r="Z22" s="18">
        <v>829.47157702673189</v>
      </c>
      <c r="AA22" s="18">
        <v>862.65044010780116</v>
      </c>
      <c r="AB22" s="18">
        <v>897.15645771211325</v>
      </c>
      <c r="AC22" s="18">
        <v>933.04271602059782</v>
      </c>
      <c r="AD22" s="18">
        <v>970.36442466142182</v>
      </c>
      <c r="AE22" s="18">
        <v>1009.1790016478787</v>
      </c>
      <c r="AF22" s="18">
        <v>1049.5461617137939</v>
      </c>
      <c r="AG22" s="18">
        <v>1091.5280081823457</v>
      </c>
      <c r="AH22" s="18">
        <v>1135.1891285096397</v>
      </c>
      <c r="AI22" s="18">
        <v>1180.5966936500254</v>
      </c>
      <c r="AJ22" s="18">
        <v>1227.8205613960265</v>
      </c>
      <c r="AK22" s="18">
        <v>1276.9333838518676</v>
      </c>
      <c r="AL22" s="18">
        <v>1328.0107192059422</v>
      </c>
      <c r="AM22" s="18">
        <v>1381.1311479741801</v>
      </c>
    </row>
    <row r="23" spans="2:39" s="17" customFormat="1" ht="21" customHeight="1" x14ac:dyDescent="0.25">
      <c r="B23" s="6" t="s">
        <v>43</v>
      </c>
      <c r="C23" s="15"/>
      <c r="D23" s="19">
        <f t="shared" ref="D23:AM23" si="50">SUM(D22, D21, D20 + D19)</f>
        <v>4650</v>
      </c>
      <c r="E23" s="19">
        <f t="shared" ref="E23:AL23" si="51">SUM(E22, E21, E20 + E19)</f>
        <v>3630</v>
      </c>
      <c r="F23" s="19">
        <f t="shared" si="51"/>
        <v>3758.88</v>
      </c>
      <c r="G23" s="19">
        <f t="shared" si="51"/>
        <v>3892.5888000000004</v>
      </c>
      <c r="H23" s="19">
        <f t="shared" si="51"/>
        <v>4031.313024</v>
      </c>
      <c r="I23" s="19">
        <f t="shared" si="51"/>
        <v>4175.2466304</v>
      </c>
      <c r="J23" s="19">
        <f t="shared" si="51"/>
        <v>3350.0990222848</v>
      </c>
      <c r="K23" s="19">
        <f t="shared" si="51"/>
        <v>3466.0843844679684</v>
      </c>
      <c r="L23" s="19">
        <f t="shared" si="51"/>
        <v>3586.3487891642985</v>
      </c>
      <c r="M23" s="19">
        <f t="shared" si="51"/>
        <v>3711.0561906348344</v>
      </c>
      <c r="N23" s="19">
        <f t="shared" si="51"/>
        <v>3840.3769571622706</v>
      </c>
      <c r="O23" s="19">
        <f t="shared" si="51"/>
        <v>3974.4881247288454</v>
      </c>
      <c r="P23" s="19">
        <f t="shared" si="51"/>
        <v>4113.5736607836852</v>
      </c>
      <c r="Q23" s="19">
        <f t="shared" si="51"/>
        <v>3394.6942959661455</v>
      </c>
      <c r="R23" s="19">
        <f t="shared" si="51"/>
        <v>2905.5930519424096</v>
      </c>
      <c r="S23" s="19">
        <f t="shared" si="51"/>
        <v>3000.7051138111001</v>
      </c>
      <c r="T23" s="19">
        <f t="shared" si="51"/>
        <v>3099.1994249503587</v>
      </c>
      <c r="U23" s="19">
        <f t="shared" si="51"/>
        <v>3201.2028306669235</v>
      </c>
      <c r="V23" s="19">
        <f t="shared" si="51"/>
        <v>3306.8470811865213</v>
      </c>
      <c r="W23" s="19">
        <f t="shared" si="51"/>
        <v>3416.2690244727619</v>
      </c>
      <c r="X23" s="19">
        <f t="shared" si="51"/>
        <v>3015.0470292412974</v>
      </c>
      <c r="Y23" s="19">
        <f t="shared" si="51"/>
        <v>3111.8737520752957</v>
      </c>
      <c r="Z23" s="19">
        <f t="shared" si="51"/>
        <v>3212.0980406559406</v>
      </c>
      <c r="AA23" s="19">
        <f t="shared" si="51"/>
        <v>3315.8462875497644</v>
      </c>
      <c r="AB23" s="19">
        <f t="shared" si="51"/>
        <v>3018.0797625544851</v>
      </c>
      <c r="AC23" s="19">
        <f t="shared" si="51"/>
        <v>3113.0679570650609</v>
      </c>
      <c r="AD23" s="19">
        <f t="shared" si="51"/>
        <v>3211.3409794362278</v>
      </c>
      <c r="AE23" s="19">
        <f t="shared" si="51"/>
        <v>3313.0199287840128</v>
      </c>
      <c r="AF23" s="19">
        <f t="shared" si="51"/>
        <v>3099.1977487292106</v>
      </c>
      <c r="AG23" s="19">
        <f t="shared" si="51"/>
        <v>3195.3092713795963</v>
      </c>
      <c r="AH23" s="19">
        <f t="shared" si="51"/>
        <v>3294.7081271900215</v>
      </c>
      <c r="AI23" s="19">
        <f t="shared" si="51"/>
        <v>3155.9685582567517</v>
      </c>
      <c r="AJ23" s="19">
        <f t="shared" si="51"/>
        <v>3252.6458795344552</v>
      </c>
      <c r="AK23" s="19">
        <f t="shared" si="51"/>
        <v>3352.5990652422151</v>
      </c>
      <c r="AL23" s="19">
        <f t="shared" si="51"/>
        <v>3455.9473253888136</v>
      </c>
      <c r="AM23" s="19">
        <f t="shared" si="50"/>
        <v>3372.6198364998263</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1000</v>
      </c>
      <c r="E25" s="18">
        <v>1040</v>
      </c>
      <c r="F25" s="18">
        <v>1081.6000000000001</v>
      </c>
      <c r="G25" s="18">
        <v>1124.8640000000003</v>
      </c>
      <c r="H25" s="18">
        <v>1169.8585600000004</v>
      </c>
      <c r="I25" s="18">
        <v>1216.6529024000004</v>
      </c>
      <c r="J25" s="18">
        <f>I25*(0.7)</f>
        <v>851.65703168000016</v>
      </c>
      <c r="K25" s="18">
        <v>885.72331294720016</v>
      </c>
      <c r="L25" s="18">
        <v>921.15224546508819</v>
      </c>
      <c r="M25" s="18">
        <v>957.99833528369174</v>
      </c>
      <c r="N25" s="18">
        <v>996.31826869503948</v>
      </c>
      <c r="O25" s="18">
        <v>1036.1709994428411</v>
      </c>
      <c r="P25" s="18">
        <v>1077.6178394205547</v>
      </c>
      <c r="Q25" s="18">
        <v>1120.7225529973769</v>
      </c>
      <c r="R25" s="18">
        <v>1165.5514551172719</v>
      </c>
      <c r="S25" s="18">
        <v>1212.1735133219629</v>
      </c>
      <c r="T25" s="18">
        <v>1260.6604538548415</v>
      </c>
      <c r="U25" s="18">
        <v>1311.0868720090352</v>
      </c>
      <c r="V25" s="18">
        <v>1363.5303468893967</v>
      </c>
      <c r="W25" s="18">
        <f>V25*(0.7)</f>
        <v>954.47124282257766</v>
      </c>
      <c r="X25" s="18">
        <v>992.65009253548078</v>
      </c>
      <c r="Y25" s="18">
        <v>1032.3560962369002</v>
      </c>
      <c r="Z25" s="18">
        <v>1073.6503400863762</v>
      </c>
      <c r="AA25" s="18">
        <v>1116.5963536898314</v>
      </c>
      <c r="AB25" s="18">
        <v>1161.2602078374248</v>
      </c>
      <c r="AC25" s="18">
        <f>AB25*(0.7)</f>
        <v>812.88214548619726</v>
      </c>
      <c r="AD25" s="18">
        <v>845.39743130564523</v>
      </c>
      <c r="AE25" s="18">
        <v>879.21332855787102</v>
      </c>
      <c r="AF25" s="18">
        <v>914.38186170018594</v>
      </c>
      <c r="AG25" s="18">
        <v>950.95713616819341</v>
      </c>
      <c r="AH25" s="18">
        <v>988.99542161492116</v>
      </c>
      <c r="AI25" s="18">
        <v>1028.555238479518</v>
      </c>
      <c r="AJ25" s="18">
        <f>AI25*(0.7)</f>
        <v>719.98866693566254</v>
      </c>
      <c r="AK25" s="18">
        <v>748.78821361308906</v>
      </c>
      <c r="AL25" s="18">
        <v>778.73974215761268</v>
      </c>
      <c r="AM25" s="18">
        <v>809.88933184391726</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1500</v>
      </c>
      <c r="E27" s="18">
        <v>1530</v>
      </c>
      <c r="F27" s="18">
        <v>1560.6000000000001</v>
      </c>
      <c r="G27" s="18">
        <v>1591.8120000000001</v>
      </c>
      <c r="H27" s="18">
        <v>1623.6482400000002</v>
      </c>
      <c r="I27" s="18">
        <f>H27*(0.7)</f>
        <v>1136.553768</v>
      </c>
      <c r="J27" s="18">
        <v>1159.28484336</v>
      </c>
      <c r="K27" s="18">
        <v>1182.4705402272</v>
      </c>
      <c r="L27" s="18">
        <v>1206.119951031744</v>
      </c>
      <c r="M27" s="18">
        <v>1230.2423500523789</v>
      </c>
      <c r="N27" s="18">
        <v>1254.8471970534265</v>
      </c>
      <c r="O27" s="18">
        <v>1279.944140994495</v>
      </c>
      <c r="P27" s="18">
        <f>O27*(0.7)</f>
        <v>895.96089869614639</v>
      </c>
      <c r="Q27" s="18">
        <v>913.88011667006936</v>
      </c>
      <c r="R27" s="18">
        <v>932.15771900347079</v>
      </c>
      <c r="S27" s="18">
        <v>950.80087338354019</v>
      </c>
      <c r="T27" s="18">
        <v>969.81689085121104</v>
      </c>
      <c r="U27" s="18">
        <v>989.21322866823527</v>
      </c>
      <c r="V27" s="18">
        <f>U27*(0.7)</f>
        <v>692.44926006776461</v>
      </c>
      <c r="W27" s="18">
        <v>706.29824526911989</v>
      </c>
      <c r="X27" s="18">
        <v>720.42421017450226</v>
      </c>
      <c r="Y27" s="18">
        <v>734.83269437799231</v>
      </c>
      <c r="Z27" s="18">
        <f>Y27*(0.7)</f>
        <v>514.38288606459457</v>
      </c>
      <c r="AA27" s="18">
        <v>524.67054378588648</v>
      </c>
      <c r="AB27" s="18">
        <v>535.16395466160418</v>
      </c>
      <c r="AC27" s="18">
        <v>545.86723375483632</v>
      </c>
      <c r="AD27" s="18">
        <v>556.78457842993305</v>
      </c>
      <c r="AE27" s="18">
        <v>567.92026999853169</v>
      </c>
      <c r="AF27" s="18">
        <v>579.27867539850229</v>
      </c>
      <c r="AG27" s="18">
        <v>590.86424890647231</v>
      </c>
      <c r="AH27" s="18">
        <v>602.68153388460178</v>
      </c>
      <c r="AI27" s="18">
        <v>614.73516456229379</v>
      </c>
      <c r="AJ27" s="18">
        <v>627.02986785353971</v>
      </c>
      <c r="AK27" s="18">
        <v>639.57046521061056</v>
      </c>
      <c r="AL27" s="18">
        <v>652.36187451482283</v>
      </c>
      <c r="AM27" s="18">
        <v>665.40911200511925</v>
      </c>
    </row>
    <row r="28" spans="2:39" s="17" customFormat="1" ht="21" customHeight="1" x14ac:dyDescent="0.25">
      <c r="B28" s="7" t="s">
        <v>48</v>
      </c>
      <c r="C28" s="15"/>
      <c r="D28" s="18">
        <v>2000</v>
      </c>
      <c r="E28" s="18">
        <f>D28*(0.6)</f>
        <v>1200</v>
      </c>
      <c r="F28" s="18">
        <v>1248</v>
      </c>
      <c r="G28" s="18">
        <v>1297.92</v>
      </c>
      <c r="H28" s="18">
        <v>1349.8368</v>
      </c>
      <c r="I28" s="18">
        <v>1403.8302720000002</v>
      </c>
      <c r="J28" s="18">
        <v>1459.9834828800001</v>
      </c>
      <c r="K28" s="18">
        <v>1518.3828221952001</v>
      </c>
      <c r="L28" s="18">
        <f>K28*(0.6)</f>
        <v>911.02969331712006</v>
      </c>
      <c r="M28" s="18">
        <v>947.47088104980492</v>
      </c>
      <c r="N28" s="18">
        <v>985.36971629179709</v>
      </c>
      <c r="O28" s="18">
        <v>1024.7845049434691</v>
      </c>
      <c r="P28" s="18">
        <v>1065.7758851412079</v>
      </c>
      <c r="Q28" s="18">
        <v>1108.4069205468563</v>
      </c>
      <c r="R28" s="18">
        <v>1152.7431973687305</v>
      </c>
      <c r="S28" s="18">
        <v>1198.8529252634798</v>
      </c>
      <c r="T28" s="18">
        <v>1246.8070422740191</v>
      </c>
      <c r="U28" s="18">
        <v>1296.6793239649799</v>
      </c>
      <c r="V28" s="18">
        <v>1348.5464969235791</v>
      </c>
      <c r="W28" s="18">
        <f>V28*(0.6)</f>
        <v>809.12789815414737</v>
      </c>
      <c r="X28" s="18">
        <v>841.49301408031329</v>
      </c>
      <c r="Y28" s="18">
        <v>875.15273464352583</v>
      </c>
      <c r="Z28" s="18">
        <v>910.1588440292669</v>
      </c>
      <c r="AA28" s="18">
        <v>946.56519779043765</v>
      </c>
      <c r="AB28" s="18">
        <v>984.42780570205514</v>
      </c>
      <c r="AC28" s="18">
        <v>1023.8049179301374</v>
      </c>
      <c r="AD28" s="18">
        <v>1064.7571146473429</v>
      </c>
      <c r="AE28" s="18">
        <f>AD28*(0.6)</f>
        <v>638.85426878840565</v>
      </c>
      <c r="AF28" s="18">
        <v>664.40843953994192</v>
      </c>
      <c r="AG28" s="18">
        <v>690.98477712153965</v>
      </c>
      <c r="AH28" s="18">
        <v>718.62416820640124</v>
      </c>
      <c r="AI28" s="18">
        <v>747.36913493465727</v>
      </c>
      <c r="AJ28" s="18">
        <v>777.26390033204359</v>
      </c>
      <c r="AK28" s="18">
        <v>808.35445634532539</v>
      </c>
      <c r="AL28" s="18">
        <v>840.68863459913848</v>
      </c>
      <c r="AM28" s="18">
        <v>874.31617998310401</v>
      </c>
    </row>
    <row r="29" spans="2:39" s="17" customFormat="1" ht="21" customHeight="1" x14ac:dyDescent="0.25">
      <c r="B29" s="6" t="s">
        <v>49</v>
      </c>
      <c r="C29" s="15"/>
      <c r="D29" s="19">
        <f t="shared" ref="D29:AM29" si="52">SUM(D28, D27, D26, D25 + D24)</f>
        <v>4500</v>
      </c>
      <c r="E29" s="19">
        <f t="shared" ref="E29:AL29" si="53">SUM(E28, E27, E26, E25 + E24)</f>
        <v>3770</v>
      </c>
      <c r="F29" s="19">
        <f t="shared" si="53"/>
        <v>3890.2000000000007</v>
      </c>
      <c r="G29" s="19">
        <f t="shared" si="53"/>
        <v>4014.5960000000005</v>
      </c>
      <c r="H29" s="19">
        <f t="shared" si="53"/>
        <v>4143.3436000000011</v>
      </c>
      <c r="I29" s="19">
        <f t="shared" si="53"/>
        <v>3757.0369424</v>
      </c>
      <c r="J29" s="19">
        <f t="shared" si="53"/>
        <v>3470.9253579200004</v>
      </c>
      <c r="K29" s="19">
        <f t="shared" si="53"/>
        <v>3586.5766753696003</v>
      </c>
      <c r="L29" s="19">
        <f t="shared" si="53"/>
        <v>3038.3018898139521</v>
      </c>
      <c r="M29" s="19">
        <f t="shared" si="53"/>
        <v>3135.7115663858754</v>
      </c>
      <c r="N29" s="19">
        <f t="shared" si="53"/>
        <v>3236.535182040263</v>
      </c>
      <c r="O29" s="19">
        <f t="shared" si="53"/>
        <v>3340.8996453808049</v>
      </c>
      <c r="P29" s="19">
        <f t="shared" si="53"/>
        <v>3039.3546232579092</v>
      </c>
      <c r="Q29" s="19">
        <f t="shared" si="53"/>
        <v>3143.0095902143025</v>
      </c>
      <c r="R29" s="19">
        <f t="shared" si="53"/>
        <v>3250.4523714894731</v>
      </c>
      <c r="S29" s="19">
        <f t="shared" si="53"/>
        <v>3361.8273119689829</v>
      </c>
      <c r="T29" s="19">
        <f t="shared" si="53"/>
        <v>3477.2843869800718</v>
      </c>
      <c r="U29" s="19">
        <f t="shared" si="53"/>
        <v>3596.9794246422503</v>
      </c>
      <c r="V29" s="19">
        <f t="shared" si="53"/>
        <v>3404.5261038807403</v>
      </c>
      <c r="W29" s="19">
        <f t="shared" si="53"/>
        <v>2469.8973862458447</v>
      </c>
      <c r="X29" s="19">
        <f t="shared" si="53"/>
        <v>2554.5673167902964</v>
      </c>
      <c r="Y29" s="19">
        <f t="shared" si="53"/>
        <v>2642.3415252584182</v>
      </c>
      <c r="Z29" s="19">
        <f t="shared" si="53"/>
        <v>2498.1920701802378</v>
      </c>
      <c r="AA29" s="19">
        <f t="shared" si="53"/>
        <v>2587.8320952661552</v>
      </c>
      <c r="AB29" s="19">
        <f t="shared" si="53"/>
        <v>2680.8519682010842</v>
      </c>
      <c r="AC29" s="19">
        <f t="shared" si="53"/>
        <v>2382.5542971711711</v>
      </c>
      <c r="AD29" s="19">
        <f t="shared" si="53"/>
        <v>2466.9391243829209</v>
      </c>
      <c r="AE29" s="19">
        <f t="shared" si="53"/>
        <v>2085.9878673448084</v>
      </c>
      <c r="AF29" s="19">
        <f t="shared" si="53"/>
        <v>2158.0689766386304</v>
      </c>
      <c r="AG29" s="19">
        <f t="shared" si="53"/>
        <v>2232.8061621962052</v>
      </c>
      <c r="AH29" s="19">
        <f t="shared" si="53"/>
        <v>2310.3011237059241</v>
      </c>
      <c r="AI29" s="19">
        <f t="shared" si="53"/>
        <v>2390.6595379764694</v>
      </c>
      <c r="AJ29" s="19">
        <f t="shared" si="53"/>
        <v>2124.2824351212457</v>
      </c>
      <c r="AK29" s="19">
        <f t="shared" si="53"/>
        <v>2196.713135169025</v>
      </c>
      <c r="AL29" s="19">
        <f t="shared" si="53"/>
        <v>2271.7902512715737</v>
      </c>
      <c r="AM29" s="19">
        <f t="shared" si="52"/>
        <v>2349.6146238321408</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6500</v>
      </c>
      <c r="E31" s="18">
        <v>6630</v>
      </c>
      <c r="F31" s="18">
        <f>E31*(0.9)</f>
        <v>5967</v>
      </c>
      <c r="G31" s="18">
        <v>6086.34</v>
      </c>
      <c r="H31" s="18">
        <v>6208.0668000000005</v>
      </c>
      <c r="I31" s="18">
        <v>6332.2281360000006</v>
      </c>
      <c r="J31" s="18">
        <v>6458.8726987200007</v>
      </c>
      <c r="K31" s="18">
        <v>6588.0501526944008</v>
      </c>
      <c r="L31" s="18">
        <f>K31*(0.9)</f>
        <v>5929.2451374249613</v>
      </c>
      <c r="M31" s="18">
        <v>6047.8300401734605</v>
      </c>
      <c r="N31" s="18">
        <v>6168.7866409769294</v>
      </c>
      <c r="O31" s="18">
        <v>6292.1623737964683</v>
      </c>
      <c r="P31" s="18">
        <v>6418.0056212723975</v>
      </c>
      <c r="Q31" s="18">
        <v>6546.3657336978458</v>
      </c>
      <c r="R31" s="18">
        <v>6677.2930483718028</v>
      </c>
      <c r="S31" s="18">
        <v>6810.8389093392389</v>
      </c>
      <c r="T31" s="18">
        <v>6947.0556875260236</v>
      </c>
      <c r="U31" s="18">
        <f>T31*(0.9)</f>
        <v>6252.3501187734209</v>
      </c>
      <c r="V31" s="18">
        <v>6377.3971211488897</v>
      </c>
      <c r="W31" s="18">
        <v>6504.9450635718676</v>
      </c>
      <c r="X31" s="18">
        <v>6635.0439648433048</v>
      </c>
      <c r="Y31" s="18">
        <v>6767.7448441401712</v>
      </c>
      <c r="Z31" s="18">
        <v>6903.0997410229747</v>
      </c>
      <c r="AA31" s="18">
        <v>7041.1617358434341</v>
      </c>
      <c r="AB31" s="18">
        <f>AA31*(0.9)</f>
        <v>6337.0455622590907</v>
      </c>
      <c r="AC31" s="18">
        <v>6463.7864735042731</v>
      </c>
      <c r="AD31" s="18">
        <v>6593.062202974359</v>
      </c>
      <c r="AE31" s="18">
        <v>6724.9234470338461</v>
      </c>
      <c r="AF31" s="18">
        <v>6859.4219159745235</v>
      </c>
      <c r="AG31" s="18">
        <v>6996.6103542940136</v>
      </c>
      <c r="AH31" s="18">
        <v>7136.5425613798943</v>
      </c>
      <c r="AI31" s="18">
        <v>7279.273412607492</v>
      </c>
      <c r="AJ31" s="18">
        <v>7424.8588808596423</v>
      </c>
      <c r="AK31" s="18">
        <f>AJ31*(0.9)</f>
        <v>6682.3729927736786</v>
      </c>
      <c r="AL31" s="18">
        <v>6816.0204526291518</v>
      </c>
      <c r="AM31" s="18">
        <v>6952.3408616817351</v>
      </c>
    </row>
    <row r="32" spans="2:39" s="17" customFormat="1" ht="21" customHeight="1" x14ac:dyDescent="0.25">
      <c r="B32" s="7" t="s">
        <v>52</v>
      </c>
      <c r="C32" s="15"/>
      <c r="D32" s="18">
        <v>918</v>
      </c>
      <c r="E32" s="18">
        <v>936.36</v>
      </c>
      <c r="F32" s="18">
        <v>955.08720000000005</v>
      </c>
      <c r="G32" s="18">
        <v>974.18894400000011</v>
      </c>
      <c r="H32" s="18">
        <v>993.67272288000015</v>
      </c>
      <c r="I32" s="18">
        <v>1013.5461773376002</v>
      </c>
      <c r="J32" s="18">
        <v>1033.8171008843522</v>
      </c>
      <c r="K32" s="18">
        <v>1054.4934429020393</v>
      </c>
      <c r="L32" s="18">
        <v>1075.5833117600801</v>
      </c>
      <c r="M32" s="18">
        <v>1097.0949779952816</v>
      </c>
      <c r="N32" s="18">
        <v>1119.0368775551872</v>
      </c>
      <c r="O32" s="18">
        <v>1141.4176151062909</v>
      </c>
      <c r="P32" s="18">
        <v>1164.2459674084168</v>
      </c>
      <c r="Q32" s="18">
        <v>1187.5308867565852</v>
      </c>
      <c r="R32" s="18">
        <v>1211.281504491717</v>
      </c>
      <c r="S32" s="18">
        <v>1235.5071345815513</v>
      </c>
      <c r="T32" s="18">
        <v>1260.2172772731824</v>
      </c>
      <c r="U32" s="18">
        <v>1285.421622818646</v>
      </c>
      <c r="V32" s="18">
        <v>1311.130055275019</v>
      </c>
      <c r="W32" s="18">
        <v>1337.3526563805194</v>
      </c>
      <c r="X32" s="18">
        <v>1364.0997095081298</v>
      </c>
      <c r="Y32" s="18">
        <v>1391.3817036982923</v>
      </c>
      <c r="Z32" s="18">
        <v>1419.2093377722581</v>
      </c>
      <c r="AA32" s="18">
        <v>1447.5935245277033</v>
      </c>
      <c r="AB32" s="18">
        <v>1476.5453950182573</v>
      </c>
      <c r="AC32" s="18">
        <v>1506.0763029186226</v>
      </c>
      <c r="AD32" s="18">
        <v>1536.197828976995</v>
      </c>
      <c r="AE32" s="18">
        <v>1566.9217855565348</v>
      </c>
      <c r="AF32" s="18">
        <v>1598.2602212676654</v>
      </c>
      <c r="AG32" s="18">
        <v>1630.2254256930187</v>
      </c>
      <c r="AH32" s="18">
        <v>1662.829934206879</v>
      </c>
      <c r="AI32" s="18">
        <v>1696.0865328910165</v>
      </c>
      <c r="AJ32" s="18">
        <v>1730.0082635488368</v>
      </c>
      <c r="AK32" s="18">
        <v>1764.6084288198135</v>
      </c>
      <c r="AL32" s="18">
        <v>1799.9005973962098</v>
      </c>
      <c r="AM32" s="18">
        <v>1835.898609344134</v>
      </c>
    </row>
    <row r="33" spans="2:39" s="17" customFormat="1" ht="21" customHeight="1" x14ac:dyDescent="0.25">
      <c r="B33" s="7" t="s">
        <v>53</v>
      </c>
      <c r="C33" s="15"/>
      <c r="D33" s="18">
        <v>700</v>
      </c>
      <c r="E33" s="18">
        <v>728</v>
      </c>
      <c r="F33" s="18">
        <v>757.12</v>
      </c>
      <c r="G33" s="18">
        <v>787.40480000000002</v>
      </c>
      <c r="H33" s="18">
        <v>818.90099200000009</v>
      </c>
      <c r="I33" s="18">
        <v>851.65703168000016</v>
      </c>
      <c r="J33" s="18">
        <v>885.72331294720016</v>
      </c>
      <c r="K33" s="18">
        <v>921.15224546508819</v>
      </c>
      <c r="L33" s="18">
        <v>957.99833528369174</v>
      </c>
      <c r="M33" s="18">
        <v>996.31826869503948</v>
      </c>
      <c r="N33" s="18">
        <v>1036.1709994428411</v>
      </c>
      <c r="O33" s="18">
        <v>1077.6178394205547</v>
      </c>
      <c r="P33" s="18">
        <v>1120.7225529973769</v>
      </c>
      <c r="Q33" s="18">
        <v>1165.5514551172719</v>
      </c>
      <c r="R33" s="18">
        <v>1212.1735133219629</v>
      </c>
      <c r="S33" s="18">
        <v>1260.6604538548415</v>
      </c>
      <c r="T33" s="18">
        <v>1311.0868720090352</v>
      </c>
      <c r="U33" s="18">
        <v>1363.5303468893967</v>
      </c>
      <c r="V33" s="18">
        <v>1418.0715607649727</v>
      </c>
      <c r="W33" s="18">
        <v>1474.7944231955717</v>
      </c>
      <c r="X33" s="18">
        <v>1533.7862001233946</v>
      </c>
      <c r="Y33" s="18">
        <v>1595.1376481283305</v>
      </c>
      <c r="Z33" s="18">
        <v>1658.9431540534638</v>
      </c>
      <c r="AA33" s="18">
        <v>1725.3008802156023</v>
      </c>
      <c r="AB33" s="18">
        <v>1794.3129154242265</v>
      </c>
      <c r="AC33" s="18">
        <v>1866.0854320411956</v>
      </c>
      <c r="AD33" s="18">
        <v>1940.7288493228436</v>
      </c>
      <c r="AE33" s="18">
        <v>2018.3580032957575</v>
      </c>
      <c r="AF33" s="18">
        <v>2099.0923234275879</v>
      </c>
      <c r="AG33" s="18">
        <v>2183.0560163646915</v>
      </c>
      <c r="AH33" s="18">
        <v>2270.3782570192793</v>
      </c>
      <c r="AI33" s="18">
        <v>2361.1933873000507</v>
      </c>
      <c r="AJ33" s="18">
        <v>2455.641122792053</v>
      </c>
      <c r="AK33" s="18">
        <v>2553.8667677037351</v>
      </c>
      <c r="AL33" s="18">
        <v>2656.0214384118844</v>
      </c>
      <c r="AM33" s="18">
        <v>2762.2622959483601</v>
      </c>
    </row>
    <row r="34" spans="2:39" s="17" customFormat="1" ht="21" customHeight="1" x14ac:dyDescent="0.25">
      <c r="B34" s="7" t="s">
        <v>54</v>
      </c>
      <c r="C34" s="15"/>
      <c r="D34" s="18">
        <v>57.375</v>
      </c>
      <c r="E34" s="18">
        <v>59.67</v>
      </c>
      <c r="F34" s="18">
        <v>62.056800000000003</v>
      </c>
      <c r="G34" s="18">
        <v>64.539072000000004</v>
      </c>
      <c r="H34" s="18">
        <v>67.120634880000011</v>
      </c>
      <c r="I34" s="18">
        <v>69.805460275200019</v>
      </c>
      <c r="J34" s="18">
        <v>72.597678686208027</v>
      </c>
      <c r="K34" s="18">
        <v>75.50158583365635</v>
      </c>
      <c r="L34" s="18">
        <v>78.521649267002601</v>
      </c>
      <c r="M34" s="18">
        <v>81.662515237682712</v>
      </c>
      <c r="N34" s="18">
        <v>84.92901584719003</v>
      </c>
      <c r="O34" s="18">
        <v>88.326176481077638</v>
      </c>
      <c r="P34" s="18">
        <v>91.859223540320741</v>
      </c>
      <c r="Q34" s="18">
        <v>95.533592481933567</v>
      </c>
      <c r="R34" s="18">
        <v>99.354936181210917</v>
      </c>
      <c r="S34" s="18">
        <v>103.32913362845936</v>
      </c>
      <c r="T34" s="18">
        <v>107.46229897359774</v>
      </c>
      <c r="U34" s="18">
        <v>111.76079093254165</v>
      </c>
      <c r="V34" s="18">
        <v>116.23122256984333</v>
      </c>
      <c r="W34" s="18">
        <v>120.88047147263707</v>
      </c>
      <c r="X34" s="18">
        <v>125.71569033154256</v>
      </c>
      <c r="Y34" s="18">
        <v>130.74431794480427</v>
      </c>
      <c r="Z34" s="18">
        <v>135.97409066259644</v>
      </c>
      <c r="AA34" s="18">
        <v>141.4130542891003</v>
      </c>
      <c r="AB34" s="18">
        <v>147.06957646066431</v>
      </c>
      <c r="AC34" s="18">
        <v>152.95235951909089</v>
      </c>
      <c r="AD34" s="18">
        <v>159.07045389985453</v>
      </c>
      <c r="AE34" s="18">
        <v>165.4332720558487</v>
      </c>
      <c r="AF34" s="18">
        <v>172.05060293808265</v>
      </c>
      <c r="AG34" s="18">
        <v>178.93262705560596</v>
      </c>
      <c r="AH34" s="18">
        <v>186.0899321378302</v>
      </c>
      <c r="AI34" s="18">
        <v>193.53352942334342</v>
      </c>
      <c r="AJ34" s="18">
        <v>201.27487060027715</v>
      </c>
      <c r="AK34" s="18">
        <v>209.32586542428825</v>
      </c>
      <c r="AL34" s="18">
        <v>217.6989000412598</v>
      </c>
      <c r="AM34" s="18">
        <v>226.40685604291019</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54">SUM(D35, D34, D33, D32, D31 + D30)</f>
        <v>8175.375</v>
      </c>
      <c r="E36" s="19">
        <f t="shared" ref="E36:AL36" si="55">SUM(E35, E34, E33, E32, E31 + E30)</f>
        <v>8354.0300000000007</v>
      </c>
      <c r="F36" s="19">
        <f t="shared" si="55"/>
        <v>7741.2640000000001</v>
      </c>
      <c r="G36" s="19">
        <f t="shared" si="55"/>
        <v>7912.4728160000004</v>
      </c>
      <c r="H36" s="19">
        <f t="shared" si="55"/>
        <v>8087.761149760001</v>
      </c>
      <c r="I36" s="19">
        <f t="shared" si="55"/>
        <v>8267.2368052928014</v>
      </c>
      <c r="J36" s="19">
        <f t="shared" si="55"/>
        <v>8451.0107912377607</v>
      </c>
      <c r="K36" s="19">
        <f t="shared" si="55"/>
        <v>8639.1974268951853</v>
      </c>
      <c r="L36" s="19">
        <f t="shared" si="55"/>
        <v>8041.3484337357359</v>
      </c>
      <c r="M36" s="19">
        <f t="shared" si="55"/>
        <v>8222.9058021014644</v>
      </c>
      <c r="N36" s="19">
        <f t="shared" si="55"/>
        <v>8408.9235338221479</v>
      </c>
      <c r="O36" s="19">
        <f t="shared" si="55"/>
        <v>8599.5240048043925</v>
      </c>
      <c r="P36" s="19">
        <f t="shared" si="55"/>
        <v>8794.833365218512</v>
      </c>
      <c r="Q36" s="19">
        <f t="shared" si="55"/>
        <v>8994.9816680536369</v>
      </c>
      <c r="R36" s="19">
        <f t="shared" si="55"/>
        <v>9200.1030023666935</v>
      </c>
      <c r="S36" s="19">
        <f t="shared" si="55"/>
        <v>9410.3356314040902</v>
      </c>
      <c r="T36" s="19">
        <f t="shared" si="55"/>
        <v>9625.8221357818384</v>
      </c>
      <c r="U36" s="19">
        <f t="shared" si="55"/>
        <v>9013.0628794140048</v>
      </c>
      <c r="V36" s="19">
        <f t="shared" si="55"/>
        <v>9222.8299597587247</v>
      </c>
      <c r="W36" s="19">
        <f t="shared" si="55"/>
        <v>9437.9726146205958</v>
      </c>
      <c r="X36" s="19">
        <f t="shared" si="55"/>
        <v>9658.6455648063711</v>
      </c>
      <c r="Y36" s="19">
        <f t="shared" si="55"/>
        <v>9885.0085139115981</v>
      </c>
      <c r="Z36" s="19">
        <f t="shared" si="55"/>
        <v>10117.226323511293</v>
      </c>
      <c r="AA36" s="19">
        <f t="shared" si="55"/>
        <v>10355.469194875841</v>
      </c>
      <c r="AB36" s="19">
        <f t="shared" si="55"/>
        <v>9754.9734491622385</v>
      </c>
      <c r="AC36" s="19">
        <f t="shared" si="55"/>
        <v>9988.9005679831826</v>
      </c>
      <c r="AD36" s="19">
        <f t="shared" si="55"/>
        <v>10229.059335174052</v>
      </c>
      <c r="AE36" s="19">
        <f t="shared" si="55"/>
        <v>10475.636507941987</v>
      </c>
      <c r="AF36" s="19">
        <f t="shared" si="55"/>
        <v>10728.825063607859</v>
      </c>
      <c r="AG36" s="19">
        <f t="shared" si="55"/>
        <v>10988.82442340733</v>
      </c>
      <c r="AH36" s="19">
        <f t="shared" si="55"/>
        <v>11255.840684743882</v>
      </c>
      <c r="AI36" s="19">
        <f t="shared" si="55"/>
        <v>11530.086862221902</v>
      </c>
      <c r="AJ36" s="19">
        <f t="shared" si="55"/>
        <v>11811.783137800809</v>
      </c>
      <c r="AK36" s="19">
        <f t="shared" si="55"/>
        <v>11210.174054721516</v>
      </c>
      <c r="AL36" s="19">
        <f t="shared" si="55"/>
        <v>11489.641388478507</v>
      </c>
      <c r="AM36" s="19">
        <f t="shared" si="54"/>
        <v>11776.908623017138</v>
      </c>
    </row>
    <row r="37" spans="2:39" s="17" customFormat="1" ht="21" customHeight="1" x14ac:dyDescent="0.25">
      <c r="B37" s="7" t="s">
        <v>57</v>
      </c>
      <c r="C37" s="15"/>
      <c r="D37" s="18">
        <v>150</v>
      </c>
      <c r="E37" s="18">
        <v>156</v>
      </c>
      <c r="F37" s="18">
        <v>162.24</v>
      </c>
      <c r="G37" s="18">
        <v>168.7296</v>
      </c>
      <c r="H37" s="18">
        <v>175.47878400000002</v>
      </c>
      <c r="I37" s="18">
        <v>182.49793536000001</v>
      </c>
      <c r="J37" s="18">
        <v>189.79785277440001</v>
      </c>
      <c r="K37" s="18">
        <v>197.38976688537602</v>
      </c>
      <c r="L37" s="18">
        <v>205.28535756079106</v>
      </c>
      <c r="M37" s="18">
        <v>213.4967718632227</v>
      </c>
      <c r="N37" s="18">
        <v>222.03664273775163</v>
      </c>
      <c r="O37" s="18">
        <v>230.91810844726172</v>
      </c>
      <c r="P37" s="18">
        <v>240.15483278515219</v>
      </c>
      <c r="Q37" s="18">
        <v>249.76102609655828</v>
      </c>
      <c r="R37" s="18">
        <v>259.75146714042063</v>
      </c>
      <c r="S37" s="18">
        <v>270.14152582603748</v>
      </c>
      <c r="T37" s="18">
        <v>280.94718685907901</v>
      </c>
      <c r="U37" s="18">
        <v>292.18507433344217</v>
      </c>
      <c r="V37" s="18">
        <v>303.8724773067799</v>
      </c>
      <c r="W37" s="18">
        <v>316.02737639905109</v>
      </c>
      <c r="X37" s="18">
        <v>328.66847145501316</v>
      </c>
      <c r="Y37" s="18">
        <v>341.8152103132137</v>
      </c>
      <c r="Z37" s="18">
        <v>355.48781872574227</v>
      </c>
      <c r="AA37" s="18">
        <v>369.70733147477199</v>
      </c>
      <c r="AB37" s="18">
        <v>384.4956247337629</v>
      </c>
      <c r="AC37" s="18">
        <v>399.87544972311343</v>
      </c>
      <c r="AD37" s="18">
        <v>415.87046771203796</v>
      </c>
      <c r="AE37" s="18">
        <v>432.5052864205195</v>
      </c>
      <c r="AF37" s="18">
        <v>449.80549787734031</v>
      </c>
      <c r="AG37" s="18">
        <v>467.79771779243396</v>
      </c>
      <c r="AH37" s="18">
        <v>486.50962650413135</v>
      </c>
      <c r="AI37" s="18">
        <v>505.97001156429661</v>
      </c>
      <c r="AJ37" s="18">
        <v>526.20881202686849</v>
      </c>
      <c r="AK37" s="18">
        <v>547.25716450794323</v>
      </c>
      <c r="AL37" s="18">
        <v>569.14745108826094</v>
      </c>
      <c r="AM37" s="18">
        <v>591.91334913179139</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850</v>
      </c>
      <c r="E39" s="18">
        <v>884</v>
      </c>
      <c r="F39" s="18">
        <v>919.36</v>
      </c>
      <c r="G39" s="18">
        <v>956.13440000000003</v>
      </c>
      <c r="H39" s="18">
        <v>994.37977600000011</v>
      </c>
      <c r="I39" s="18">
        <v>1034.1549670400002</v>
      </c>
      <c r="J39" s="18">
        <v>1075.5211657216003</v>
      </c>
      <c r="K39" s="18">
        <v>1118.5420123504643</v>
      </c>
      <c r="L39" s="18">
        <v>1163.2836928444829</v>
      </c>
      <c r="M39" s="18">
        <v>1209.8150405582621</v>
      </c>
      <c r="N39" s="18">
        <v>1258.2076421805928</v>
      </c>
      <c r="O39" s="18">
        <v>1308.5359478678165</v>
      </c>
      <c r="P39" s="18">
        <v>1360.8773857825292</v>
      </c>
      <c r="Q39" s="18">
        <v>1415.3124812138306</v>
      </c>
      <c r="R39" s="18">
        <v>1471.9249804623839</v>
      </c>
      <c r="S39" s="18">
        <v>1530.8019796808794</v>
      </c>
      <c r="T39" s="18">
        <v>1592.0340588681147</v>
      </c>
      <c r="U39" s="18">
        <v>1655.7154212228393</v>
      </c>
      <c r="V39" s="18">
        <v>1721.9440380717529</v>
      </c>
      <c r="W39" s="18">
        <v>1790.8217995946231</v>
      </c>
      <c r="X39" s="18">
        <v>1862.4546715784081</v>
      </c>
      <c r="Y39" s="18">
        <v>1936.9528584415445</v>
      </c>
      <c r="Z39" s="18">
        <v>2014.4309727792065</v>
      </c>
      <c r="AA39" s="18">
        <v>2095.008211690375</v>
      </c>
      <c r="AB39" s="18">
        <v>2178.8085401579901</v>
      </c>
      <c r="AC39" s="18">
        <v>2265.9608817643098</v>
      </c>
      <c r="AD39" s="18">
        <v>2356.599317034882</v>
      </c>
      <c r="AE39" s="18">
        <v>2450.8632897162774</v>
      </c>
      <c r="AF39" s="18">
        <v>2548.8978213049286</v>
      </c>
      <c r="AG39" s="18">
        <v>2650.8537341571259</v>
      </c>
      <c r="AH39" s="18">
        <v>2756.8878835234109</v>
      </c>
      <c r="AI39" s="18">
        <v>2867.1633988643475</v>
      </c>
      <c r="AJ39" s="18">
        <v>2981.8499348189216</v>
      </c>
      <c r="AK39" s="18">
        <v>3101.1239322116785</v>
      </c>
      <c r="AL39" s="18">
        <v>3225.1688895001457</v>
      </c>
      <c r="AM39" s="18">
        <v>3354.1756450801518</v>
      </c>
    </row>
    <row r="40" spans="2:39" s="17" customFormat="1" ht="21" customHeight="1" x14ac:dyDescent="0.25">
      <c r="B40" s="7" t="s">
        <v>60</v>
      </c>
      <c r="C40" s="15"/>
      <c r="D40" s="18">
        <v>600</v>
      </c>
      <c r="E40" s="18">
        <v>612</v>
      </c>
      <c r="F40" s="18">
        <v>624.24</v>
      </c>
      <c r="G40" s="18">
        <v>636.72480000000007</v>
      </c>
      <c r="H40" s="18">
        <v>649.45929600000011</v>
      </c>
      <c r="I40" s="18">
        <v>662.44848192000018</v>
      </c>
      <c r="J40" s="18">
        <v>675.69745155840019</v>
      </c>
      <c r="K40" s="18">
        <v>689.21140058956826</v>
      </c>
      <c r="L40" s="18">
        <v>702.99562860135961</v>
      </c>
      <c r="M40" s="18">
        <v>717.05554117338681</v>
      </c>
      <c r="N40" s="18">
        <v>731.39665199685453</v>
      </c>
      <c r="O40" s="18">
        <v>746.02458503679168</v>
      </c>
      <c r="P40" s="18">
        <v>760.94507673752753</v>
      </c>
      <c r="Q40" s="18">
        <v>776.16397827227809</v>
      </c>
      <c r="R40" s="18">
        <v>791.68725783772368</v>
      </c>
      <c r="S40" s="18">
        <v>807.52100299447818</v>
      </c>
      <c r="T40" s="18">
        <v>823.67142305436778</v>
      </c>
      <c r="U40" s="18">
        <v>840.14485151545512</v>
      </c>
      <c r="V40" s="18">
        <v>856.94774854576428</v>
      </c>
      <c r="W40" s="18">
        <v>874.08670351667956</v>
      </c>
      <c r="X40" s="18">
        <v>891.56843758701314</v>
      </c>
      <c r="Y40" s="18">
        <v>909.39980633875336</v>
      </c>
      <c r="Z40" s="18">
        <v>927.5878024655284</v>
      </c>
      <c r="AA40" s="18">
        <v>946.139558514839</v>
      </c>
      <c r="AB40" s="18">
        <v>965.06234968513581</v>
      </c>
      <c r="AC40" s="18">
        <v>984.36359667883858</v>
      </c>
      <c r="AD40" s="18">
        <v>1004.0508686124153</v>
      </c>
      <c r="AE40" s="18">
        <v>1024.1318859846638</v>
      </c>
      <c r="AF40" s="18">
        <v>1044.614523704357</v>
      </c>
      <c r="AG40" s="18">
        <v>1065.5068141784441</v>
      </c>
      <c r="AH40" s="18">
        <v>1086.816950462013</v>
      </c>
      <c r="AI40" s="18">
        <v>1108.5532894712533</v>
      </c>
      <c r="AJ40" s="18">
        <v>1130.7243552606783</v>
      </c>
      <c r="AK40" s="18">
        <v>1153.3388423658919</v>
      </c>
      <c r="AL40" s="18">
        <v>1176.4056192132098</v>
      </c>
      <c r="AM40" s="18">
        <v>1199.933731597474</v>
      </c>
    </row>
    <row r="41" spans="2:39" s="17" customFormat="1" ht="21" customHeight="1" x14ac:dyDescent="0.25">
      <c r="B41" s="7" t="s">
        <v>61</v>
      </c>
      <c r="C41" s="15"/>
      <c r="D41" s="18">
        <v>250</v>
      </c>
      <c r="E41" s="18">
        <v>255</v>
      </c>
      <c r="F41" s="18">
        <v>260.10000000000002</v>
      </c>
      <c r="G41" s="18">
        <v>265.30200000000002</v>
      </c>
      <c r="H41" s="18">
        <v>270.60804000000002</v>
      </c>
      <c r="I41" s="18">
        <v>276.0202008</v>
      </c>
      <c r="J41" s="18">
        <v>281.54060481599998</v>
      </c>
      <c r="K41" s="18">
        <v>287.17141691232001</v>
      </c>
      <c r="L41" s="18">
        <v>292.91484525056643</v>
      </c>
      <c r="M41" s="18">
        <v>298.77314215557777</v>
      </c>
      <c r="N41" s="18">
        <v>304.74860499868936</v>
      </c>
      <c r="O41" s="18">
        <v>310.84357709866316</v>
      </c>
      <c r="P41" s="18">
        <v>317.06044864063642</v>
      </c>
      <c r="Q41" s="18">
        <v>323.40165761344917</v>
      </c>
      <c r="R41" s="18">
        <v>329.86969076571819</v>
      </c>
      <c r="S41" s="18">
        <v>336.46708458103257</v>
      </c>
      <c r="T41" s="18">
        <v>343.19642627265324</v>
      </c>
      <c r="U41" s="18">
        <v>350.06035479810629</v>
      </c>
      <c r="V41" s="18">
        <v>357.0615618940684</v>
      </c>
      <c r="W41" s="18">
        <v>364.20279313194976</v>
      </c>
      <c r="X41" s="18">
        <v>371.48684899458874</v>
      </c>
      <c r="Y41" s="18">
        <v>378.91658597448054</v>
      </c>
      <c r="Z41" s="18">
        <v>386.49491769397014</v>
      </c>
      <c r="AA41" s="18">
        <v>394.22481604784957</v>
      </c>
      <c r="AB41" s="18">
        <v>402.10931236880657</v>
      </c>
      <c r="AC41" s="18">
        <v>410.15149861618272</v>
      </c>
      <c r="AD41" s="18">
        <v>418.35452858850635</v>
      </c>
      <c r="AE41" s="18">
        <v>426.72161916027648</v>
      </c>
      <c r="AF41" s="18">
        <v>435.25605154348199</v>
      </c>
      <c r="AG41" s="18">
        <v>443.96117257435162</v>
      </c>
      <c r="AH41" s="18">
        <v>452.84039602583869</v>
      </c>
      <c r="AI41" s="18">
        <v>461.89720394635549</v>
      </c>
      <c r="AJ41" s="18">
        <v>471.1351480252826</v>
      </c>
      <c r="AK41" s="18">
        <v>480.55785098578826</v>
      </c>
      <c r="AL41" s="18">
        <v>490.16900800550405</v>
      </c>
      <c r="AM41" s="18">
        <v>499.97238816561412</v>
      </c>
    </row>
    <row r="42" spans="2:39" s="32" customFormat="1" ht="21" customHeight="1" x14ac:dyDescent="0.25">
      <c r="B42" s="28" t="s">
        <v>62</v>
      </c>
      <c r="C42" s="29"/>
      <c r="D42" s="31">
        <f t="shared" ref="D42" si="56">SUM(D41, D40, D39 + D38)</f>
        <v>1700</v>
      </c>
      <c r="E42" s="31">
        <v>1700</v>
      </c>
      <c r="F42" s="31">
        <v>1700</v>
      </c>
      <c r="G42" s="31">
        <v>1700</v>
      </c>
      <c r="H42" s="31">
        <v>1700</v>
      </c>
      <c r="I42" s="31">
        <v>1700</v>
      </c>
      <c r="J42" s="31">
        <v>1700</v>
      </c>
      <c r="K42" s="31">
        <v>1700</v>
      </c>
      <c r="L42" s="31">
        <v>1700</v>
      </c>
      <c r="M42" s="31">
        <v>1700</v>
      </c>
      <c r="N42" s="31">
        <v>1700</v>
      </c>
      <c r="O42" s="31">
        <v>1700</v>
      </c>
      <c r="P42" s="31">
        <v>1700</v>
      </c>
      <c r="Q42" s="31">
        <v>1700</v>
      </c>
      <c r="R42" s="31">
        <v>1700</v>
      </c>
      <c r="S42" s="31">
        <v>1700</v>
      </c>
      <c r="T42" s="31">
        <v>1700</v>
      </c>
      <c r="U42" s="31">
        <v>1700</v>
      </c>
      <c r="V42" s="31">
        <v>1700</v>
      </c>
      <c r="W42" s="31">
        <v>1700</v>
      </c>
      <c r="X42" s="31">
        <v>1700</v>
      </c>
      <c r="Y42" s="31">
        <v>1700</v>
      </c>
      <c r="Z42" s="31">
        <v>1700</v>
      </c>
      <c r="AA42" s="31">
        <v>1700</v>
      </c>
      <c r="AB42" s="31">
        <v>1700</v>
      </c>
      <c r="AC42" s="31">
        <v>1700</v>
      </c>
      <c r="AD42" s="31">
        <v>1700</v>
      </c>
      <c r="AE42" s="31">
        <v>1700</v>
      </c>
      <c r="AF42" s="31">
        <v>1700</v>
      </c>
      <c r="AG42" s="31">
        <v>1700</v>
      </c>
      <c r="AH42" s="31">
        <v>1700</v>
      </c>
      <c r="AI42" s="31">
        <v>1700</v>
      </c>
      <c r="AJ42" s="31">
        <v>1700</v>
      </c>
      <c r="AK42" s="31">
        <v>1700</v>
      </c>
      <c r="AL42" s="31">
        <v>1700</v>
      </c>
      <c r="AM42" s="31">
        <v>1700</v>
      </c>
    </row>
    <row r="43" spans="2:39" s="17" customFormat="1" ht="21" customHeight="1" x14ac:dyDescent="0.25">
      <c r="B43" s="5" t="s">
        <v>63</v>
      </c>
      <c r="C43" s="15"/>
      <c r="D43" s="19">
        <f t="shared" ref="D43:AM43" si="57">SUM(D41, D40, D39, D38, D37, D35, D34, D33, D32, D31, D30, D28, D27, D26, D25, D24, D22, D21, D20, D19, D18, D17, D16, D15, D14 + D13)</f>
        <v>33775.375</v>
      </c>
      <c r="E43" s="19">
        <f t="shared" ref="E43:AL43" si="58">SUM(E41, E40, E39, E38, E37, E35, E34, E33, E32, E31, E30, E28, E27, E26, E25, E24, E22, E21, E20, E19, E18, E17, E16, E15, E14 + E13)</f>
        <v>32085.03</v>
      </c>
      <c r="F43" s="19">
        <f t="shared" si="58"/>
        <v>31601.244000000002</v>
      </c>
      <c r="G43" s="19">
        <f t="shared" si="58"/>
        <v>32741.106816</v>
      </c>
      <c r="H43" s="19">
        <f t="shared" si="58"/>
        <v>33926.474405759996</v>
      </c>
      <c r="I43" s="19">
        <f t="shared" si="58"/>
        <v>34639.71742865281</v>
      </c>
      <c r="J43" s="19">
        <f t="shared" si="58"/>
        <v>33599.664455370563</v>
      </c>
      <c r="K43" s="19">
        <f t="shared" si="58"/>
        <v>33023.822625425979</v>
      </c>
      <c r="L43" s="19">
        <f t="shared" si="58"/>
        <v>32755.08573429241</v>
      </c>
      <c r="M43" s="19">
        <f t="shared" si="58"/>
        <v>33949.945588458577</v>
      </c>
      <c r="N43" s="19">
        <f t="shared" si="58"/>
        <v>34273.747569953732</v>
      </c>
      <c r="O43" s="19">
        <f t="shared" si="58"/>
        <v>34647.725524661844</v>
      </c>
      <c r="P43" s="19">
        <f t="shared" si="58"/>
        <v>35491.705822646516</v>
      </c>
      <c r="Q43" s="19">
        <f t="shared" si="58"/>
        <v>34916.772171325909</v>
      </c>
      <c r="R43" s="19">
        <f t="shared" si="58"/>
        <v>34670.483856801467</v>
      </c>
      <c r="S43" s="19">
        <f t="shared" si="58"/>
        <v>35055.378595302958</v>
      </c>
      <c r="T43" s="19">
        <f t="shared" si="58"/>
        <v>36315.778124781464</v>
      </c>
      <c r="U43" s="19">
        <f t="shared" si="58"/>
        <v>35925.906588664329</v>
      </c>
      <c r="V43" s="19">
        <f t="shared" si="58"/>
        <v>36088.635312235456</v>
      </c>
      <c r="W43" s="19">
        <f t="shared" si="58"/>
        <v>35235.860423596809</v>
      </c>
      <c r="X43" s="19">
        <f t="shared" si="58"/>
        <v>35172.525263631243</v>
      </c>
      <c r="Y43" s="19">
        <f t="shared" si="58"/>
        <v>35653.797496530125</v>
      </c>
      <c r="Z43" s="19">
        <f t="shared" si="58"/>
        <v>36691.02799311898</v>
      </c>
      <c r="AA43" s="19">
        <f t="shared" si="58"/>
        <v>37230.472291412087</v>
      </c>
      <c r="AB43" s="19">
        <f t="shared" si="58"/>
        <v>35410.717079076458</v>
      </c>
      <c r="AC43" s="19">
        <f t="shared" si="58"/>
        <v>36282.502897640159</v>
      </c>
      <c r="AD43" s="19">
        <f t="shared" si="58"/>
        <v>36845.588603601842</v>
      </c>
      <c r="AE43" s="19">
        <f t="shared" si="58"/>
        <v>35861.10811018094</v>
      </c>
      <c r="AF43" s="19">
        <f t="shared" si="58"/>
        <v>36809.557436145187</v>
      </c>
      <c r="AG43" s="19">
        <f t="shared" si="58"/>
        <v>38113.63509539816</v>
      </c>
      <c r="AH43" s="19">
        <f t="shared" si="58"/>
        <v>38368.331669464133</v>
      </c>
      <c r="AI43" s="19">
        <f t="shared" si="58"/>
        <v>38720.235395272284</v>
      </c>
      <c r="AJ43" s="19">
        <f t="shared" si="58"/>
        <v>39739.763035595657</v>
      </c>
      <c r="AK43" s="19">
        <f t="shared" si="58"/>
        <v>40257.402017185275</v>
      </c>
      <c r="AL43" s="19">
        <f t="shared" si="58"/>
        <v>41703.235694742689</v>
      </c>
      <c r="AM43" s="19">
        <f t="shared" si="57"/>
        <v>42168.466129245528</v>
      </c>
    </row>
    <row r="44" spans="2:39" s="21" customFormat="1" ht="21" customHeight="1" x14ac:dyDescent="0.25">
      <c r="B44" s="5" t="s">
        <v>64</v>
      </c>
      <c r="C44" s="22"/>
      <c r="D44" s="23">
        <f t="shared" ref="D44:AM44" si="59">D12-D43</f>
        <v>60174.625</v>
      </c>
      <c r="E44" s="23">
        <f t="shared" ref="E44:AL44" si="60">E12-E43</f>
        <v>64672.97</v>
      </c>
      <c r="F44" s="23">
        <f t="shared" si="60"/>
        <v>61199.076000000001</v>
      </c>
      <c r="G44" s="23">
        <f t="shared" si="60"/>
        <v>62831.865984000004</v>
      </c>
      <c r="H44" s="23">
        <f t="shared" si="60"/>
        <v>64501.876506240013</v>
      </c>
      <c r="I44" s="23">
        <f t="shared" si="60"/>
        <v>66729.200495827186</v>
      </c>
      <c r="J44" s="23">
        <f t="shared" si="60"/>
        <v>70797.546151368646</v>
      </c>
      <c r="K44" s="23">
        <f t="shared" si="60"/>
        <v>67091.212759489994</v>
      </c>
      <c r="L44" s="23">
        <f t="shared" si="60"/>
        <v>70349.583428489059</v>
      </c>
      <c r="M44" s="23">
        <f t="shared" si="60"/>
        <v>72233.493674177094</v>
      </c>
      <c r="N44" s="23">
        <f t="shared" si="60"/>
        <v>75080.250096530595</v>
      </c>
      <c r="O44" s="23">
        <f t="shared" si="60"/>
        <v>70207.771715229959</v>
      </c>
      <c r="P44" s="23">
        <f t="shared" si="60"/>
        <v>72493.292066850729</v>
      </c>
      <c r="Q44" s="23">
        <f t="shared" si="60"/>
        <v>76290.964816561303</v>
      </c>
      <c r="R44" s="23">
        <f t="shared" si="60"/>
        <v>79856.001968895594</v>
      </c>
      <c r="S44" s="23">
        <f t="shared" si="60"/>
        <v>74744.586975767568</v>
      </c>
      <c r="T44" s="23">
        <f t="shared" si="60"/>
        <v>76759.276506613358</v>
      </c>
      <c r="U44" s="23">
        <f t="shared" si="60"/>
        <v>80521.733378592209</v>
      </c>
      <c r="V44" s="23">
        <f t="shared" si="60"/>
        <v>83831.980898835434</v>
      </c>
      <c r="W44" s="23">
        <f t="shared" si="60"/>
        <v>88261.103200394748</v>
      </c>
      <c r="X44" s="23">
        <f t="shared" si="60"/>
        <v>92007.225352732145</v>
      </c>
      <c r="Y44" s="23">
        <f t="shared" si="60"/>
        <v>95318.338845322316</v>
      </c>
      <c r="Z44" s="23">
        <f t="shared" si="60"/>
        <v>98186.345374267112</v>
      </c>
      <c r="AA44" s="23">
        <f t="shared" si="60"/>
        <v>92052.732962792157</v>
      </c>
      <c r="AB44" s="23">
        <f t="shared" si="60"/>
        <v>97725.104819550674</v>
      </c>
      <c r="AC44" s="23">
        <f t="shared" si="60"/>
        <v>100820.47896421442</v>
      </c>
      <c r="AD44" s="23">
        <f t="shared" si="60"/>
        <v>104342.49143262778</v>
      </c>
      <c r="AE44" s="23">
        <f t="shared" si="60"/>
        <v>99446.561262680741</v>
      </c>
      <c r="AF44" s="23">
        <f t="shared" si="60"/>
        <v>102527.0666478529</v>
      </c>
      <c r="AG44" s="23">
        <f t="shared" si="60"/>
        <v>105371.60132626847</v>
      </c>
      <c r="AH44" s="23">
        <f t="shared" si="60"/>
        <v>99115.528573372081</v>
      </c>
      <c r="AI44" s="23">
        <f t="shared" si="60"/>
        <v>102854.08498099371</v>
      </c>
      <c r="AJ44" s="23">
        <f t="shared" si="60"/>
        <v>106046.36905114882</v>
      </c>
      <c r="AK44" s="23">
        <f t="shared" si="60"/>
        <v>109865.47941531967</v>
      </c>
      <c r="AL44" s="23">
        <f t="shared" si="60"/>
        <v>102108.26646833761</v>
      </c>
      <c r="AM44" s="23">
        <f t="shared" si="59"/>
        <v>105917.54077715101</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61">SUM(D46 + D45)</f>
        <v>0</v>
      </c>
      <c r="E47" s="19">
        <f t="shared" si="61"/>
        <v>0</v>
      </c>
      <c r="F47" s="19">
        <f t="shared" si="61"/>
        <v>0</v>
      </c>
      <c r="G47" s="19">
        <f t="shared" si="61"/>
        <v>0</v>
      </c>
      <c r="H47" s="19">
        <f t="shared" si="61"/>
        <v>0</v>
      </c>
      <c r="I47" s="19">
        <f t="shared" si="61"/>
        <v>0</v>
      </c>
      <c r="J47" s="19">
        <f t="shared" si="61"/>
        <v>0</v>
      </c>
      <c r="K47" s="19">
        <f t="shared" si="61"/>
        <v>0</v>
      </c>
      <c r="L47" s="19">
        <f t="shared" si="61"/>
        <v>0</v>
      </c>
      <c r="M47" s="19">
        <f t="shared" si="61"/>
        <v>0</v>
      </c>
      <c r="N47" s="19">
        <f t="shared" si="61"/>
        <v>0</v>
      </c>
      <c r="O47" s="19">
        <f t="shared" si="61"/>
        <v>0</v>
      </c>
      <c r="P47" s="19">
        <f t="shared" si="61"/>
        <v>0</v>
      </c>
      <c r="Q47" s="19">
        <f t="shared" si="61"/>
        <v>0</v>
      </c>
      <c r="R47" s="19">
        <f t="shared" si="61"/>
        <v>0</v>
      </c>
      <c r="S47" s="19">
        <f t="shared" si="61"/>
        <v>0</v>
      </c>
      <c r="T47" s="19">
        <f t="shared" si="61"/>
        <v>0</v>
      </c>
      <c r="U47" s="19">
        <f t="shared" si="61"/>
        <v>0</v>
      </c>
      <c r="V47" s="19">
        <f t="shared" si="61"/>
        <v>0</v>
      </c>
      <c r="W47" s="19">
        <f t="shared" si="61"/>
        <v>0</v>
      </c>
      <c r="X47" s="19">
        <f>SUM(X46 + X45)</f>
        <v>0</v>
      </c>
      <c r="Y47" s="19">
        <f t="shared" si="61"/>
        <v>0</v>
      </c>
      <c r="Z47" s="19">
        <f t="shared" si="61"/>
        <v>0</v>
      </c>
      <c r="AA47" s="19">
        <f t="shared" si="61"/>
        <v>0</v>
      </c>
      <c r="AB47" s="19">
        <f t="shared" si="61"/>
        <v>0</v>
      </c>
      <c r="AC47" s="19">
        <f t="shared" si="61"/>
        <v>0</v>
      </c>
      <c r="AD47" s="19">
        <f t="shared" si="61"/>
        <v>0</v>
      </c>
      <c r="AE47" s="19">
        <f t="shared" si="61"/>
        <v>0</v>
      </c>
      <c r="AF47" s="19">
        <f t="shared" si="61"/>
        <v>0</v>
      </c>
      <c r="AG47" s="19">
        <f t="shared" si="61"/>
        <v>0</v>
      </c>
      <c r="AH47" s="19">
        <f t="shared" si="61"/>
        <v>0</v>
      </c>
      <c r="AI47" s="19">
        <f t="shared" si="61"/>
        <v>0</v>
      </c>
      <c r="AJ47" s="19">
        <f t="shared" si="61"/>
        <v>0</v>
      </c>
      <c r="AK47" s="19">
        <f t="shared" si="61"/>
        <v>0</v>
      </c>
      <c r="AL47" s="19">
        <f t="shared" si="61"/>
        <v>0</v>
      </c>
      <c r="AM47" s="19">
        <f t="shared" ref="AM47" si="62">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69.444444444444443</v>
      </c>
      <c r="E49" s="18">
        <v>72.222222222222229</v>
      </c>
      <c r="F49" s="18">
        <v>75.111111111111114</v>
      </c>
      <c r="G49" s="18">
        <v>78.115555555555559</v>
      </c>
      <c r="H49" s="18">
        <v>81.240177777777788</v>
      </c>
      <c r="I49" s="18">
        <v>84.489784888888906</v>
      </c>
      <c r="J49" s="18">
        <v>87.869376284444471</v>
      </c>
      <c r="K49" s="18">
        <v>91.384151335822253</v>
      </c>
      <c r="L49" s="18">
        <v>95.039517389255153</v>
      </c>
      <c r="M49" s="18">
        <v>98.841098084825362</v>
      </c>
      <c r="N49" s="18">
        <v>102.79474200821838</v>
      </c>
      <c r="O49" s="18">
        <v>106.90653168854712</v>
      </c>
      <c r="P49" s="18">
        <v>111.182792956089</v>
      </c>
      <c r="Q49" s="18">
        <v>115.63010467433257</v>
      </c>
      <c r="R49" s="18">
        <v>120.25530886130588</v>
      </c>
      <c r="S49" s="18">
        <v>125.06552121575811</v>
      </c>
      <c r="T49" s="18">
        <v>130.06814206438844</v>
      </c>
      <c r="U49" s="18">
        <v>135.27086774696397</v>
      </c>
      <c r="V49" s="18">
        <v>140.68170245684254</v>
      </c>
      <c r="W49" s="18">
        <v>146.30897055511625</v>
      </c>
      <c r="X49" s="18">
        <v>152.1613293773209</v>
      </c>
      <c r="Y49" s="18">
        <v>158.24778255241372</v>
      </c>
      <c r="Z49" s="18">
        <v>164.57769385451027</v>
      </c>
      <c r="AA49" s="18">
        <v>171.16080160869069</v>
      </c>
      <c r="AB49" s="18">
        <v>178.00723367303831</v>
      </c>
      <c r="AC49" s="18">
        <v>185.12752301995985</v>
      </c>
      <c r="AD49" s="18">
        <v>192.53262394075824</v>
      </c>
      <c r="AE49" s="18">
        <v>200.23392889838857</v>
      </c>
      <c r="AF49" s="18">
        <v>208.24328605432413</v>
      </c>
      <c r="AG49" s="18">
        <v>216.5730174964971</v>
      </c>
      <c r="AH49" s="18">
        <v>225.23593819635698</v>
      </c>
      <c r="AI49" s="18">
        <v>234.24537572421127</v>
      </c>
      <c r="AJ49" s="18">
        <v>243.61519075317972</v>
      </c>
      <c r="AK49" s="18">
        <v>253.35979838330692</v>
      </c>
      <c r="AL49" s="18">
        <v>263.4941903186392</v>
      </c>
      <c r="AM49" s="18">
        <v>274.03395793138475</v>
      </c>
    </row>
    <row r="50" spans="2:39" s="17" customFormat="1" ht="21" customHeight="1" x14ac:dyDescent="0.25">
      <c r="B50" s="4" t="s">
        <v>70</v>
      </c>
      <c r="C50" s="15"/>
      <c r="D50" s="18">
        <v>2500</v>
      </c>
      <c r="E50" s="18">
        <v>2600</v>
      </c>
      <c r="F50" s="18">
        <v>2704</v>
      </c>
      <c r="G50" s="18">
        <v>2812.1600000000003</v>
      </c>
      <c r="H50" s="18">
        <v>2924.6464000000005</v>
      </c>
      <c r="I50" s="18">
        <v>3041.6322560000008</v>
      </c>
      <c r="J50" s="18">
        <v>3163.2975462400009</v>
      </c>
      <c r="K50" s="18">
        <v>3289.8294480896011</v>
      </c>
      <c r="L50" s="18">
        <v>3421.4226260131854</v>
      </c>
      <c r="M50" s="18">
        <v>3558.2795310537131</v>
      </c>
      <c r="N50" s="18">
        <v>3700.6107122958615</v>
      </c>
      <c r="O50" s="18">
        <v>3848.6351407876959</v>
      </c>
      <c r="P50" s="18">
        <v>4002.580546419204</v>
      </c>
      <c r="Q50" s="18">
        <v>4162.6837682759724</v>
      </c>
      <c r="R50" s="18">
        <v>4329.1911190070114</v>
      </c>
      <c r="S50" s="18">
        <v>4502.3587637672917</v>
      </c>
      <c r="T50" s="18">
        <v>4682.4531143179838</v>
      </c>
      <c r="U50" s="18">
        <v>4869.7512388907035</v>
      </c>
      <c r="V50" s="18">
        <v>5064.5412884463321</v>
      </c>
      <c r="W50" s="18">
        <v>5267.1229399841859</v>
      </c>
      <c r="X50" s="18">
        <v>5477.8078575835534</v>
      </c>
      <c r="Y50" s="18">
        <v>5696.9201718868953</v>
      </c>
      <c r="Z50" s="18">
        <v>5924.7969787623715</v>
      </c>
      <c r="AA50" s="18">
        <v>6161.7888579128667</v>
      </c>
      <c r="AB50" s="18">
        <v>6408.2604122293815</v>
      </c>
      <c r="AC50" s="18">
        <v>6664.5908287185566</v>
      </c>
      <c r="AD50" s="18">
        <v>6931.1744618672992</v>
      </c>
      <c r="AE50" s="18">
        <v>7208.421440341991</v>
      </c>
      <c r="AF50" s="18">
        <v>7496.758297955671</v>
      </c>
      <c r="AG50" s="18">
        <v>7796.6286298738978</v>
      </c>
      <c r="AH50" s="18">
        <v>8108.4937750688541</v>
      </c>
      <c r="AI50" s="18">
        <v>8432.8335260716085</v>
      </c>
      <c r="AJ50" s="18">
        <v>8770.1468671144739</v>
      </c>
      <c r="AK50" s="18">
        <v>9120.9527417990539</v>
      </c>
      <c r="AL50" s="18">
        <v>9485.7908514710161</v>
      </c>
      <c r="AM50" s="18">
        <v>9865.2224855298573</v>
      </c>
    </row>
    <row r="51" spans="2:39" s="17" customFormat="1" ht="21" customHeight="1" x14ac:dyDescent="0.25">
      <c r="B51" s="5" t="s">
        <v>71</v>
      </c>
      <c r="C51" s="15"/>
      <c r="D51" s="19">
        <f t="shared" ref="D51:AM51" si="63">SUM(D50, D49 + D48)</f>
        <v>2569.4444444444443</v>
      </c>
      <c r="E51" s="19">
        <f t="shared" ref="E51:AL51" si="64">SUM(E50, E49 + E48)</f>
        <v>2672.2222222222222</v>
      </c>
      <c r="F51" s="19">
        <f t="shared" si="64"/>
        <v>2779.1111111111113</v>
      </c>
      <c r="G51" s="19">
        <f t="shared" si="64"/>
        <v>2890.2755555555559</v>
      </c>
      <c r="H51" s="19">
        <f t="shared" si="64"/>
        <v>3005.8865777777783</v>
      </c>
      <c r="I51" s="19">
        <f t="shared" si="64"/>
        <v>3126.1220408888898</v>
      </c>
      <c r="J51" s="19">
        <f t="shared" si="64"/>
        <v>3251.1669225244455</v>
      </c>
      <c r="K51" s="19">
        <f t="shared" si="64"/>
        <v>3381.2135994254231</v>
      </c>
      <c r="L51" s="19">
        <f t="shared" si="64"/>
        <v>3516.4621434024407</v>
      </c>
      <c r="M51" s="19">
        <f t="shared" si="64"/>
        <v>3657.1206291385383</v>
      </c>
      <c r="N51" s="19">
        <f t="shared" si="64"/>
        <v>3803.4054543040797</v>
      </c>
      <c r="O51" s="19">
        <f t="shared" si="64"/>
        <v>3955.5416724762431</v>
      </c>
      <c r="P51" s="19">
        <f t="shared" si="64"/>
        <v>4113.7633393752931</v>
      </c>
      <c r="Q51" s="19">
        <f t="shared" si="64"/>
        <v>4278.3138729503053</v>
      </c>
      <c r="R51" s="19">
        <f t="shared" si="64"/>
        <v>4449.4464278683172</v>
      </c>
      <c r="S51" s="19">
        <f t="shared" si="64"/>
        <v>4627.4242849830498</v>
      </c>
      <c r="T51" s="19">
        <f t="shared" si="64"/>
        <v>4812.5212563823725</v>
      </c>
      <c r="U51" s="19">
        <f t="shared" si="64"/>
        <v>5005.0221066376671</v>
      </c>
      <c r="V51" s="19">
        <f t="shared" si="64"/>
        <v>5205.2229909031748</v>
      </c>
      <c r="W51" s="19">
        <f t="shared" si="64"/>
        <v>5413.4319105393024</v>
      </c>
      <c r="X51" s="19">
        <f>SUM(X50, X49 + X48)</f>
        <v>5629.9691869608741</v>
      </c>
      <c r="Y51" s="19">
        <f t="shared" si="64"/>
        <v>5855.1679544393091</v>
      </c>
      <c r="Z51" s="19">
        <f t="shared" si="64"/>
        <v>6089.374672616882</v>
      </c>
      <c r="AA51" s="19">
        <f t="shared" si="64"/>
        <v>6332.9496595215569</v>
      </c>
      <c r="AB51" s="19">
        <f t="shared" si="64"/>
        <v>6586.2676459024196</v>
      </c>
      <c r="AC51" s="19">
        <f t="shared" si="64"/>
        <v>6849.7183517385165</v>
      </c>
      <c r="AD51" s="19">
        <f t="shared" si="64"/>
        <v>7123.7070858080579</v>
      </c>
      <c r="AE51" s="19">
        <f t="shared" si="64"/>
        <v>7408.6553692403795</v>
      </c>
      <c r="AF51" s="19">
        <f t="shared" si="64"/>
        <v>7705.001584009995</v>
      </c>
      <c r="AG51" s="19">
        <f t="shared" si="64"/>
        <v>8013.2016473703952</v>
      </c>
      <c r="AH51" s="19">
        <f t="shared" si="64"/>
        <v>8333.7297132652111</v>
      </c>
      <c r="AI51" s="19">
        <f t="shared" si="64"/>
        <v>8667.0789017958195</v>
      </c>
      <c r="AJ51" s="19">
        <f t="shared" si="64"/>
        <v>9013.7620578676542</v>
      </c>
      <c r="AK51" s="19">
        <f t="shared" si="64"/>
        <v>9374.31254018236</v>
      </c>
      <c r="AL51" s="19">
        <f t="shared" si="64"/>
        <v>9749.2850417896552</v>
      </c>
      <c r="AM51" s="19">
        <f t="shared" si="63"/>
        <v>10139.256443461241</v>
      </c>
    </row>
    <row r="52" spans="2:39" s="21" customFormat="1" ht="21" customHeight="1" x14ac:dyDescent="0.25">
      <c r="B52" s="5" t="s">
        <v>72</v>
      </c>
      <c r="C52" s="22"/>
      <c r="D52" s="23">
        <f t="shared" ref="D52:AM52" si="65">D47-D51</f>
        <v>-2569.4444444444443</v>
      </c>
      <c r="E52" s="23">
        <f t="shared" ref="E52:AL52" si="66">E47-E51</f>
        <v>-2672.2222222222222</v>
      </c>
      <c r="F52" s="23">
        <f t="shared" si="66"/>
        <v>-2779.1111111111113</v>
      </c>
      <c r="G52" s="23">
        <f t="shared" si="66"/>
        <v>-2890.2755555555559</v>
      </c>
      <c r="H52" s="23">
        <f t="shared" si="66"/>
        <v>-3005.8865777777783</v>
      </c>
      <c r="I52" s="23">
        <f t="shared" si="66"/>
        <v>-3126.1220408888898</v>
      </c>
      <c r="J52" s="23">
        <f t="shared" si="66"/>
        <v>-3251.1669225244455</v>
      </c>
      <c r="K52" s="23">
        <f t="shared" si="66"/>
        <v>-3381.2135994254231</v>
      </c>
      <c r="L52" s="23">
        <f t="shared" si="66"/>
        <v>-3516.4621434024407</v>
      </c>
      <c r="M52" s="23">
        <f t="shared" si="66"/>
        <v>-3657.1206291385383</v>
      </c>
      <c r="N52" s="23">
        <f t="shared" si="66"/>
        <v>-3803.4054543040797</v>
      </c>
      <c r="O52" s="23">
        <f t="shared" si="66"/>
        <v>-3955.5416724762431</v>
      </c>
      <c r="P52" s="23">
        <f t="shared" si="66"/>
        <v>-4113.7633393752931</v>
      </c>
      <c r="Q52" s="23">
        <f t="shared" si="66"/>
        <v>-4278.3138729503053</v>
      </c>
      <c r="R52" s="23">
        <f t="shared" si="66"/>
        <v>-4449.4464278683172</v>
      </c>
      <c r="S52" s="23">
        <f t="shared" si="66"/>
        <v>-4627.4242849830498</v>
      </c>
      <c r="T52" s="23">
        <f t="shared" si="66"/>
        <v>-4812.5212563823725</v>
      </c>
      <c r="U52" s="23">
        <f t="shared" si="66"/>
        <v>-5005.0221066376671</v>
      </c>
      <c r="V52" s="23">
        <f t="shared" si="66"/>
        <v>-5205.2229909031748</v>
      </c>
      <c r="W52" s="23">
        <f t="shared" si="66"/>
        <v>-5413.4319105393024</v>
      </c>
      <c r="X52" s="23">
        <f t="shared" si="66"/>
        <v>-5629.9691869608741</v>
      </c>
      <c r="Y52" s="23">
        <f t="shared" si="66"/>
        <v>-5855.1679544393091</v>
      </c>
      <c r="Z52" s="23">
        <f t="shared" si="66"/>
        <v>-6089.374672616882</v>
      </c>
      <c r="AA52" s="23">
        <f t="shared" si="66"/>
        <v>-6332.9496595215569</v>
      </c>
      <c r="AB52" s="23">
        <f t="shared" si="66"/>
        <v>-6586.2676459024196</v>
      </c>
      <c r="AC52" s="23">
        <f t="shared" si="66"/>
        <v>-6849.7183517385165</v>
      </c>
      <c r="AD52" s="23">
        <f t="shared" si="66"/>
        <v>-7123.7070858080579</v>
      </c>
      <c r="AE52" s="23">
        <f t="shared" si="66"/>
        <v>-7408.6553692403795</v>
      </c>
      <c r="AF52" s="23">
        <f t="shared" si="66"/>
        <v>-7705.001584009995</v>
      </c>
      <c r="AG52" s="23">
        <f t="shared" si="66"/>
        <v>-8013.2016473703952</v>
      </c>
      <c r="AH52" s="23">
        <f t="shared" si="66"/>
        <v>-8333.7297132652111</v>
      </c>
      <c r="AI52" s="23">
        <f t="shared" si="66"/>
        <v>-8667.0789017958195</v>
      </c>
      <c r="AJ52" s="23">
        <f t="shared" si="66"/>
        <v>-9013.7620578676542</v>
      </c>
      <c r="AK52" s="23">
        <f t="shared" si="66"/>
        <v>-9374.31254018236</v>
      </c>
      <c r="AL52" s="23">
        <f t="shared" si="66"/>
        <v>-9749.2850417896552</v>
      </c>
      <c r="AM52" s="23">
        <f t="shared" si="65"/>
        <v>-10139.256443461241</v>
      </c>
    </row>
    <row r="53" spans="2:39" s="21" customFormat="1" ht="21" customHeight="1" x14ac:dyDescent="0.25">
      <c r="B53" s="5" t="s">
        <v>73</v>
      </c>
      <c r="C53" s="22"/>
      <c r="D53" s="23">
        <f t="shared" ref="D53:AM53" si="67">D44+D52</f>
        <v>57605.180555555555</v>
      </c>
      <c r="E53" s="23">
        <f t="shared" ref="E53:AL53" si="68">E44+E52</f>
        <v>62000.747777777782</v>
      </c>
      <c r="F53" s="23">
        <f t="shared" si="68"/>
        <v>58419.964888888891</v>
      </c>
      <c r="G53" s="23">
        <f t="shared" si="68"/>
        <v>59941.590428444448</v>
      </c>
      <c r="H53" s="23">
        <f t="shared" si="68"/>
        <v>61495.989928462237</v>
      </c>
      <c r="I53" s="23">
        <f t="shared" si="68"/>
        <v>63603.078454938295</v>
      </c>
      <c r="J53" s="23">
        <f t="shared" si="68"/>
        <v>67546.379228844205</v>
      </c>
      <c r="K53" s="23">
        <f t="shared" si="68"/>
        <v>63709.999160064574</v>
      </c>
      <c r="L53" s="23">
        <f t="shared" si="68"/>
        <v>66833.121285086614</v>
      </c>
      <c r="M53" s="23">
        <f t="shared" si="68"/>
        <v>68576.373045038563</v>
      </c>
      <c r="N53" s="23">
        <f t="shared" si="68"/>
        <v>71276.844642226511</v>
      </c>
      <c r="O53" s="23">
        <f t="shared" si="68"/>
        <v>66252.230042753712</v>
      </c>
      <c r="P53" s="23">
        <f t="shared" si="68"/>
        <v>68379.528727475437</v>
      </c>
      <c r="Q53" s="23">
        <f t="shared" si="68"/>
        <v>72012.650943610992</v>
      </c>
      <c r="R53" s="23">
        <f t="shared" si="68"/>
        <v>75406.555541027279</v>
      </c>
      <c r="S53" s="23">
        <f t="shared" si="68"/>
        <v>70117.16269078452</v>
      </c>
      <c r="T53" s="23">
        <f t="shared" si="68"/>
        <v>71946.755250230985</v>
      </c>
      <c r="U53" s="23">
        <f t="shared" si="68"/>
        <v>75516.71127195454</v>
      </c>
      <c r="V53" s="23">
        <f t="shared" si="68"/>
        <v>78626.75790793226</v>
      </c>
      <c r="W53" s="23">
        <f t="shared" si="68"/>
        <v>82847.67128985544</v>
      </c>
      <c r="X53" s="23">
        <f t="shared" si="68"/>
        <v>86377.256165771265</v>
      </c>
      <c r="Y53" s="23">
        <f t="shared" si="68"/>
        <v>89463.170890883004</v>
      </c>
      <c r="Z53" s="23">
        <f t="shared" si="68"/>
        <v>92096.970701650236</v>
      </c>
      <c r="AA53" s="23">
        <f t="shared" si="68"/>
        <v>85719.783303270597</v>
      </c>
      <c r="AB53" s="23">
        <f t="shared" si="68"/>
        <v>91138.837173648251</v>
      </c>
      <c r="AC53" s="23">
        <f t="shared" si="68"/>
        <v>93970.760612475904</v>
      </c>
      <c r="AD53" s="23">
        <f t="shared" si="68"/>
        <v>97218.784346819724</v>
      </c>
      <c r="AE53" s="23">
        <f t="shared" si="68"/>
        <v>92037.905893440358</v>
      </c>
      <c r="AF53" s="23">
        <f t="shared" si="68"/>
        <v>94822.065063842907</v>
      </c>
      <c r="AG53" s="23">
        <f t="shared" si="68"/>
        <v>97358.399678898073</v>
      </c>
      <c r="AH53" s="23">
        <f t="shared" si="68"/>
        <v>90781.798860106865</v>
      </c>
      <c r="AI53" s="23">
        <f t="shared" si="68"/>
        <v>94187.00607919789</v>
      </c>
      <c r="AJ53" s="23">
        <f t="shared" si="68"/>
        <v>97032.606993281166</v>
      </c>
      <c r="AK53" s="23">
        <f t="shared" si="68"/>
        <v>100491.16687513731</v>
      </c>
      <c r="AL53" s="23">
        <f t="shared" si="68"/>
        <v>92358.981426547951</v>
      </c>
      <c r="AM53" s="23">
        <f t="shared" si="67"/>
        <v>95778.284333689764</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P304"/>
  <sheetViews>
    <sheetView showGridLines="0" zoomScaleNormal="100" workbookViewId="0">
      <pane xSplit="3" ySplit="4" topLeftCell="AB5" activePane="bottomRight" state="frozen"/>
      <selection pane="topRight" activeCell="F16" sqref="F16"/>
      <selection pane="bottomLeft" activeCell="F16" sqref="F16"/>
      <selection pane="bottomRight" activeCell="D11" sqref="D11:AM11"/>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13</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35">SUM(D6 + D5)</f>
        <v>0</v>
      </c>
      <c r="E7" s="19">
        <f t="shared" ref="E7:AL7" si="36">SUM(E6 + E5)</f>
        <v>0</v>
      </c>
      <c r="F7" s="19">
        <f t="shared" si="36"/>
        <v>0</v>
      </c>
      <c r="G7" s="19">
        <f t="shared" si="36"/>
        <v>0</v>
      </c>
      <c r="H7" s="19">
        <f t="shared" si="36"/>
        <v>0</v>
      </c>
      <c r="I7" s="19">
        <f t="shared" si="36"/>
        <v>0</v>
      </c>
      <c r="J7" s="19">
        <f t="shared" si="36"/>
        <v>0</v>
      </c>
      <c r="K7" s="19">
        <f t="shared" si="36"/>
        <v>0</v>
      </c>
      <c r="L7" s="19">
        <f t="shared" si="36"/>
        <v>0</v>
      </c>
      <c r="M7" s="19">
        <f t="shared" si="36"/>
        <v>0</v>
      </c>
      <c r="N7" s="19">
        <f t="shared" si="36"/>
        <v>0</v>
      </c>
      <c r="O7" s="19">
        <f t="shared" si="36"/>
        <v>0</v>
      </c>
      <c r="P7" s="19">
        <f t="shared" si="36"/>
        <v>0</v>
      </c>
      <c r="Q7" s="19">
        <f t="shared" si="36"/>
        <v>0</v>
      </c>
      <c r="R7" s="19">
        <f t="shared" si="36"/>
        <v>0</v>
      </c>
      <c r="S7" s="19">
        <f t="shared" si="36"/>
        <v>0</v>
      </c>
      <c r="T7" s="19">
        <f t="shared" si="36"/>
        <v>0</v>
      </c>
      <c r="U7" s="19">
        <f t="shared" si="36"/>
        <v>0</v>
      </c>
      <c r="V7" s="19">
        <f t="shared" si="36"/>
        <v>0</v>
      </c>
      <c r="W7" s="19">
        <f t="shared" si="36"/>
        <v>0</v>
      </c>
      <c r="X7" s="19">
        <f t="shared" si="36"/>
        <v>0</v>
      </c>
      <c r="Y7" s="19">
        <f t="shared" si="36"/>
        <v>0</v>
      </c>
      <c r="Z7" s="19">
        <f t="shared" si="36"/>
        <v>0</v>
      </c>
      <c r="AA7" s="19">
        <f t="shared" si="36"/>
        <v>0</v>
      </c>
      <c r="AB7" s="19">
        <f t="shared" si="36"/>
        <v>0</v>
      </c>
      <c r="AC7" s="19">
        <f t="shared" si="36"/>
        <v>0</v>
      </c>
      <c r="AD7" s="19">
        <f t="shared" si="36"/>
        <v>0</v>
      </c>
      <c r="AE7" s="19">
        <f t="shared" si="36"/>
        <v>0</v>
      </c>
      <c r="AF7" s="19">
        <f t="shared" si="36"/>
        <v>0</v>
      </c>
      <c r="AG7" s="19">
        <f t="shared" si="36"/>
        <v>0</v>
      </c>
      <c r="AH7" s="19">
        <f t="shared" si="36"/>
        <v>0</v>
      </c>
      <c r="AI7" s="19">
        <f t="shared" si="36"/>
        <v>0</v>
      </c>
      <c r="AJ7" s="19">
        <f t="shared" si="36"/>
        <v>0</v>
      </c>
      <c r="AK7" s="19">
        <f t="shared" si="36"/>
        <v>0</v>
      </c>
      <c r="AL7" s="19">
        <f t="shared" si="36"/>
        <v>0</v>
      </c>
      <c r="AM7" s="19">
        <f t="shared" si="35"/>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800</v>
      </c>
      <c r="E9" s="18">
        <v>832</v>
      </c>
      <c r="F9" s="18">
        <v>865.28</v>
      </c>
      <c r="G9" s="18">
        <v>899.89120000000003</v>
      </c>
      <c r="H9" s="18">
        <v>935.8868480000001</v>
      </c>
      <c r="I9" s="18">
        <v>973.32232192000015</v>
      </c>
      <c r="J9" s="18">
        <v>1012.2552147968001</v>
      </c>
      <c r="K9" s="18">
        <v>1052.7454233886722</v>
      </c>
      <c r="L9" s="18">
        <v>1094.855240324219</v>
      </c>
      <c r="M9" s="18">
        <v>1138.6494499371879</v>
      </c>
      <c r="N9" s="18">
        <v>1184.1954279346755</v>
      </c>
      <c r="O9" s="18">
        <v>1231.5632450520627</v>
      </c>
      <c r="P9" s="18">
        <v>1280.8257748541453</v>
      </c>
      <c r="Q9" s="18">
        <v>1332.0588058483111</v>
      </c>
      <c r="R9" s="18">
        <v>1385.3411580822435</v>
      </c>
      <c r="S9" s="18">
        <v>1440.7548044055334</v>
      </c>
      <c r="T9" s="18">
        <v>1498.3849965817549</v>
      </c>
      <c r="U9" s="18">
        <v>1558.3203964450252</v>
      </c>
      <c r="V9" s="18">
        <v>1620.6532123028262</v>
      </c>
      <c r="W9" s="18">
        <v>1685.4793407949394</v>
      </c>
      <c r="X9" s="18">
        <v>1752.8985144267369</v>
      </c>
      <c r="Y9" s="18">
        <v>1823.0144550038065</v>
      </c>
      <c r="Z9" s="18">
        <v>1895.9350332039587</v>
      </c>
      <c r="AA9" s="18">
        <v>1971.7724345321171</v>
      </c>
      <c r="AB9" s="18">
        <v>2050.6433319134021</v>
      </c>
      <c r="AC9" s="18">
        <v>2132.6690651899385</v>
      </c>
      <c r="AD9" s="18">
        <v>2217.9758277975361</v>
      </c>
      <c r="AE9" s="18">
        <v>2306.6948609094375</v>
      </c>
      <c r="AF9" s="18">
        <v>2398.9626553458152</v>
      </c>
      <c r="AG9" s="18">
        <v>2494.9211615596478</v>
      </c>
      <c r="AH9" s="18">
        <v>2594.7180080220337</v>
      </c>
      <c r="AI9" s="18">
        <v>2698.5067283429153</v>
      </c>
      <c r="AJ9" s="18">
        <v>2806.4469974766321</v>
      </c>
      <c r="AK9" s="18">
        <v>2918.7048773756974</v>
      </c>
      <c r="AL9" s="18">
        <v>3035.4530724707256</v>
      </c>
      <c r="AM9" s="18">
        <v>3156.8711953695547</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37">SUM(D10, D9 + D8)</f>
        <v>800</v>
      </c>
      <c r="E11" s="19">
        <f t="shared" ref="E11:AL11" si="38">SUM(E10, E9 + E8)</f>
        <v>832</v>
      </c>
      <c r="F11" s="19">
        <f t="shared" si="38"/>
        <v>865.28</v>
      </c>
      <c r="G11" s="19">
        <f t="shared" si="38"/>
        <v>899.89120000000003</v>
      </c>
      <c r="H11" s="19">
        <f t="shared" si="38"/>
        <v>935.8868480000001</v>
      </c>
      <c r="I11" s="19">
        <f t="shared" si="38"/>
        <v>973.32232192000015</v>
      </c>
      <c r="J11" s="19">
        <f t="shared" si="38"/>
        <v>1012.2552147968001</v>
      </c>
      <c r="K11" s="19">
        <f t="shared" si="38"/>
        <v>1052.7454233886722</v>
      </c>
      <c r="L11" s="19">
        <f t="shared" si="38"/>
        <v>1094.855240324219</v>
      </c>
      <c r="M11" s="19">
        <f t="shared" si="38"/>
        <v>1138.6494499371879</v>
      </c>
      <c r="N11" s="19">
        <f t="shared" si="38"/>
        <v>1184.1954279346755</v>
      </c>
      <c r="O11" s="19">
        <f t="shared" si="38"/>
        <v>1231.5632450520627</v>
      </c>
      <c r="P11" s="19">
        <f t="shared" si="38"/>
        <v>1280.8257748541453</v>
      </c>
      <c r="Q11" s="19">
        <f t="shared" si="38"/>
        <v>1332.0588058483111</v>
      </c>
      <c r="R11" s="19">
        <f t="shared" si="38"/>
        <v>1385.3411580822435</v>
      </c>
      <c r="S11" s="19">
        <f t="shared" si="38"/>
        <v>1440.7548044055334</v>
      </c>
      <c r="T11" s="19">
        <f t="shared" si="38"/>
        <v>1498.3849965817549</v>
      </c>
      <c r="U11" s="19">
        <f t="shared" si="38"/>
        <v>1558.3203964450252</v>
      </c>
      <c r="V11" s="19">
        <f t="shared" si="38"/>
        <v>1620.6532123028262</v>
      </c>
      <c r="W11" s="19">
        <f t="shared" si="38"/>
        <v>1685.4793407949394</v>
      </c>
      <c r="X11" s="19">
        <f t="shared" si="38"/>
        <v>1752.8985144267369</v>
      </c>
      <c r="Y11" s="19">
        <f t="shared" si="38"/>
        <v>1823.0144550038065</v>
      </c>
      <c r="Z11" s="19">
        <f t="shared" si="38"/>
        <v>1895.9350332039587</v>
      </c>
      <c r="AA11" s="19">
        <f t="shared" si="38"/>
        <v>1971.7724345321171</v>
      </c>
      <c r="AB11" s="19">
        <f t="shared" si="38"/>
        <v>2050.6433319134021</v>
      </c>
      <c r="AC11" s="19">
        <f t="shared" si="38"/>
        <v>2132.6690651899385</v>
      </c>
      <c r="AD11" s="19">
        <f t="shared" si="38"/>
        <v>2217.9758277975361</v>
      </c>
      <c r="AE11" s="19">
        <f t="shared" si="38"/>
        <v>2306.6948609094375</v>
      </c>
      <c r="AF11" s="19">
        <f t="shared" si="38"/>
        <v>2398.9626553458152</v>
      </c>
      <c r="AG11" s="19">
        <f t="shared" si="38"/>
        <v>2494.9211615596478</v>
      </c>
      <c r="AH11" s="19">
        <f t="shared" si="38"/>
        <v>2594.7180080220337</v>
      </c>
      <c r="AI11" s="19">
        <f t="shared" si="38"/>
        <v>2698.5067283429153</v>
      </c>
      <c r="AJ11" s="19">
        <f t="shared" si="38"/>
        <v>2806.4469974766321</v>
      </c>
      <c r="AK11" s="19">
        <f t="shared" si="38"/>
        <v>2918.7048773756974</v>
      </c>
      <c r="AL11" s="19">
        <f t="shared" si="38"/>
        <v>3035.4530724707256</v>
      </c>
      <c r="AM11" s="19">
        <f t="shared" si="37"/>
        <v>3156.8711953695547</v>
      </c>
    </row>
    <row r="12" spans="1:39" s="21" customFormat="1" ht="21" customHeight="1" x14ac:dyDescent="0.25">
      <c r="B12" s="5" t="s">
        <v>32</v>
      </c>
      <c r="C12" s="22"/>
      <c r="D12" s="23">
        <f t="shared" ref="D12:AM12" si="39">D7-D11</f>
        <v>-800</v>
      </c>
      <c r="E12" s="23">
        <f t="shared" ref="E12:AL12" si="40">E7-E11</f>
        <v>-832</v>
      </c>
      <c r="F12" s="23">
        <f t="shared" si="40"/>
        <v>-865.28</v>
      </c>
      <c r="G12" s="23">
        <f t="shared" si="40"/>
        <v>-899.89120000000003</v>
      </c>
      <c r="H12" s="23">
        <f t="shared" si="40"/>
        <v>-935.8868480000001</v>
      </c>
      <c r="I12" s="23">
        <f t="shared" si="40"/>
        <v>-973.32232192000015</v>
      </c>
      <c r="J12" s="23">
        <f t="shared" si="40"/>
        <v>-1012.2552147968001</v>
      </c>
      <c r="K12" s="23">
        <f t="shared" si="40"/>
        <v>-1052.7454233886722</v>
      </c>
      <c r="L12" s="23">
        <f t="shared" si="40"/>
        <v>-1094.855240324219</v>
      </c>
      <c r="M12" s="23">
        <f t="shared" si="40"/>
        <v>-1138.6494499371879</v>
      </c>
      <c r="N12" s="23">
        <f t="shared" si="40"/>
        <v>-1184.1954279346755</v>
      </c>
      <c r="O12" s="23">
        <f t="shared" si="40"/>
        <v>-1231.5632450520627</v>
      </c>
      <c r="P12" s="23">
        <f t="shared" si="40"/>
        <v>-1280.8257748541453</v>
      </c>
      <c r="Q12" s="23">
        <f t="shared" si="40"/>
        <v>-1332.0588058483111</v>
      </c>
      <c r="R12" s="23">
        <f t="shared" si="40"/>
        <v>-1385.3411580822435</v>
      </c>
      <c r="S12" s="23">
        <f t="shared" si="40"/>
        <v>-1440.7548044055334</v>
      </c>
      <c r="T12" s="23">
        <f t="shared" si="40"/>
        <v>-1498.3849965817549</v>
      </c>
      <c r="U12" s="23">
        <f t="shared" si="40"/>
        <v>-1558.3203964450252</v>
      </c>
      <c r="V12" s="23">
        <f t="shared" si="40"/>
        <v>-1620.6532123028262</v>
      </c>
      <c r="W12" s="23">
        <f t="shared" si="40"/>
        <v>-1685.4793407949394</v>
      </c>
      <c r="X12" s="23">
        <f t="shared" si="40"/>
        <v>-1752.8985144267369</v>
      </c>
      <c r="Y12" s="23">
        <f t="shared" si="40"/>
        <v>-1823.0144550038065</v>
      </c>
      <c r="Z12" s="23">
        <f t="shared" si="40"/>
        <v>-1895.9350332039587</v>
      </c>
      <c r="AA12" s="23">
        <f t="shared" si="40"/>
        <v>-1971.7724345321171</v>
      </c>
      <c r="AB12" s="23">
        <f t="shared" si="40"/>
        <v>-2050.6433319134021</v>
      </c>
      <c r="AC12" s="23">
        <f t="shared" si="40"/>
        <v>-2132.6690651899385</v>
      </c>
      <c r="AD12" s="23">
        <f t="shared" si="40"/>
        <v>-2217.9758277975361</v>
      </c>
      <c r="AE12" s="23">
        <f t="shared" si="40"/>
        <v>-2306.6948609094375</v>
      </c>
      <c r="AF12" s="23">
        <f t="shared" si="40"/>
        <v>-2398.9626553458152</v>
      </c>
      <c r="AG12" s="23">
        <f t="shared" si="40"/>
        <v>-2494.9211615596478</v>
      </c>
      <c r="AH12" s="23">
        <f t="shared" si="40"/>
        <v>-2594.7180080220337</v>
      </c>
      <c r="AI12" s="23">
        <f t="shared" si="40"/>
        <v>-2698.5067283429153</v>
      </c>
      <c r="AJ12" s="23">
        <f t="shared" si="40"/>
        <v>-2806.4469974766321</v>
      </c>
      <c r="AK12" s="23">
        <f t="shared" si="40"/>
        <v>-2918.7048773756974</v>
      </c>
      <c r="AL12" s="23">
        <f t="shared" si="40"/>
        <v>-3035.4530724707256</v>
      </c>
      <c r="AM12" s="23">
        <f t="shared" si="39"/>
        <v>-3156.8711953695547</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4000</v>
      </c>
      <c r="E16" s="18">
        <v>4160</v>
      </c>
      <c r="F16" s="18">
        <f>E16*(0.9)</f>
        <v>3744</v>
      </c>
      <c r="G16" s="18">
        <v>3893.76</v>
      </c>
      <c r="H16" s="18">
        <v>4049.5104000000006</v>
      </c>
      <c r="I16" s="18">
        <v>4211.4908160000005</v>
      </c>
      <c r="J16" s="18">
        <v>4379.950448640001</v>
      </c>
      <c r="K16" s="18">
        <v>4555.1484665856015</v>
      </c>
      <c r="L16" s="18">
        <v>4737.3544052490261</v>
      </c>
      <c r="M16" s="18">
        <f t="shared" ref="M16:N16" si="41">L16*(0.9)</f>
        <v>4263.6189647241235</v>
      </c>
      <c r="N16" s="18">
        <f t="shared" si="41"/>
        <v>3837.2570682517112</v>
      </c>
      <c r="O16" s="18">
        <v>3990.7473509817796</v>
      </c>
      <c r="P16" s="18">
        <v>4150.3772450210508</v>
      </c>
      <c r="Q16" s="18">
        <v>4316.3923348218932</v>
      </c>
      <c r="R16" s="18">
        <f>Q16*(0.9)</f>
        <v>3884.7531013397038</v>
      </c>
      <c r="S16" s="18">
        <v>4040.1432253932921</v>
      </c>
      <c r="T16" s="18">
        <v>4201.748954409024</v>
      </c>
      <c r="U16" s="18">
        <v>4369.8189125853851</v>
      </c>
      <c r="V16" s="18">
        <f t="shared" ref="V16:W16" si="42">U16*(0.9)</f>
        <v>3932.8370213268468</v>
      </c>
      <c r="W16" s="18">
        <f t="shared" si="42"/>
        <v>3539.5533191941622</v>
      </c>
      <c r="X16" s="18">
        <v>3681.135451961929</v>
      </c>
      <c r="Y16" s="18">
        <v>3828.3808700404061</v>
      </c>
      <c r="Z16" s="18">
        <v>3981.5161048420223</v>
      </c>
      <c r="AA16" s="18">
        <v>4140.7767490357037</v>
      </c>
      <c r="AB16" s="18">
        <v>4306.4078189971324</v>
      </c>
      <c r="AC16" s="18">
        <f>AB16*(0.9)</f>
        <v>3875.7670370974192</v>
      </c>
      <c r="AD16" s="18">
        <v>4030.7977185813161</v>
      </c>
      <c r="AE16" s="18">
        <v>4192.0296273245685</v>
      </c>
      <c r="AF16" s="18">
        <v>4359.7108124175511</v>
      </c>
      <c r="AG16" s="18">
        <f>AF16*(0.9)</f>
        <v>3923.7397311757959</v>
      </c>
      <c r="AH16" s="18">
        <v>4080.6893204228277</v>
      </c>
      <c r="AI16" s="18">
        <v>4243.9168932397406</v>
      </c>
      <c r="AJ16" s="18">
        <v>4413.6735689693305</v>
      </c>
      <c r="AK16" s="18">
        <v>4590.2205117281037</v>
      </c>
      <c r="AL16" s="18">
        <v>4773.8293321972278</v>
      </c>
      <c r="AM16" s="18">
        <f>AL16*(0.9)</f>
        <v>4296.4463989775049</v>
      </c>
    </row>
    <row r="17" spans="2:39" s="17" customFormat="1" ht="21" customHeight="1" x14ac:dyDescent="0.25">
      <c r="B17" s="4" t="s">
        <v>37</v>
      </c>
      <c r="C17" s="15"/>
      <c r="D17" s="18">
        <v>6000</v>
      </c>
      <c r="E17" s="18">
        <v>6180</v>
      </c>
      <c r="F17" s="18">
        <v>6365.4000000000005</v>
      </c>
      <c r="G17" s="18">
        <f>F17*(0.9)</f>
        <v>5728.8600000000006</v>
      </c>
      <c r="H17" s="18">
        <v>5900.7258000000011</v>
      </c>
      <c r="I17" s="18">
        <v>6077.7475740000009</v>
      </c>
      <c r="J17" s="18">
        <v>6260.0800012200007</v>
      </c>
      <c r="K17" s="18">
        <v>6447.882401256601</v>
      </c>
      <c r="L17" s="18">
        <v>6641.318873294299</v>
      </c>
      <c r="M17" s="18">
        <v>6840.5584394931284</v>
      </c>
      <c r="N17" s="18">
        <f>M17*(0.9)</f>
        <v>6156.5025955438159</v>
      </c>
      <c r="O17" s="18">
        <v>6341.1976734101308</v>
      </c>
      <c r="P17" s="18">
        <v>6531.433603612435</v>
      </c>
      <c r="Q17" s="18">
        <v>6727.3766117208079</v>
      </c>
      <c r="R17" s="18">
        <f>Q17*(0.9)</f>
        <v>6054.6389505487268</v>
      </c>
      <c r="S17" s="18">
        <v>6236.2781190651885</v>
      </c>
      <c r="T17" s="18">
        <v>6423.3664626371447</v>
      </c>
      <c r="U17" s="18">
        <v>6616.067456516259</v>
      </c>
      <c r="V17" s="18">
        <v>6814.5494802117473</v>
      </c>
      <c r="W17" s="18">
        <v>7018.9859646181003</v>
      </c>
      <c r="X17" s="18">
        <v>7229.5555435566439</v>
      </c>
      <c r="Y17" s="18">
        <f>X17*(0.9)</f>
        <v>6506.5999892009795</v>
      </c>
      <c r="Z17" s="18">
        <v>6701.7979888770087</v>
      </c>
      <c r="AA17" s="18">
        <v>6902.8519285433194</v>
      </c>
      <c r="AB17" s="18">
        <v>7109.937486399619</v>
      </c>
      <c r="AC17" s="18">
        <f>AB17*(0.9)</f>
        <v>6398.9437377596569</v>
      </c>
      <c r="AD17" s="18">
        <v>6590.9120498924467</v>
      </c>
      <c r="AE17" s="18">
        <v>6788.6394113892202</v>
      </c>
      <c r="AF17" s="18">
        <v>6992.2985937308968</v>
      </c>
      <c r="AG17" s="18">
        <f>AF17*(0.9)</f>
        <v>6293.0687343578074</v>
      </c>
      <c r="AH17" s="18">
        <v>6481.8607963885415</v>
      </c>
      <c r="AI17" s="18">
        <v>6676.3166202801976</v>
      </c>
      <c r="AJ17" s="18">
        <v>6876.6061188886033</v>
      </c>
      <c r="AK17" s="18">
        <v>7082.904302455262</v>
      </c>
      <c r="AL17" s="18">
        <f>AK17*(0.9)</f>
        <v>6374.6138722097357</v>
      </c>
      <c r="AM17" s="18">
        <v>6565.8522883760279</v>
      </c>
    </row>
    <row r="18" spans="2:39" s="17" customFormat="1" ht="21" customHeight="1" x14ac:dyDescent="0.25">
      <c r="B18" s="4" t="s">
        <v>38</v>
      </c>
      <c r="C18" s="15"/>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 t="shared" ref="D23:AM23" si="43">SUM(D22, D21, D20 + D19)</f>
        <v>0</v>
      </c>
      <c r="E23" s="19">
        <f t="shared" ref="E23:AL23" si="44">SUM(E22, E21, E20 + E19)</f>
        <v>0</v>
      </c>
      <c r="F23" s="19">
        <f t="shared" si="44"/>
        <v>0</v>
      </c>
      <c r="G23" s="19">
        <f t="shared" si="44"/>
        <v>0</v>
      </c>
      <c r="H23" s="19">
        <f t="shared" si="44"/>
        <v>0</v>
      </c>
      <c r="I23" s="19">
        <f t="shared" si="44"/>
        <v>0</v>
      </c>
      <c r="J23" s="19">
        <f t="shared" si="44"/>
        <v>0</v>
      </c>
      <c r="K23" s="19">
        <f t="shared" si="44"/>
        <v>0</v>
      </c>
      <c r="L23" s="19">
        <f t="shared" si="44"/>
        <v>0</v>
      </c>
      <c r="M23" s="19">
        <f t="shared" si="44"/>
        <v>0</v>
      </c>
      <c r="N23" s="19">
        <f t="shared" si="44"/>
        <v>0</v>
      </c>
      <c r="O23" s="19">
        <f t="shared" si="44"/>
        <v>0</v>
      </c>
      <c r="P23" s="19">
        <f t="shared" si="44"/>
        <v>0</v>
      </c>
      <c r="Q23" s="19">
        <f t="shared" si="44"/>
        <v>0</v>
      </c>
      <c r="R23" s="19">
        <f t="shared" si="44"/>
        <v>0</v>
      </c>
      <c r="S23" s="19">
        <f t="shared" si="44"/>
        <v>0</v>
      </c>
      <c r="T23" s="19">
        <f t="shared" si="44"/>
        <v>0</v>
      </c>
      <c r="U23" s="19">
        <f t="shared" si="44"/>
        <v>0</v>
      </c>
      <c r="V23" s="19">
        <f t="shared" si="44"/>
        <v>0</v>
      </c>
      <c r="W23" s="19">
        <f t="shared" si="44"/>
        <v>0</v>
      </c>
      <c r="X23" s="19">
        <f t="shared" si="44"/>
        <v>0</v>
      </c>
      <c r="Y23" s="19">
        <f t="shared" si="44"/>
        <v>0</v>
      </c>
      <c r="Z23" s="19">
        <f t="shared" si="44"/>
        <v>0</v>
      </c>
      <c r="AA23" s="19">
        <f t="shared" si="44"/>
        <v>0</v>
      </c>
      <c r="AB23" s="19">
        <f t="shared" si="44"/>
        <v>0</v>
      </c>
      <c r="AC23" s="19">
        <f t="shared" si="44"/>
        <v>0</v>
      </c>
      <c r="AD23" s="19">
        <f t="shared" si="44"/>
        <v>0</v>
      </c>
      <c r="AE23" s="19">
        <f t="shared" si="44"/>
        <v>0</v>
      </c>
      <c r="AF23" s="19">
        <f t="shared" si="44"/>
        <v>0</v>
      </c>
      <c r="AG23" s="19">
        <f t="shared" si="44"/>
        <v>0</v>
      </c>
      <c r="AH23" s="19">
        <f t="shared" si="44"/>
        <v>0</v>
      </c>
      <c r="AI23" s="19">
        <f t="shared" si="44"/>
        <v>0</v>
      </c>
      <c r="AJ23" s="19">
        <f t="shared" si="44"/>
        <v>0</v>
      </c>
      <c r="AK23" s="19">
        <f t="shared" si="44"/>
        <v>0</v>
      </c>
      <c r="AL23" s="19">
        <f t="shared" si="44"/>
        <v>0</v>
      </c>
      <c r="AM23" s="19">
        <f t="shared" si="43"/>
        <v>0</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row>
    <row r="28" spans="2:39" s="17" customFormat="1" ht="21" customHeight="1" x14ac:dyDescent="0.25">
      <c r="B28" s="7" t="s">
        <v>48</v>
      </c>
      <c r="C28" s="15"/>
      <c r="D28" s="18">
        <v>1500</v>
      </c>
      <c r="E28" s="18">
        <v>1515</v>
      </c>
      <c r="F28" s="18">
        <v>1530.15</v>
      </c>
      <c r="G28" s="18">
        <v>1545.4515000000001</v>
      </c>
      <c r="H28" s="18">
        <v>1560.9060150000003</v>
      </c>
      <c r="I28" s="18">
        <v>1576.5150751500003</v>
      </c>
      <c r="J28" s="18">
        <v>1592.2802259015002</v>
      </c>
      <c r="K28" s="18">
        <v>1608.2030281605153</v>
      </c>
      <c r="L28" s="18">
        <v>1624.2850584421203</v>
      </c>
      <c r="M28" s="18">
        <f>L28*(0.9)</f>
        <v>1461.8565525979084</v>
      </c>
      <c r="N28" s="18">
        <v>1476.4751181238876</v>
      </c>
      <c r="O28" s="18">
        <v>1491.2398693051264</v>
      </c>
      <c r="P28" s="18">
        <v>1506.1522679981776</v>
      </c>
      <c r="Q28" s="18">
        <v>1521.2137906781595</v>
      </c>
      <c r="R28" s="18">
        <v>1536.4259285849412</v>
      </c>
      <c r="S28" s="18">
        <v>1551.7901878707905</v>
      </c>
      <c r="T28" s="18">
        <f>S28*(0.9)</f>
        <v>1396.6111690837115</v>
      </c>
      <c r="U28" s="18">
        <v>1410.5772807745486</v>
      </c>
      <c r="V28" s="18">
        <v>1424.6830535822942</v>
      </c>
      <c r="W28" s="18">
        <v>1438.9298841181171</v>
      </c>
      <c r="X28" s="18">
        <v>1453.3191829592984</v>
      </c>
      <c r="Y28" s="18">
        <f>X28*(0.9)</f>
        <v>1307.9872646633685</v>
      </c>
      <c r="Z28" s="18">
        <v>1321.0671373100022</v>
      </c>
      <c r="AA28" s="18">
        <v>1334.2778086831022</v>
      </c>
      <c r="AB28" s="18">
        <v>1347.6205867699332</v>
      </c>
      <c r="AC28" s="18">
        <v>1361.0967926376325</v>
      </c>
      <c r="AD28" s="18">
        <f>AC28*(0.9)</f>
        <v>1224.9871133738693</v>
      </c>
      <c r="AE28" s="18">
        <v>1237.236984507608</v>
      </c>
      <c r="AF28" s="18">
        <v>1249.609354352684</v>
      </c>
      <c r="AG28" s="18">
        <v>1262.1054478962108</v>
      </c>
      <c r="AH28" s="18">
        <v>1274.7265023751729</v>
      </c>
      <c r="AI28" s="18">
        <v>1287.4737673989246</v>
      </c>
      <c r="AJ28" s="18">
        <f>AI28*(0.9)</f>
        <v>1158.7263906590322</v>
      </c>
      <c r="AK28" s="18">
        <v>1170.3136545656225</v>
      </c>
      <c r="AL28" s="18">
        <v>1182.0167911112787</v>
      </c>
      <c r="AM28" s="18">
        <v>1193.8369590223915</v>
      </c>
    </row>
    <row r="29" spans="2:39" s="17" customFormat="1" ht="21" customHeight="1" x14ac:dyDescent="0.25">
      <c r="B29" s="6" t="s">
        <v>49</v>
      </c>
      <c r="C29" s="15"/>
      <c r="D29" s="19">
        <f t="shared" ref="D29:AM29" si="45">SUM(D28, D27, D26, D25 + D24)</f>
        <v>1500</v>
      </c>
      <c r="E29" s="19">
        <f t="shared" ref="E29:AL29" si="46">SUM(E28, E27, E26, E25 + E24)</f>
        <v>1515</v>
      </c>
      <c r="F29" s="19">
        <f t="shared" si="46"/>
        <v>1530.15</v>
      </c>
      <c r="G29" s="19">
        <f t="shared" si="46"/>
        <v>1545.4515000000001</v>
      </c>
      <c r="H29" s="19">
        <f t="shared" si="46"/>
        <v>1560.9060150000003</v>
      </c>
      <c r="I29" s="19">
        <f t="shared" si="46"/>
        <v>1576.5150751500003</v>
      </c>
      <c r="J29" s="19">
        <f t="shared" si="46"/>
        <v>1592.2802259015002</v>
      </c>
      <c r="K29" s="19">
        <f t="shared" si="46"/>
        <v>1608.2030281605153</v>
      </c>
      <c r="L29" s="19">
        <f t="shared" si="46"/>
        <v>1624.2850584421203</v>
      </c>
      <c r="M29" s="19">
        <f t="shared" si="46"/>
        <v>1461.8565525979084</v>
      </c>
      <c r="N29" s="19">
        <f t="shared" si="46"/>
        <v>1476.4751181238876</v>
      </c>
      <c r="O29" s="19">
        <f t="shared" si="46"/>
        <v>1491.2398693051264</v>
      </c>
      <c r="P29" s="19">
        <f t="shared" si="46"/>
        <v>1506.1522679981776</v>
      </c>
      <c r="Q29" s="19">
        <f t="shared" si="46"/>
        <v>1521.2137906781595</v>
      </c>
      <c r="R29" s="19">
        <f t="shared" si="46"/>
        <v>1536.4259285849412</v>
      </c>
      <c r="S29" s="19">
        <f t="shared" si="46"/>
        <v>1551.7901878707905</v>
      </c>
      <c r="T29" s="19">
        <f t="shared" si="46"/>
        <v>1396.6111690837115</v>
      </c>
      <c r="U29" s="19">
        <f t="shared" si="46"/>
        <v>1410.5772807745486</v>
      </c>
      <c r="V29" s="19">
        <f t="shared" si="46"/>
        <v>1424.6830535822942</v>
      </c>
      <c r="W29" s="19">
        <f t="shared" si="46"/>
        <v>1438.9298841181171</v>
      </c>
      <c r="X29" s="19">
        <f t="shared" si="46"/>
        <v>1453.3191829592984</v>
      </c>
      <c r="Y29" s="19">
        <f t="shared" si="46"/>
        <v>1307.9872646633685</v>
      </c>
      <c r="Z29" s="19">
        <f t="shared" si="46"/>
        <v>1321.0671373100022</v>
      </c>
      <c r="AA29" s="19">
        <f t="shared" si="46"/>
        <v>1334.2778086831022</v>
      </c>
      <c r="AB29" s="19">
        <f t="shared" si="46"/>
        <v>1347.6205867699332</v>
      </c>
      <c r="AC29" s="19">
        <f t="shared" si="46"/>
        <v>1361.0967926376325</v>
      </c>
      <c r="AD29" s="19">
        <f t="shared" si="46"/>
        <v>1224.9871133738693</v>
      </c>
      <c r="AE29" s="19">
        <f t="shared" si="46"/>
        <v>1237.236984507608</v>
      </c>
      <c r="AF29" s="19">
        <f t="shared" si="46"/>
        <v>1249.609354352684</v>
      </c>
      <c r="AG29" s="19">
        <f t="shared" si="46"/>
        <v>1262.1054478962108</v>
      </c>
      <c r="AH29" s="19">
        <f t="shared" si="46"/>
        <v>1274.7265023751729</v>
      </c>
      <c r="AI29" s="19">
        <f t="shared" si="46"/>
        <v>1287.4737673989246</v>
      </c>
      <c r="AJ29" s="19">
        <f t="shared" si="46"/>
        <v>1158.7263906590322</v>
      </c>
      <c r="AK29" s="19">
        <f t="shared" si="46"/>
        <v>1170.3136545656225</v>
      </c>
      <c r="AL29" s="19">
        <f t="shared" si="46"/>
        <v>1182.0167911112787</v>
      </c>
      <c r="AM29" s="19">
        <f t="shared" si="45"/>
        <v>1193.8369590223915</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8000</v>
      </c>
      <c r="E31" s="18">
        <v>8160</v>
      </c>
      <c r="F31" s="18">
        <v>8323.2000000000007</v>
      </c>
      <c r="G31" s="18">
        <v>8489.6640000000007</v>
      </c>
      <c r="H31" s="18">
        <v>8659.4572800000005</v>
      </c>
      <c r="I31" s="18">
        <v>8832.6464255999999</v>
      </c>
      <c r="J31" s="18">
        <f>I31*(0.9)</f>
        <v>7949.3817830400003</v>
      </c>
      <c r="K31" s="18">
        <v>8108.3694187008005</v>
      </c>
      <c r="L31" s="18">
        <v>8270.5368070748173</v>
      </c>
      <c r="M31" s="18">
        <v>8435.9475432163144</v>
      </c>
      <c r="N31" s="18">
        <v>8604.6664940806404</v>
      </c>
      <c r="O31" s="18">
        <f>N31*(0.9)</f>
        <v>7744.1998446725765</v>
      </c>
      <c r="P31" s="18">
        <v>7899.0838415660282</v>
      </c>
      <c r="Q31" s="18">
        <v>8057.0655183973486</v>
      </c>
      <c r="R31" s="18">
        <v>8218.2068287652965</v>
      </c>
      <c r="S31" s="18">
        <v>8382.5709653406029</v>
      </c>
      <c r="T31" s="18">
        <v>8550.2223846474153</v>
      </c>
      <c r="U31" s="18">
        <v>8721.2268323403641</v>
      </c>
      <c r="V31" s="18">
        <f>U31*(0.9)</f>
        <v>7849.1041491063279</v>
      </c>
      <c r="W31" s="18">
        <v>8006.0862320884544</v>
      </c>
      <c r="X31" s="18">
        <v>8166.2079567302235</v>
      </c>
      <c r="Y31" s="18">
        <v>8329.5321158648276</v>
      </c>
      <c r="Z31" s="18">
        <v>8496.122758182124</v>
      </c>
      <c r="AA31" s="18">
        <v>8666.0452133457675</v>
      </c>
      <c r="AB31" s="18">
        <v>8839.3661176126825</v>
      </c>
      <c r="AC31" s="18">
        <f>AB31*(0.9)</f>
        <v>7955.4295058514144</v>
      </c>
      <c r="AD31" s="18">
        <v>8114.5380959684426</v>
      </c>
      <c r="AE31" s="18">
        <v>8276.828857887811</v>
      </c>
      <c r="AF31" s="18">
        <v>8442.3654350455672</v>
      </c>
      <c r="AG31" s="18">
        <v>8611.2127437464787</v>
      </c>
      <c r="AH31" s="18">
        <v>8783.4369986214078</v>
      </c>
      <c r="AI31" s="18">
        <f>AH31*(0.9)</f>
        <v>7905.0932987592669</v>
      </c>
      <c r="AJ31" s="18">
        <v>8063.1951647344522</v>
      </c>
      <c r="AK31" s="18">
        <v>8224.4590680291421</v>
      </c>
      <c r="AL31" s="18">
        <v>8388.9482493897249</v>
      </c>
      <c r="AM31" s="18">
        <v>8556.727214377519</v>
      </c>
    </row>
    <row r="32" spans="2:39" s="17" customFormat="1" ht="21" customHeight="1" x14ac:dyDescent="0.25">
      <c r="B32" s="7" t="s">
        <v>52</v>
      </c>
      <c r="C32" s="15"/>
      <c r="D32" s="18">
        <v>918</v>
      </c>
      <c r="E32" s="18">
        <v>954.72</v>
      </c>
      <c r="F32" s="18">
        <v>992.90880000000004</v>
      </c>
      <c r="G32" s="18">
        <f>F32*(0.9)</f>
        <v>893.61792000000003</v>
      </c>
      <c r="H32" s="18">
        <v>929.36263680000002</v>
      </c>
      <c r="I32" s="18">
        <v>966.5371422720001</v>
      </c>
      <c r="J32" s="18">
        <v>1005.1986279628801</v>
      </c>
      <c r="K32" s="18">
        <v>1045.4065730813954</v>
      </c>
      <c r="L32" s="18">
        <v>1087.2228360046513</v>
      </c>
      <c r="M32" s="18">
        <v>1130.7117494448373</v>
      </c>
      <c r="N32" s="18">
        <v>1175.9402194226309</v>
      </c>
      <c r="O32" s="18">
        <v>1222.9778281995361</v>
      </c>
      <c r="P32" s="18">
        <v>1271.8969413275177</v>
      </c>
      <c r="Q32" s="18">
        <f>P32*(0.9)</f>
        <v>1144.7072471947658</v>
      </c>
      <c r="R32" s="18">
        <v>1190.4955370825564</v>
      </c>
      <c r="S32" s="18">
        <v>1238.1153585658587</v>
      </c>
      <c r="T32" s="18">
        <v>1287.6399729084931</v>
      </c>
      <c r="U32" s="18">
        <v>1339.1455718248328</v>
      </c>
      <c r="V32" s="18">
        <v>1392.7113946978261</v>
      </c>
      <c r="W32" s="18">
        <v>1448.4198504857393</v>
      </c>
      <c r="X32" s="18">
        <f>W32*(0.9)</f>
        <v>1303.5778654371654</v>
      </c>
      <c r="Y32" s="18">
        <v>1355.720980054652</v>
      </c>
      <c r="Z32" s="18">
        <v>1409.9498192568383</v>
      </c>
      <c r="AA32" s="18">
        <v>1466.3478120271118</v>
      </c>
      <c r="AB32" s="18">
        <v>1525.0017245081963</v>
      </c>
      <c r="AC32" s="18">
        <v>1586.0017934885241</v>
      </c>
      <c r="AD32" s="18">
        <v>1649.4418652280651</v>
      </c>
      <c r="AE32" s="18">
        <f>AD32*(0.9)</f>
        <v>1484.4976787052587</v>
      </c>
      <c r="AF32" s="18">
        <v>1543.8775858534691</v>
      </c>
      <c r="AG32" s="18">
        <v>1605.6326892876079</v>
      </c>
      <c r="AH32" s="18">
        <f>AG32*(0.9)</f>
        <v>1445.0694203588471</v>
      </c>
      <c r="AI32" s="18">
        <v>1502.8721971732011</v>
      </c>
      <c r="AJ32" s="18">
        <v>1562.9870850601292</v>
      </c>
      <c r="AK32" s="18">
        <v>1625.5065684625345</v>
      </c>
      <c r="AL32" s="18">
        <f>AK32*(0.9)</f>
        <v>1462.9559116162811</v>
      </c>
      <c r="AM32" s="18">
        <v>1521.4741480809325</v>
      </c>
    </row>
    <row r="33" spans="2:39" s="17" customFormat="1" ht="21" customHeight="1" x14ac:dyDescent="0.25">
      <c r="B33" s="7" t="s">
        <v>53</v>
      </c>
      <c r="C33" s="15"/>
      <c r="D33" s="18">
        <v>800</v>
      </c>
      <c r="E33" s="18">
        <v>832</v>
      </c>
      <c r="F33" s="18">
        <v>865.28</v>
      </c>
      <c r="G33" s="18">
        <v>899.89120000000003</v>
      </c>
      <c r="H33" s="18">
        <v>935.8868480000001</v>
      </c>
      <c r="I33" s="18">
        <v>973.32232192000015</v>
      </c>
      <c r="J33" s="18">
        <v>1012.2552147968001</v>
      </c>
      <c r="K33" s="18">
        <v>1052.7454233886722</v>
      </c>
      <c r="L33" s="18">
        <v>1094.855240324219</v>
      </c>
      <c r="M33" s="18">
        <v>1138.6494499371879</v>
      </c>
      <c r="N33" s="18">
        <v>1184.1954279346755</v>
      </c>
      <c r="O33" s="18">
        <v>1231.5632450520627</v>
      </c>
      <c r="P33" s="18">
        <v>1280.8257748541453</v>
      </c>
      <c r="Q33" s="18">
        <v>1332.0588058483111</v>
      </c>
      <c r="R33" s="18">
        <v>1385.3411580822435</v>
      </c>
      <c r="S33" s="18">
        <v>1440.7548044055334</v>
      </c>
      <c r="T33" s="18">
        <v>1498.3849965817549</v>
      </c>
      <c r="U33" s="18">
        <v>1558.3203964450252</v>
      </c>
      <c r="V33" s="18">
        <v>1620.6532123028262</v>
      </c>
      <c r="W33" s="18">
        <v>1685.4793407949394</v>
      </c>
      <c r="X33" s="18">
        <v>1752.8985144267369</v>
      </c>
      <c r="Y33" s="18">
        <v>1823.0144550038065</v>
      </c>
      <c r="Z33" s="18">
        <v>1895.9350332039587</v>
      </c>
      <c r="AA33" s="18">
        <v>1971.7724345321171</v>
      </c>
      <c r="AB33" s="18">
        <v>2050.6433319134021</v>
      </c>
      <c r="AC33" s="18">
        <v>2132.6690651899385</v>
      </c>
      <c r="AD33" s="18">
        <v>2217.9758277975361</v>
      </c>
      <c r="AE33" s="18">
        <v>2306.6948609094375</v>
      </c>
      <c r="AF33" s="18">
        <v>2398.9626553458152</v>
      </c>
      <c r="AG33" s="18">
        <v>2494.9211615596478</v>
      </c>
      <c r="AH33" s="18">
        <v>2594.7180080220337</v>
      </c>
      <c r="AI33" s="18">
        <v>2698.5067283429153</v>
      </c>
      <c r="AJ33" s="18">
        <v>2806.4469974766321</v>
      </c>
      <c r="AK33" s="18">
        <v>2918.7048773756974</v>
      </c>
      <c r="AL33" s="18">
        <v>3035.4530724707256</v>
      </c>
      <c r="AM33" s="18">
        <v>3156.8711953695547</v>
      </c>
    </row>
    <row r="34" spans="2:39" s="17" customFormat="1" ht="21" customHeight="1" x14ac:dyDescent="0.25">
      <c r="B34" s="7" t="s">
        <v>54</v>
      </c>
      <c r="C34" s="15"/>
      <c r="D34" s="18">
        <v>57.375</v>
      </c>
      <c r="E34" s="18">
        <v>59.67</v>
      </c>
      <c r="F34" s="18">
        <v>62.056800000000003</v>
      </c>
      <c r="G34" s="18">
        <v>64.539072000000004</v>
      </c>
      <c r="H34" s="18">
        <v>67.120634880000011</v>
      </c>
      <c r="I34" s="18">
        <v>69.805460275200019</v>
      </c>
      <c r="J34" s="18">
        <v>72.597678686208027</v>
      </c>
      <c r="K34" s="18">
        <v>75.50158583365635</v>
      </c>
      <c r="L34" s="18">
        <v>78.521649267002601</v>
      </c>
      <c r="M34" s="18">
        <v>81.662515237682712</v>
      </c>
      <c r="N34" s="18">
        <v>84.92901584719003</v>
      </c>
      <c r="O34" s="18">
        <v>88.326176481077638</v>
      </c>
      <c r="P34" s="18">
        <v>91.859223540320741</v>
      </c>
      <c r="Q34" s="18">
        <v>95.533592481933567</v>
      </c>
      <c r="R34" s="18">
        <v>99.354936181210917</v>
      </c>
      <c r="S34" s="18">
        <v>103.32913362845936</v>
      </c>
      <c r="T34" s="18">
        <v>107.46229897359774</v>
      </c>
      <c r="U34" s="18">
        <v>111.76079093254165</v>
      </c>
      <c r="V34" s="18">
        <v>116.23122256984333</v>
      </c>
      <c r="W34" s="18">
        <v>120.88047147263707</v>
      </c>
      <c r="X34" s="18">
        <v>125.71569033154256</v>
      </c>
      <c r="Y34" s="18">
        <v>130.74431794480427</v>
      </c>
      <c r="Z34" s="18">
        <v>135.97409066259644</v>
      </c>
      <c r="AA34" s="18">
        <v>141.4130542891003</v>
      </c>
      <c r="AB34" s="18">
        <v>147.06957646066431</v>
      </c>
      <c r="AC34" s="18">
        <v>152.95235951909089</v>
      </c>
      <c r="AD34" s="18">
        <v>159.07045389985453</v>
      </c>
      <c r="AE34" s="18">
        <v>165.4332720558487</v>
      </c>
      <c r="AF34" s="18">
        <v>172.05060293808265</v>
      </c>
      <c r="AG34" s="18">
        <v>178.93262705560596</v>
      </c>
      <c r="AH34" s="18">
        <v>186.0899321378302</v>
      </c>
      <c r="AI34" s="18">
        <v>193.53352942334342</v>
      </c>
      <c r="AJ34" s="18">
        <v>201.27487060027715</v>
      </c>
      <c r="AK34" s="18">
        <v>209.32586542428825</v>
      </c>
      <c r="AL34" s="18">
        <v>217.6989000412598</v>
      </c>
      <c r="AM34" s="18">
        <v>226.40685604291019</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47">SUM(D35, D34, D33, D32, D31 + D30)</f>
        <v>9775.375</v>
      </c>
      <c r="E36" s="19">
        <f t="shared" ref="E36:AL36" si="48">SUM(E35, E34, E33, E32, E31 + E30)</f>
        <v>10006.39</v>
      </c>
      <c r="F36" s="19">
        <f t="shared" si="48"/>
        <v>10243.445600000001</v>
      </c>
      <c r="G36" s="19">
        <f t="shared" si="48"/>
        <v>10347.712192000001</v>
      </c>
      <c r="H36" s="19">
        <f t="shared" si="48"/>
        <v>10591.827399680002</v>
      </c>
      <c r="I36" s="19">
        <f t="shared" si="48"/>
        <v>10842.311350067201</v>
      </c>
      <c r="J36" s="19">
        <f t="shared" si="48"/>
        <v>10039.433304485889</v>
      </c>
      <c r="K36" s="19">
        <f t="shared" si="48"/>
        <v>10282.023001004523</v>
      </c>
      <c r="L36" s="19">
        <f t="shared" si="48"/>
        <v>10531.136532670691</v>
      </c>
      <c r="M36" s="19">
        <f t="shared" si="48"/>
        <v>10786.971257836023</v>
      </c>
      <c r="N36" s="19">
        <f t="shared" si="48"/>
        <v>11049.731157285136</v>
      </c>
      <c r="O36" s="19">
        <f t="shared" si="48"/>
        <v>10287.067094405253</v>
      </c>
      <c r="P36" s="19">
        <f t="shared" si="48"/>
        <v>10543.665781288011</v>
      </c>
      <c r="Q36" s="19">
        <f t="shared" si="48"/>
        <v>10629.365163922359</v>
      </c>
      <c r="R36" s="19">
        <f t="shared" si="48"/>
        <v>10893.398460111308</v>
      </c>
      <c r="S36" s="19">
        <f t="shared" si="48"/>
        <v>11164.770261940455</v>
      </c>
      <c r="T36" s="19">
        <f t="shared" si="48"/>
        <v>11443.709653111262</v>
      </c>
      <c r="U36" s="19">
        <f t="shared" si="48"/>
        <v>11730.453591542764</v>
      </c>
      <c r="V36" s="19">
        <f t="shared" si="48"/>
        <v>10978.699978676825</v>
      </c>
      <c r="W36" s="19">
        <f t="shared" si="48"/>
        <v>11260.865894841771</v>
      </c>
      <c r="X36" s="19">
        <f t="shared" si="48"/>
        <v>11348.400026925668</v>
      </c>
      <c r="Y36" s="19">
        <f t="shared" si="48"/>
        <v>11639.01186886809</v>
      </c>
      <c r="Z36" s="19">
        <f t="shared" si="48"/>
        <v>11937.981701305518</v>
      </c>
      <c r="AA36" s="19">
        <f t="shared" si="48"/>
        <v>12245.578514194098</v>
      </c>
      <c r="AB36" s="19">
        <f t="shared" si="48"/>
        <v>12562.080750494944</v>
      </c>
      <c r="AC36" s="19">
        <f t="shared" si="48"/>
        <v>11827.052724048968</v>
      </c>
      <c r="AD36" s="19">
        <f t="shared" si="48"/>
        <v>12141.026242893899</v>
      </c>
      <c r="AE36" s="19">
        <f t="shared" si="48"/>
        <v>12233.454669558356</v>
      </c>
      <c r="AF36" s="19">
        <f t="shared" si="48"/>
        <v>12557.256279182933</v>
      </c>
      <c r="AG36" s="19">
        <f t="shared" si="48"/>
        <v>12890.69922164934</v>
      </c>
      <c r="AH36" s="19">
        <f t="shared" si="48"/>
        <v>13009.314359140119</v>
      </c>
      <c r="AI36" s="19">
        <f t="shared" si="48"/>
        <v>12300.005753698726</v>
      </c>
      <c r="AJ36" s="19">
        <f t="shared" si="48"/>
        <v>12633.904117871491</v>
      </c>
      <c r="AK36" s="19">
        <f t="shared" si="48"/>
        <v>12977.996379291662</v>
      </c>
      <c r="AL36" s="19">
        <f t="shared" si="48"/>
        <v>13105.056133517992</v>
      </c>
      <c r="AM36" s="19">
        <f t="shared" si="47"/>
        <v>13461.479413870917</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850</v>
      </c>
      <c r="E39" s="18">
        <v>918.00000000000011</v>
      </c>
      <c r="F39" s="18">
        <v>991.44000000000017</v>
      </c>
      <c r="G39" s="18">
        <v>1070.7552000000003</v>
      </c>
      <c r="H39" s="18">
        <f>G39*(0.85)</f>
        <v>910.14192000000025</v>
      </c>
      <c r="I39" s="18">
        <v>982.95327360000033</v>
      </c>
      <c r="J39" s="18">
        <v>1061.5895354880004</v>
      </c>
      <c r="K39" s="18">
        <v>1146.5166983270406</v>
      </c>
      <c r="L39" s="18">
        <v>1238.2380341932039</v>
      </c>
      <c r="M39" s="18">
        <v>1337.2970769286603</v>
      </c>
      <c r="N39" s="18">
        <v>1444.2808430829532</v>
      </c>
      <c r="O39" s="18">
        <f>N39*(0.85)</f>
        <v>1227.6387166205102</v>
      </c>
      <c r="P39" s="18">
        <v>1325.8498139501512</v>
      </c>
      <c r="Q39" s="18">
        <v>1431.9177990661633</v>
      </c>
      <c r="R39" s="18">
        <v>1546.4712229914564</v>
      </c>
      <c r="S39" s="18">
        <v>1670.188920830773</v>
      </c>
      <c r="T39" s="18">
        <v>1803.8040344972349</v>
      </c>
      <c r="U39" s="18">
        <v>1948.1083572570137</v>
      </c>
      <c r="V39" s="18">
        <f>U39*(0.85)</f>
        <v>1655.8921036684617</v>
      </c>
      <c r="W39" s="18">
        <v>1788.3634719619388</v>
      </c>
      <c r="X39" s="18">
        <v>1931.4325497188941</v>
      </c>
      <c r="Y39" s="18">
        <v>2085.9471536964056</v>
      </c>
      <c r="Z39" s="18">
        <v>2252.8229259921181</v>
      </c>
      <c r="AA39" s="18">
        <v>2433.0487600714878</v>
      </c>
      <c r="AB39" s="18">
        <f>AA39*(0.85)</f>
        <v>2068.0914460607646</v>
      </c>
      <c r="AC39" s="18">
        <v>2233.5387617456258</v>
      </c>
      <c r="AD39" s="18">
        <v>2412.2218626852759</v>
      </c>
      <c r="AE39" s="18">
        <v>2605.1996117000981</v>
      </c>
      <c r="AF39" s="18">
        <v>2813.6155806361062</v>
      </c>
      <c r="AG39" s="18">
        <v>3038.704827086995</v>
      </c>
      <c r="AH39" s="18">
        <v>3281.8012132539548</v>
      </c>
      <c r="AI39" s="18">
        <v>3544.3453103142715</v>
      </c>
      <c r="AJ39" s="18">
        <f>AI39*(0.85)</f>
        <v>3012.6935137671308</v>
      </c>
      <c r="AK39" s="18">
        <v>3253.7089948685016</v>
      </c>
      <c r="AL39" s="18">
        <v>3514.0057144579819</v>
      </c>
      <c r="AM39" s="18">
        <v>3795.1261716146205</v>
      </c>
    </row>
    <row r="40" spans="2:39" s="17" customFormat="1" ht="21" customHeight="1" x14ac:dyDescent="0.25">
      <c r="B40" s="7" t="s">
        <v>60</v>
      </c>
      <c r="C40" s="15"/>
      <c r="D40" s="18">
        <v>600</v>
      </c>
      <c r="E40" s="18">
        <v>624</v>
      </c>
      <c r="F40" s="18">
        <v>648.96</v>
      </c>
      <c r="G40" s="18">
        <v>674.91840000000002</v>
      </c>
      <c r="H40" s="18">
        <v>701.91513600000008</v>
      </c>
      <c r="I40" s="18">
        <v>729.99174144000006</v>
      </c>
      <c r="J40" s="18">
        <v>759.19141109760005</v>
      </c>
      <c r="K40" s="18">
        <v>789.55906754150408</v>
      </c>
      <c r="L40" s="18">
        <v>821.14143024316422</v>
      </c>
      <c r="M40" s="18">
        <v>853.98708745289082</v>
      </c>
      <c r="N40" s="18">
        <v>888.14657095100654</v>
      </c>
      <c r="O40" s="18">
        <v>923.67243378904686</v>
      </c>
      <c r="P40" s="18">
        <v>960.61933114060878</v>
      </c>
      <c r="Q40" s="18">
        <v>999.04410438623313</v>
      </c>
      <c r="R40" s="18">
        <v>1039.0058685616825</v>
      </c>
      <c r="S40" s="18">
        <v>1080.5661033041499</v>
      </c>
      <c r="T40" s="18">
        <v>1123.788747436316</v>
      </c>
      <c r="U40" s="18">
        <v>1168.7402973337687</v>
      </c>
      <c r="V40" s="18">
        <v>1215.4899092271196</v>
      </c>
      <c r="W40" s="18">
        <v>1264.1095055962044</v>
      </c>
      <c r="X40" s="18">
        <v>1314.6738858200526</v>
      </c>
      <c r="Y40" s="18">
        <v>1367.2608412528548</v>
      </c>
      <c r="Z40" s="18">
        <v>1421.9512749029691</v>
      </c>
      <c r="AA40" s="18">
        <v>1478.829325899088</v>
      </c>
      <c r="AB40" s="18">
        <v>1537.9824989350516</v>
      </c>
      <c r="AC40" s="18">
        <v>1599.5017988924537</v>
      </c>
      <c r="AD40" s="18">
        <v>1663.4818708481519</v>
      </c>
      <c r="AE40" s="18">
        <v>1730.021145682078</v>
      </c>
      <c r="AF40" s="18">
        <v>1799.2219915093613</v>
      </c>
      <c r="AG40" s="18">
        <v>1871.1908711697358</v>
      </c>
      <c r="AH40" s="18">
        <v>1946.0385060165254</v>
      </c>
      <c r="AI40" s="18">
        <v>2023.8800462571865</v>
      </c>
      <c r="AJ40" s="18">
        <v>2104.8352481074739</v>
      </c>
      <c r="AK40" s="18">
        <v>2189.0286580317729</v>
      </c>
      <c r="AL40" s="18">
        <v>2276.5898043530437</v>
      </c>
      <c r="AM40" s="18">
        <v>2367.6533965271656</v>
      </c>
    </row>
    <row r="41" spans="2:39" s="17" customFormat="1" ht="21" customHeight="1" x14ac:dyDescent="0.25">
      <c r="B41" s="7" t="s">
        <v>61</v>
      </c>
      <c r="C41" s="15"/>
      <c r="D41" s="18">
        <v>250</v>
      </c>
      <c r="E41" s="18">
        <v>260</v>
      </c>
      <c r="F41" s="18">
        <v>270.40000000000003</v>
      </c>
      <c r="G41" s="18">
        <v>281.21600000000007</v>
      </c>
      <c r="H41" s="18">
        <v>292.46464000000009</v>
      </c>
      <c r="I41" s="18">
        <v>304.16322560000009</v>
      </c>
      <c r="J41" s="18">
        <v>316.32975462400009</v>
      </c>
      <c r="K41" s="18">
        <v>328.9829448089601</v>
      </c>
      <c r="L41" s="18">
        <v>342.14226260131852</v>
      </c>
      <c r="M41" s="18">
        <v>355.82795310537125</v>
      </c>
      <c r="N41" s="18">
        <v>370.0610712295861</v>
      </c>
      <c r="O41" s="18">
        <v>384.86351407876958</v>
      </c>
      <c r="P41" s="18">
        <v>400.25805464192035</v>
      </c>
      <c r="Q41" s="18">
        <v>416.26837682759719</v>
      </c>
      <c r="R41" s="18">
        <v>432.91911190070107</v>
      </c>
      <c r="S41" s="18">
        <v>450.23587637672915</v>
      </c>
      <c r="T41" s="18">
        <v>468.24531143179831</v>
      </c>
      <c r="U41" s="18">
        <v>486.97512388907029</v>
      </c>
      <c r="V41" s="18">
        <v>506.45412884463315</v>
      </c>
      <c r="W41" s="18">
        <v>526.71229399841855</v>
      </c>
      <c r="X41" s="18">
        <v>547.78078575835525</v>
      </c>
      <c r="Y41" s="18">
        <v>569.69201718868953</v>
      </c>
      <c r="Z41" s="18">
        <v>592.47969787623708</v>
      </c>
      <c r="AA41" s="18">
        <v>616.17888579128658</v>
      </c>
      <c r="AB41" s="18">
        <v>640.8260412229381</v>
      </c>
      <c r="AC41" s="18">
        <v>666.45908287185568</v>
      </c>
      <c r="AD41" s="18">
        <v>693.11744618672992</v>
      </c>
      <c r="AE41" s="18">
        <v>720.84214403419912</v>
      </c>
      <c r="AF41" s="18">
        <v>749.6758297955671</v>
      </c>
      <c r="AG41" s="18">
        <v>779.66286298738976</v>
      </c>
      <c r="AH41" s="18">
        <v>810.84937750688539</v>
      </c>
      <c r="AI41" s="18">
        <v>843.28335260716085</v>
      </c>
      <c r="AJ41" s="18">
        <v>877.01468671144733</v>
      </c>
      <c r="AK41" s="18">
        <v>912.09527417990523</v>
      </c>
      <c r="AL41" s="18">
        <v>948.57908514710152</v>
      </c>
      <c r="AM41" s="18">
        <v>986.52224855298562</v>
      </c>
    </row>
    <row r="42" spans="2:39" s="32" customFormat="1" ht="21" customHeight="1" x14ac:dyDescent="0.25">
      <c r="B42" s="28" t="s">
        <v>62</v>
      </c>
      <c r="C42" s="29"/>
      <c r="D42" s="31">
        <f t="shared" ref="D42" si="49">SUM(D41, D40, D39 + D38)</f>
        <v>1700</v>
      </c>
      <c r="E42" s="31">
        <v>1700</v>
      </c>
      <c r="F42" s="31">
        <v>1700</v>
      </c>
      <c r="G42" s="31">
        <v>1700</v>
      </c>
      <c r="H42" s="31">
        <v>1700</v>
      </c>
      <c r="I42" s="31">
        <v>1700</v>
      </c>
      <c r="J42" s="31">
        <v>1700</v>
      </c>
      <c r="K42" s="31">
        <v>1700</v>
      </c>
      <c r="L42" s="31">
        <v>1700</v>
      </c>
      <c r="M42" s="31">
        <v>1700</v>
      </c>
      <c r="N42" s="31">
        <v>1700</v>
      </c>
      <c r="O42" s="31">
        <v>1700</v>
      </c>
      <c r="P42" s="31">
        <v>1700</v>
      </c>
      <c r="Q42" s="31">
        <v>1700</v>
      </c>
      <c r="R42" s="31">
        <v>1700</v>
      </c>
      <c r="S42" s="31">
        <v>1700</v>
      </c>
      <c r="T42" s="31">
        <v>1700</v>
      </c>
      <c r="U42" s="31">
        <v>1700</v>
      </c>
      <c r="V42" s="31">
        <v>1700</v>
      </c>
      <c r="W42" s="31">
        <v>1700</v>
      </c>
      <c r="X42" s="31">
        <v>1700</v>
      </c>
      <c r="Y42" s="31">
        <v>1700</v>
      </c>
      <c r="Z42" s="31">
        <v>1700</v>
      </c>
      <c r="AA42" s="31">
        <v>1700</v>
      </c>
      <c r="AB42" s="31">
        <v>1700</v>
      </c>
      <c r="AC42" s="31">
        <v>1700</v>
      </c>
      <c r="AD42" s="31">
        <v>1700</v>
      </c>
      <c r="AE42" s="31">
        <v>1700</v>
      </c>
      <c r="AF42" s="31">
        <v>1700</v>
      </c>
      <c r="AG42" s="31">
        <v>1700</v>
      </c>
      <c r="AH42" s="31">
        <v>1700</v>
      </c>
      <c r="AI42" s="31">
        <v>1700</v>
      </c>
      <c r="AJ42" s="31">
        <v>1700</v>
      </c>
      <c r="AK42" s="31">
        <v>1700</v>
      </c>
      <c r="AL42" s="31">
        <v>1700</v>
      </c>
      <c r="AM42" s="31">
        <v>1700</v>
      </c>
    </row>
    <row r="43" spans="2:39" s="17" customFormat="1" ht="21" customHeight="1" x14ac:dyDescent="0.25">
      <c r="B43" s="5" t="s">
        <v>63</v>
      </c>
      <c r="C43" s="15"/>
      <c r="D43" s="19">
        <f t="shared" ref="D43:AM43" si="50">SUM(D41, D40, D39, D38, D37, D35, D34, D33, D32, D31, D30, D28, D27, D26, D25, D24, D22, D21, D20, D19, D18, D17, D16, D15, D14 + D13)</f>
        <v>22975.375</v>
      </c>
      <c r="E43" s="19">
        <f t="shared" ref="E43:AL43" si="51">SUM(E41, E40, E39, E38, E37, E35, E34, E33, E32, E31, E30, E28, E27, E26, E25, E24, E22, E21, E20, E19, E18, E17, E16, E15, E14 + E13)</f>
        <v>23663.39</v>
      </c>
      <c r="F43" s="19">
        <f t="shared" si="51"/>
        <v>23793.795600000001</v>
      </c>
      <c r="G43" s="19">
        <f t="shared" si="51"/>
        <v>23542.673291999999</v>
      </c>
      <c r="H43" s="19">
        <f t="shared" si="51"/>
        <v>24007.491310680001</v>
      </c>
      <c r="I43" s="19">
        <f t="shared" si="51"/>
        <v>24725.173055857205</v>
      </c>
      <c r="J43" s="19">
        <f t="shared" si="51"/>
        <v>24408.854681456989</v>
      </c>
      <c r="K43" s="19">
        <f t="shared" si="51"/>
        <v>25158.315607684744</v>
      </c>
      <c r="L43" s="19">
        <f t="shared" si="51"/>
        <v>25935.616596693821</v>
      </c>
      <c r="M43" s="19">
        <f t="shared" si="51"/>
        <v>25900.117332138103</v>
      </c>
      <c r="N43" s="19">
        <f t="shared" si="51"/>
        <v>25222.454424468098</v>
      </c>
      <c r="O43" s="19">
        <f t="shared" si="51"/>
        <v>24646.426652590613</v>
      </c>
      <c r="P43" s="19">
        <f t="shared" si="51"/>
        <v>25418.356097652359</v>
      </c>
      <c r="Q43" s="19">
        <f t="shared" si="51"/>
        <v>26041.578181423214</v>
      </c>
      <c r="R43" s="19">
        <f t="shared" si="51"/>
        <v>25387.61264403852</v>
      </c>
      <c r="S43" s="19">
        <f t="shared" si="51"/>
        <v>26193.972694781376</v>
      </c>
      <c r="T43" s="19">
        <f t="shared" si="51"/>
        <v>26861.274332606492</v>
      </c>
      <c r="U43" s="19">
        <f t="shared" si="51"/>
        <v>27730.741019898811</v>
      </c>
      <c r="V43" s="19">
        <f t="shared" si="51"/>
        <v>26528.605675537925</v>
      </c>
      <c r="W43" s="19">
        <f t="shared" si="51"/>
        <v>26837.52033432871</v>
      </c>
      <c r="X43" s="19">
        <f t="shared" si="51"/>
        <v>27506.297426700839</v>
      </c>
      <c r="Y43" s="19">
        <f t="shared" si="51"/>
        <v>27304.880004910796</v>
      </c>
      <c r="Z43" s="19">
        <f t="shared" si="51"/>
        <v>28209.616831105875</v>
      </c>
      <c r="AA43" s="19">
        <f t="shared" si="51"/>
        <v>29151.541972218085</v>
      </c>
      <c r="AB43" s="19">
        <f t="shared" si="51"/>
        <v>29572.946628880385</v>
      </c>
      <c r="AC43" s="19">
        <f t="shared" si="51"/>
        <v>27962.359935053613</v>
      </c>
      <c r="AD43" s="19">
        <f t="shared" si="51"/>
        <v>28756.544304461691</v>
      </c>
      <c r="AE43" s="19">
        <f t="shared" si="51"/>
        <v>29507.423594196127</v>
      </c>
      <c r="AF43" s="19">
        <f t="shared" si="51"/>
        <v>30521.388441625095</v>
      </c>
      <c r="AG43" s="19">
        <f t="shared" si="51"/>
        <v>30059.171696323272</v>
      </c>
      <c r="AH43" s="19">
        <f t="shared" si="51"/>
        <v>30885.280075104023</v>
      </c>
      <c r="AI43" s="19">
        <f t="shared" si="51"/>
        <v>30919.22174379621</v>
      </c>
      <c r="AJ43" s="19">
        <f t="shared" si="51"/>
        <v>31077.453644974506</v>
      </c>
      <c r="AK43" s="19">
        <f t="shared" si="51"/>
        <v>32176.267775120836</v>
      </c>
      <c r="AL43" s="19">
        <f t="shared" si="51"/>
        <v>32174.690732994361</v>
      </c>
      <c r="AM43" s="19">
        <f t="shared" si="50"/>
        <v>32666.916876941614</v>
      </c>
    </row>
    <row r="44" spans="2:39" s="21" customFormat="1" ht="21" customHeight="1" x14ac:dyDescent="0.25">
      <c r="B44" s="5" t="s">
        <v>64</v>
      </c>
      <c r="C44" s="22"/>
      <c r="D44" s="23">
        <f t="shared" ref="D44:AM44" si="52">D12-D43</f>
        <v>-23775.375</v>
      </c>
      <c r="E44" s="23">
        <f t="shared" ref="E44:AL44" si="53">E12-E43</f>
        <v>-24495.39</v>
      </c>
      <c r="F44" s="23">
        <f t="shared" si="53"/>
        <v>-24659.0756</v>
      </c>
      <c r="G44" s="23">
        <f t="shared" si="53"/>
        <v>-24442.564491999998</v>
      </c>
      <c r="H44" s="23">
        <f t="shared" si="53"/>
        <v>-24943.378158680003</v>
      </c>
      <c r="I44" s="23">
        <f t="shared" si="53"/>
        <v>-25698.495377777206</v>
      </c>
      <c r="J44" s="23">
        <f t="shared" si="53"/>
        <v>-25421.109896253791</v>
      </c>
      <c r="K44" s="23">
        <f t="shared" si="53"/>
        <v>-26211.061031073416</v>
      </c>
      <c r="L44" s="23">
        <f t="shared" si="53"/>
        <v>-27030.471837018038</v>
      </c>
      <c r="M44" s="23">
        <f t="shared" si="53"/>
        <v>-27038.76678207529</v>
      </c>
      <c r="N44" s="23">
        <f t="shared" si="53"/>
        <v>-26406.649852402774</v>
      </c>
      <c r="O44" s="23">
        <f t="shared" si="53"/>
        <v>-25877.989897642678</v>
      </c>
      <c r="P44" s="23">
        <f t="shared" si="53"/>
        <v>-26699.181872506502</v>
      </c>
      <c r="Q44" s="23">
        <f t="shared" si="53"/>
        <v>-27373.636987271526</v>
      </c>
      <c r="R44" s="23">
        <f t="shared" si="53"/>
        <v>-26772.953802120763</v>
      </c>
      <c r="S44" s="23">
        <f t="shared" si="53"/>
        <v>-27634.727499186909</v>
      </c>
      <c r="T44" s="23">
        <f t="shared" si="53"/>
        <v>-28359.659329188245</v>
      </c>
      <c r="U44" s="23">
        <f t="shared" si="53"/>
        <v>-29289.061416343837</v>
      </c>
      <c r="V44" s="23">
        <f t="shared" si="53"/>
        <v>-28149.258887840751</v>
      </c>
      <c r="W44" s="23">
        <f t="shared" si="53"/>
        <v>-28522.99967512365</v>
      </c>
      <c r="X44" s="23">
        <f t="shared" si="53"/>
        <v>-29259.195941127575</v>
      </c>
      <c r="Y44" s="23">
        <f t="shared" si="53"/>
        <v>-29127.894459914602</v>
      </c>
      <c r="Z44" s="23">
        <f t="shared" si="53"/>
        <v>-30105.551864309833</v>
      </c>
      <c r="AA44" s="23">
        <f t="shared" si="53"/>
        <v>-31123.314406750203</v>
      </c>
      <c r="AB44" s="23">
        <f t="shared" si="53"/>
        <v>-31623.589960793786</v>
      </c>
      <c r="AC44" s="23">
        <f t="shared" si="53"/>
        <v>-30095.02900024355</v>
      </c>
      <c r="AD44" s="23">
        <f t="shared" si="53"/>
        <v>-30974.520132259226</v>
      </c>
      <c r="AE44" s="23">
        <f t="shared" si="53"/>
        <v>-31814.118455105563</v>
      </c>
      <c r="AF44" s="23">
        <f t="shared" si="53"/>
        <v>-32920.35109697091</v>
      </c>
      <c r="AG44" s="23">
        <f t="shared" si="53"/>
        <v>-32554.092857882919</v>
      </c>
      <c r="AH44" s="23">
        <f t="shared" si="53"/>
        <v>-33479.998083126055</v>
      </c>
      <c r="AI44" s="23">
        <f t="shared" si="53"/>
        <v>-33617.728472139126</v>
      </c>
      <c r="AJ44" s="23">
        <f t="shared" si="53"/>
        <v>-33883.900642451139</v>
      </c>
      <c r="AK44" s="23">
        <f t="shared" si="53"/>
        <v>-35094.97265249653</v>
      </c>
      <c r="AL44" s="23">
        <f t="shared" si="53"/>
        <v>-35210.143805465086</v>
      </c>
      <c r="AM44" s="23">
        <f t="shared" si="52"/>
        <v>-35823.788072311167</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54">SUM(D46 + D45)</f>
        <v>0</v>
      </c>
      <c r="E47" s="19">
        <f t="shared" si="54"/>
        <v>0</v>
      </c>
      <c r="F47" s="19">
        <f t="shared" si="54"/>
        <v>0</v>
      </c>
      <c r="G47" s="19">
        <f t="shared" si="54"/>
        <v>0</v>
      </c>
      <c r="H47" s="19">
        <f t="shared" si="54"/>
        <v>0</v>
      </c>
      <c r="I47" s="19">
        <f t="shared" si="54"/>
        <v>0</v>
      </c>
      <c r="J47" s="19">
        <f t="shared" si="54"/>
        <v>0</v>
      </c>
      <c r="K47" s="19">
        <f t="shared" si="54"/>
        <v>0</v>
      </c>
      <c r="L47" s="19">
        <f t="shared" si="54"/>
        <v>0</v>
      </c>
      <c r="M47" s="19">
        <f t="shared" si="54"/>
        <v>0</v>
      </c>
      <c r="N47" s="19">
        <f t="shared" si="54"/>
        <v>0</v>
      </c>
      <c r="O47" s="19">
        <f t="shared" si="54"/>
        <v>0</v>
      </c>
      <c r="P47" s="19">
        <f t="shared" si="54"/>
        <v>0</v>
      </c>
      <c r="Q47" s="19">
        <f t="shared" si="54"/>
        <v>0</v>
      </c>
      <c r="R47" s="19">
        <f t="shared" si="54"/>
        <v>0</v>
      </c>
      <c r="S47" s="19">
        <f t="shared" si="54"/>
        <v>0</v>
      </c>
      <c r="T47" s="19">
        <f t="shared" si="54"/>
        <v>0</v>
      </c>
      <c r="U47" s="19">
        <f t="shared" si="54"/>
        <v>0</v>
      </c>
      <c r="V47" s="19">
        <f t="shared" si="54"/>
        <v>0</v>
      </c>
      <c r="W47" s="19">
        <f t="shared" si="54"/>
        <v>0</v>
      </c>
      <c r="X47" s="19">
        <f t="shared" si="54"/>
        <v>0</v>
      </c>
      <c r="Y47" s="19">
        <f t="shared" si="54"/>
        <v>0</v>
      </c>
      <c r="Z47" s="19">
        <f t="shared" si="54"/>
        <v>0</v>
      </c>
      <c r="AA47" s="19">
        <f t="shared" si="54"/>
        <v>0</v>
      </c>
      <c r="AB47" s="19">
        <f t="shared" si="54"/>
        <v>0</v>
      </c>
      <c r="AC47" s="19">
        <f t="shared" si="54"/>
        <v>0</v>
      </c>
      <c r="AD47" s="19">
        <f t="shared" si="54"/>
        <v>0</v>
      </c>
      <c r="AE47" s="19">
        <f t="shared" si="54"/>
        <v>0</v>
      </c>
      <c r="AF47" s="19">
        <f t="shared" si="54"/>
        <v>0</v>
      </c>
      <c r="AG47" s="19">
        <f t="shared" si="54"/>
        <v>0</v>
      </c>
      <c r="AH47" s="19">
        <f t="shared" si="54"/>
        <v>0</v>
      </c>
      <c r="AI47" s="19">
        <f t="shared" si="54"/>
        <v>0</v>
      </c>
      <c r="AJ47" s="19">
        <f t="shared" si="54"/>
        <v>0</v>
      </c>
      <c r="AK47" s="19">
        <f t="shared" si="54"/>
        <v>0</v>
      </c>
      <c r="AL47" s="19">
        <f t="shared" si="54"/>
        <v>0</v>
      </c>
      <c r="AM47" s="19">
        <f t="shared" ref="AM47" si="55">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56">SUM(D50, D49 + D48)</f>
        <v>0</v>
      </c>
      <c r="E51" s="19">
        <f t="shared" ref="E51:AL51" si="57">SUM(E50, E49 + E48)</f>
        <v>0</v>
      </c>
      <c r="F51" s="19">
        <f t="shared" si="57"/>
        <v>0</v>
      </c>
      <c r="G51" s="19">
        <f t="shared" si="57"/>
        <v>0</v>
      </c>
      <c r="H51" s="19">
        <f t="shared" si="57"/>
        <v>0</v>
      </c>
      <c r="I51" s="19">
        <f t="shared" si="57"/>
        <v>0</v>
      </c>
      <c r="J51" s="19">
        <f t="shared" si="57"/>
        <v>0</v>
      </c>
      <c r="K51" s="19">
        <f t="shared" si="57"/>
        <v>0</v>
      </c>
      <c r="L51" s="19">
        <f t="shared" si="57"/>
        <v>0</v>
      </c>
      <c r="M51" s="19">
        <f t="shared" si="57"/>
        <v>0</v>
      </c>
      <c r="N51" s="19">
        <f t="shared" si="57"/>
        <v>0</v>
      </c>
      <c r="O51" s="19">
        <f t="shared" si="57"/>
        <v>0</v>
      </c>
      <c r="P51" s="19">
        <f t="shared" si="57"/>
        <v>0</v>
      </c>
      <c r="Q51" s="19">
        <f t="shared" si="57"/>
        <v>0</v>
      </c>
      <c r="R51" s="19">
        <f t="shared" si="57"/>
        <v>0</v>
      </c>
      <c r="S51" s="19">
        <f t="shared" si="57"/>
        <v>0</v>
      </c>
      <c r="T51" s="19">
        <f t="shared" si="57"/>
        <v>0</v>
      </c>
      <c r="U51" s="19">
        <f t="shared" si="57"/>
        <v>0</v>
      </c>
      <c r="V51" s="19">
        <f t="shared" si="57"/>
        <v>0</v>
      </c>
      <c r="W51" s="19">
        <f t="shared" si="57"/>
        <v>0</v>
      </c>
      <c r="X51" s="19">
        <f t="shared" si="57"/>
        <v>0</v>
      </c>
      <c r="Y51" s="19">
        <f t="shared" si="57"/>
        <v>0</v>
      </c>
      <c r="Z51" s="19">
        <f t="shared" si="57"/>
        <v>0</v>
      </c>
      <c r="AA51" s="19">
        <f t="shared" si="57"/>
        <v>0</v>
      </c>
      <c r="AB51" s="19">
        <f t="shared" si="57"/>
        <v>0</v>
      </c>
      <c r="AC51" s="19">
        <f t="shared" si="57"/>
        <v>0</v>
      </c>
      <c r="AD51" s="19">
        <f t="shared" si="57"/>
        <v>0</v>
      </c>
      <c r="AE51" s="19">
        <f t="shared" si="57"/>
        <v>0</v>
      </c>
      <c r="AF51" s="19">
        <f t="shared" si="57"/>
        <v>0</v>
      </c>
      <c r="AG51" s="19">
        <f t="shared" si="57"/>
        <v>0</v>
      </c>
      <c r="AH51" s="19">
        <f t="shared" si="57"/>
        <v>0</v>
      </c>
      <c r="AI51" s="19">
        <f t="shared" si="57"/>
        <v>0</v>
      </c>
      <c r="AJ51" s="19">
        <f t="shared" si="57"/>
        <v>0</v>
      </c>
      <c r="AK51" s="19">
        <f t="shared" si="57"/>
        <v>0</v>
      </c>
      <c r="AL51" s="19">
        <f t="shared" si="57"/>
        <v>0</v>
      </c>
      <c r="AM51" s="19">
        <f t="shared" si="56"/>
        <v>0</v>
      </c>
    </row>
    <row r="52" spans="2:39" s="21" customFormat="1" ht="21" customHeight="1" x14ac:dyDescent="0.25">
      <c r="B52" s="5" t="s">
        <v>72</v>
      </c>
      <c r="C52" s="22"/>
      <c r="D52" s="23">
        <f t="shared" ref="D52:AM52" si="58">D47-D51</f>
        <v>0</v>
      </c>
      <c r="E52" s="23">
        <f t="shared" ref="E52:AL52" si="59">E47-E51</f>
        <v>0</v>
      </c>
      <c r="F52" s="23">
        <f t="shared" si="59"/>
        <v>0</v>
      </c>
      <c r="G52" s="23">
        <f t="shared" si="59"/>
        <v>0</v>
      </c>
      <c r="H52" s="23">
        <f t="shared" si="59"/>
        <v>0</v>
      </c>
      <c r="I52" s="23">
        <f t="shared" si="59"/>
        <v>0</v>
      </c>
      <c r="J52" s="23">
        <f t="shared" si="59"/>
        <v>0</v>
      </c>
      <c r="K52" s="23">
        <f t="shared" si="59"/>
        <v>0</v>
      </c>
      <c r="L52" s="23">
        <f t="shared" si="59"/>
        <v>0</v>
      </c>
      <c r="M52" s="23">
        <f t="shared" si="59"/>
        <v>0</v>
      </c>
      <c r="N52" s="23">
        <f t="shared" si="59"/>
        <v>0</v>
      </c>
      <c r="O52" s="23">
        <f t="shared" si="59"/>
        <v>0</v>
      </c>
      <c r="P52" s="23">
        <f t="shared" si="59"/>
        <v>0</v>
      </c>
      <c r="Q52" s="23">
        <f t="shared" si="59"/>
        <v>0</v>
      </c>
      <c r="R52" s="23">
        <f t="shared" si="59"/>
        <v>0</v>
      </c>
      <c r="S52" s="23">
        <f t="shared" si="59"/>
        <v>0</v>
      </c>
      <c r="T52" s="23">
        <f t="shared" si="59"/>
        <v>0</v>
      </c>
      <c r="U52" s="23">
        <f t="shared" si="59"/>
        <v>0</v>
      </c>
      <c r="V52" s="23">
        <f t="shared" si="59"/>
        <v>0</v>
      </c>
      <c r="W52" s="23">
        <f t="shared" si="59"/>
        <v>0</v>
      </c>
      <c r="X52" s="23">
        <f t="shared" si="59"/>
        <v>0</v>
      </c>
      <c r="Y52" s="23">
        <f t="shared" si="59"/>
        <v>0</v>
      </c>
      <c r="Z52" s="23">
        <f t="shared" si="59"/>
        <v>0</v>
      </c>
      <c r="AA52" s="23">
        <f t="shared" si="59"/>
        <v>0</v>
      </c>
      <c r="AB52" s="23">
        <f t="shared" si="59"/>
        <v>0</v>
      </c>
      <c r="AC52" s="23">
        <f t="shared" si="59"/>
        <v>0</v>
      </c>
      <c r="AD52" s="23">
        <f t="shared" si="59"/>
        <v>0</v>
      </c>
      <c r="AE52" s="23">
        <f t="shared" si="59"/>
        <v>0</v>
      </c>
      <c r="AF52" s="23">
        <f t="shared" si="59"/>
        <v>0</v>
      </c>
      <c r="AG52" s="23">
        <f t="shared" si="59"/>
        <v>0</v>
      </c>
      <c r="AH52" s="23">
        <f t="shared" si="59"/>
        <v>0</v>
      </c>
      <c r="AI52" s="23">
        <f t="shared" si="59"/>
        <v>0</v>
      </c>
      <c r="AJ52" s="23">
        <f t="shared" si="59"/>
        <v>0</v>
      </c>
      <c r="AK52" s="23">
        <f t="shared" si="59"/>
        <v>0</v>
      </c>
      <c r="AL52" s="23">
        <f t="shared" si="59"/>
        <v>0</v>
      </c>
      <c r="AM52" s="23">
        <f t="shared" si="58"/>
        <v>0</v>
      </c>
    </row>
    <row r="53" spans="2:39" s="21" customFormat="1" ht="21" customHeight="1" x14ac:dyDescent="0.25">
      <c r="B53" s="5" t="s">
        <v>73</v>
      </c>
      <c r="C53" s="22"/>
      <c r="D53" s="23">
        <f t="shared" ref="D53:AM53" si="60">D44+D52</f>
        <v>-23775.375</v>
      </c>
      <c r="E53" s="23">
        <f t="shared" ref="E53:AL53" si="61">E44+E52</f>
        <v>-24495.39</v>
      </c>
      <c r="F53" s="23">
        <f t="shared" si="61"/>
        <v>-24659.0756</v>
      </c>
      <c r="G53" s="23">
        <f t="shared" si="61"/>
        <v>-24442.564491999998</v>
      </c>
      <c r="H53" s="23">
        <f t="shared" si="61"/>
        <v>-24943.378158680003</v>
      </c>
      <c r="I53" s="23">
        <f t="shared" si="61"/>
        <v>-25698.495377777206</v>
      </c>
      <c r="J53" s="23">
        <f t="shared" si="61"/>
        <v>-25421.109896253791</v>
      </c>
      <c r="K53" s="23">
        <f t="shared" si="61"/>
        <v>-26211.061031073416</v>
      </c>
      <c r="L53" s="23">
        <f t="shared" si="61"/>
        <v>-27030.471837018038</v>
      </c>
      <c r="M53" s="23">
        <f t="shared" si="61"/>
        <v>-27038.76678207529</v>
      </c>
      <c r="N53" s="23">
        <f t="shared" si="61"/>
        <v>-26406.649852402774</v>
      </c>
      <c r="O53" s="23">
        <f t="shared" si="61"/>
        <v>-25877.989897642678</v>
      </c>
      <c r="P53" s="23">
        <f t="shared" si="61"/>
        <v>-26699.181872506502</v>
      </c>
      <c r="Q53" s="23">
        <f t="shared" si="61"/>
        <v>-27373.636987271526</v>
      </c>
      <c r="R53" s="23">
        <f t="shared" si="61"/>
        <v>-26772.953802120763</v>
      </c>
      <c r="S53" s="23">
        <f t="shared" si="61"/>
        <v>-27634.727499186909</v>
      </c>
      <c r="T53" s="23">
        <f t="shared" si="61"/>
        <v>-28359.659329188245</v>
      </c>
      <c r="U53" s="23">
        <f t="shared" si="61"/>
        <v>-29289.061416343837</v>
      </c>
      <c r="V53" s="23">
        <f t="shared" si="61"/>
        <v>-28149.258887840751</v>
      </c>
      <c r="W53" s="23">
        <f t="shared" si="61"/>
        <v>-28522.99967512365</v>
      </c>
      <c r="X53" s="23">
        <f t="shared" si="61"/>
        <v>-29259.195941127575</v>
      </c>
      <c r="Y53" s="23">
        <f t="shared" si="61"/>
        <v>-29127.894459914602</v>
      </c>
      <c r="Z53" s="23">
        <f t="shared" si="61"/>
        <v>-30105.551864309833</v>
      </c>
      <c r="AA53" s="23">
        <f t="shared" si="61"/>
        <v>-31123.314406750203</v>
      </c>
      <c r="AB53" s="23">
        <f t="shared" si="61"/>
        <v>-31623.589960793786</v>
      </c>
      <c r="AC53" s="23">
        <f t="shared" si="61"/>
        <v>-30095.02900024355</v>
      </c>
      <c r="AD53" s="23">
        <f t="shared" si="61"/>
        <v>-30974.520132259226</v>
      </c>
      <c r="AE53" s="23">
        <f t="shared" si="61"/>
        <v>-31814.118455105563</v>
      </c>
      <c r="AF53" s="23">
        <f t="shared" si="61"/>
        <v>-32920.35109697091</v>
      </c>
      <c r="AG53" s="23">
        <f t="shared" si="61"/>
        <v>-32554.092857882919</v>
      </c>
      <c r="AH53" s="23">
        <f t="shared" si="61"/>
        <v>-33479.998083126055</v>
      </c>
      <c r="AI53" s="23">
        <f t="shared" si="61"/>
        <v>-33617.728472139126</v>
      </c>
      <c r="AJ53" s="23">
        <f t="shared" si="61"/>
        <v>-33883.900642451139</v>
      </c>
      <c r="AK53" s="23">
        <f t="shared" si="61"/>
        <v>-35094.97265249653</v>
      </c>
      <c r="AL53" s="23">
        <f t="shared" si="61"/>
        <v>-35210.143805465086</v>
      </c>
      <c r="AM53" s="23">
        <f t="shared" si="60"/>
        <v>-35823.788072311167</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P304"/>
  <sheetViews>
    <sheetView showGridLines="0" zoomScaleNormal="100" workbookViewId="0">
      <pane xSplit="3" ySplit="4" topLeftCell="X5" activePane="bottomRight" state="frozen"/>
      <selection pane="topRight" activeCell="F16" sqref="F16"/>
      <selection pane="bottomLeft" activeCell="F16" sqref="F16"/>
      <selection pane="bottomRight" activeCell="X11" sqref="X11"/>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9</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35">SUM(D6 + D5)</f>
        <v>0</v>
      </c>
      <c r="E7" s="19">
        <f t="shared" ref="E7:AL7" si="36">SUM(E6 + E5)</f>
        <v>0</v>
      </c>
      <c r="F7" s="19">
        <f t="shared" si="36"/>
        <v>0</v>
      </c>
      <c r="G7" s="19">
        <f t="shared" si="36"/>
        <v>0</v>
      </c>
      <c r="H7" s="19">
        <f t="shared" si="36"/>
        <v>0</v>
      </c>
      <c r="I7" s="19">
        <f t="shared" si="36"/>
        <v>0</v>
      </c>
      <c r="J7" s="19">
        <f t="shared" si="36"/>
        <v>0</v>
      </c>
      <c r="K7" s="19">
        <f t="shared" si="36"/>
        <v>0</v>
      </c>
      <c r="L7" s="19">
        <f t="shared" si="36"/>
        <v>0</v>
      </c>
      <c r="M7" s="19">
        <f t="shared" si="36"/>
        <v>0</v>
      </c>
      <c r="N7" s="19">
        <f t="shared" si="36"/>
        <v>0</v>
      </c>
      <c r="O7" s="19">
        <f t="shared" si="36"/>
        <v>0</v>
      </c>
      <c r="P7" s="19">
        <f t="shared" si="36"/>
        <v>0</v>
      </c>
      <c r="Q7" s="19">
        <f t="shared" si="36"/>
        <v>0</v>
      </c>
      <c r="R7" s="19">
        <f t="shared" si="36"/>
        <v>0</v>
      </c>
      <c r="S7" s="19">
        <f t="shared" si="36"/>
        <v>0</v>
      </c>
      <c r="T7" s="19">
        <f t="shared" si="36"/>
        <v>0</v>
      </c>
      <c r="U7" s="19">
        <f t="shared" si="36"/>
        <v>0</v>
      </c>
      <c r="V7" s="19">
        <f t="shared" si="36"/>
        <v>0</v>
      </c>
      <c r="W7" s="19">
        <f t="shared" si="36"/>
        <v>0</v>
      </c>
      <c r="X7" s="19">
        <f t="shared" si="36"/>
        <v>0</v>
      </c>
      <c r="Y7" s="19">
        <f t="shared" si="36"/>
        <v>0</v>
      </c>
      <c r="Z7" s="19">
        <f t="shared" si="36"/>
        <v>0</v>
      </c>
      <c r="AA7" s="19">
        <f t="shared" si="36"/>
        <v>0</v>
      </c>
      <c r="AB7" s="19">
        <f t="shared" si="36"/>
        <v>0</v>
      </c>
      <c r="AC7" s="19">
        <f t="shared" si="36"/>
        <v>0</v>
      </c>
      <c r="AD7" s="19">
        <f t="shared" si="36"/>
        <v>0</v>
      </c>
      <c r="AE7" s="19">
        <f t="shared" si="36"/>
        <v>0</v>
      </c>
      <c r="AF7" s="19">
        <f t="shared" si="36"/>
        <v>0</v>
      </c>
      <c r="AG7" s="19">
        <f t="shared" si="36"/>
        <v>0</v>
      </c>
      <c r="AH7" s="19">
        <f t="shared" si="36"/>
        <v>0</v>
      </c>
      <c r="AI7" s="19">
        <f t="shared" si="36"/>
        <v>0</v>
      </c>
      <c r="AJ7" s="19">
        <f t="shared" si="36"/>
        <v>0</v>
      </c>
      <c r="AK7" s="19">
        <f t="shared" si="36"/>
        <v>0</v>
      </c>
      <c r="AL7" s="19">
        <f t="shared" si="36"/>
        <v>0</v>
      </c>
      <c r="AM7" s="19">
        <f t="shared" si="35"/>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37">SUM(D10, D9 + D8)</f>
        <v>0</v>
      </c>
      <c r="E11" s="19">
        <f t="shared" ref="E11:AL11" si="38">SUM(E10, E9 + E8)</f>
        <v>0</v>
      </c>
      <c r="F11" s="19">
        <f t="shared" si="38"/>
        <v>0</v>
      </c>
      <c r="G11" s="19">
        <f t="shared" si="38"/>
        <v>0</v>
      </c>
      <c r="H11" s="19">
        <f t="shared" si="38"/>
        <v>0</v>
      </c>
      <c r="I11" s="19">
        <f t="shared" si="38"/>
        <v>0</v>
      </c>
      <c r="J11" s="19">
        <f t="shared" si="38"/>
        <v>0</v>
      </c>
      <c r="K11" s="19">
        <f t="shared" si="38"/>
        <v>0</v>
      </c>
      <c r="L11" s="19">
        <f t="shared" si="38"/>
        <v>0</v>
      </c>
      <c r="M11" s="19">
        <f t="shared" si="38"/>
        <v>0</v>
      </c>
      <c r="N11" s="19">
        <f t="shared" si="38"/>
        <v>0</v>
      </c>
      <c r="O11" s="19">
        <f t="shared" si="38"/>
        <v>0</v>
      </c>
      <c r="P11" s="19">
        <f t="shared" si="38"/>
        <v>0</v>
      </c>
      <c r="Q11" s="19">
        <f t="shared" si="38"/>
        <v>0</v>
      </c>
      <c r="R11" s="19">
        <f t="shared" si="38"/>
        <v>0</v>
      </c>
      <c r="S11" s="19">
        <f t="shared" si="38"/>
        <v>0</v>
      </c>
      <c r="T11" s="19">
        <f t="shared" si="38"/>
        <v>0</v>
      </c>
      <c r="U11" s="19">
        <f t="shared" si="38"/>
        <v>0</v>
      </c>
      <c r="V11" s="19">
        <f t="shared" si="38"/>
        <v>0</v>
      </c>
      <c r="W11" s="19">
        <f t="shared" si="38"/>
        <v>0</v>
      </c>
      <c r="X11" s="19">
        <f t="shared" si="38"/>
        <v>0</v>
      </c>
      <c r="Y11" s="19">
        <f t="shared" si="38"/>
        <v>0</v>
      </c>
      <c r="Z11" s="19">
        <f t="shared" si="38"/>
        <v>0</v>
      </c>
      <c r="AA11" s="19">
        <f t="shared" si="38"/>
        <v>0</v>
      </c>
      <c r="AB11" s="19">
        <f t="shared" si="38"/>
        <v>0</v>
      </c>
      <c r="AC11" s="19">
        <f t="shared" si="38"/>
        <v>0</v>
      </c>
      <c r="AD11" s="19">
        <f t="shared" si="38"/>
        <v>0</v>
      </c>
      <c r="AE11" s="19">
        <f t="shared" si="38"/>
        <v>0</v>
      </c>
      <c r="AF11" s="19">
        <f t="shared" si="38"/>
        <v>0</v>
      </c>
      <c r="AG11" s="19">
        <f t="shared" si="38"/>
        <v>0</v>
      </c>
      <c r="AH11" s="19">
        <f t="shared" si="38"/>
        <v>0</v>
      </c>
      <c r="AI11" s="19">
        <f t="shared" si="38"/>
        <v>0</v>
      </c>
      <c r="AJ11" s="19">
        <f t="shared" si="38"/>
        <v>0</v>
      </c>
      <c r="AK11" s="19">
        <f t="shared" si="38"/>
        <v>0</v>
      </c>
      <c r="AL11" s="19">
        <f t="shared" si="38"/>
        <v>0</v>
      </c>
      <c r="AM11" s="19">
        <f t="shared" si="37"/>
        <v>0</v>
      </c>
    </row>
    <row r="12" spans="1:39" s="21" customFormat="1" ht="21" customHeight="1" x14ac:dyDescent="0.25">
      <c r="B12" s="5" t="s">
        <v>32</v>
      </c>
      <c r="C12" s="22"/>
      <c r="D12" s="23">
        <f t="shared" ref="D12:AM12" si="39">D7-D11</f>
        <v>0</v>
      </c>
      <c r="E12" s="23">
        <f t="shared" ref="E12:AL12" si="40">E7-E11</f>
        <v>0</v>
      </c>
      <c r="F12" s="23">
        <f t="shared" si="40"/>
        <v>0</v>
      </c>
      <c r="G12" s="23">
        <f t="shared" si="40"/>
        <v>0</v>
      </c>
      <c r="H12" s="23">
        <f t="shared" si="40"/>
        <v>0</v>
      </c>
      <c r="I12" s="23">
        <f t="shared" si="40"/>
        <v>0</v>
      </c>
      <c r="J12" s="23">
        <f t="shared" si="40"/>
        <v>0</v>
      </c>
      <c r="K12" s="23">
        <f t="shared" si="40"/>
        <v>0</v>
      </c>
      <c r="L12" s="23">
        <f t="shared" si="40"/>
        <v>0</v>
      </c>
      <c r="M12" s="23">
        <f t="shared" si="40"/>
        <v>0</v>
      </c>
      <c r="N12" s="23">
        <f t="shared" si="40"/>
        <v>0</v>
      </c>
      <c r="O12" s="23">
        <f t="shared" si="40"/>
        <v>0</v>
      </c>
      <c r="P12" s="23">
        <f t="shared" si="40"/>
        <v>0</v>
      </c>
      <c r="Q12" s="23">
        <f t="shared" si="40"/>
        <v>0</v>
      </c>
      <c r="R12" s="23">
        <f t="shared" si="40"/>
        <v>0</v>
      </c>
      <c r="S12" s="23">
        <f t="shared" si="40"/>
        <v>0</v>
      </c>
      <c r="T12" s="23">
        <f t="shared" si="40"/>
        <v>0</v>
      </c>
      <c r="U12" s="23">
        <f t="shared" si="40"/>
        <v>0</v>
      </c>
      <c r="V12" s="23">
        <f t="shared" si="40"/>
        <v>0</v>
      </c>
      <c r="W12" s="23">
        <f t="shared" si="40"/>
        <v>0</v>
      </c>
      <c r="X12" s="23">
        <f t="shared" si="40"/>
        <v>0</v>
      </c>
      <c r="Y12" s="23">
        <f t="shared" si="40"/>
        <v>0</v>
      </c>
      <c r="Z12" s="23">
        <f t="shared" si="40"/>
        <v>0</v>
      </c>
      <c r="AA12" s="23">
        <f t="shared" si="40"/>
        <v>0</v>
      </c>
      <c r="AB12" s="23">
        <f t="shared" si="40"/>
        <v>0</v>
      </c>
      <c r="AC12" s="23">
        <f t="shared" si="40"/>
        <v>0</v>
      </c>
      <c r="AD12" s="23">
        <f t="shared" si="40"/>
        <v>0</v>
      </c>
      <c r="AE12" s="23">
        <f t="shared" si="40"/>
        <v>0</v>
      </c>
      <c r="AF12" s="23">
        <f t="shared" si="40"/>
        <v>0</v>
      </c>
      <c r="AG12" s="23">
        <f t="shared" si="40"/>
        <v>0</v>
      </c>
      <c r="AH12" s="23">
        <f t="shared" si="40"/>
        <v>0</v>
      </c>
      <c r="AI12" s="23">
        <f t="shared" si="40"/>
        <v>0</v>
      </c>
      <c r="AJ12" s="23">
        <f t="shared" si="40"/>
        <v>0</v>
      </c>
      <c r="AK12" s="23">
        <f t="shared" si="40"/>
        <v>0</v>
      </c>
      <c r="AL12" s="23">
        <f t="shared" si="40"/>
        <v>0</v>
      </c>
      <c r="AM12" s="23">
        <f t="shared" si="39"/>
        <v>0</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c r="AL14" s="18">
        <v>0</v>
      </c>
      <c r="AM14" s="18">
        <v>0</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1500</v>
      </c>
      <c r="E16" s="18">
        <v>1545</v>
      </c>
      <c r="F16" s="18">
        <v>1591.3500000000001</v>
      </c>
      <c r="G16" s="18">
        <v>1639.0905000000002</v>
      </c>
      <c r="H16" s="18">
        <v>1688.2632150000004</v>
      </c>
      <c r="I16" s="18">
        <v>1738.9111114500004</v>
      </c>
      <c r="J16" s="18">
        <f>I16*(0.9)</f>
        <v>1565.0200003050004</v>
      </c>
      <c r="K16" s="18">
        <v>1611.9706003141505</v>
      </c>
      <c r="L16" s="18">
        <v>1660.329718323575</v>
      </c>
      <c r="M16" s="18">
        <v>1710.1396098732823</v>
      </c>
      <c r="N16" s="18">
        <v>1761.4437981694809</v>
      </c>
      <c r="O16" s="18">
        <v>1814.2871121145654</v>
      </c>
      <c r="P16" s="18">
        <v>1868.7157254780025</v>
      </c>
      <c r="Q16" s="18">
        <v>1924.7771972423425</v>
      </c>
      <c r="R16" s="18">
        <v>1982.5205131596128</v>
      </c>
      <c r="S16" s="18">
        <v>2041.9961285544014</v>
      </c>
      <c r="T16" s="18">
        <v>2103.2560124110337</v>
      </c>
      <c r="U16" s="18">
        <v>2166.3536927833647</v>
      </c>
      <c r="V16" s="18">
        <v>2231.3443035668656</v>
      </c>
      <c r="W16" s="18">
        <f>V16*(0.9)</f>
        <v>2008.209873210179</v>
      </c>
      <c r="X16" s="18">
        <v>2068.4561694064846</v>
      </c>
      <c r="Y16" s="18">
        <v>2130.5098544886791</v>
      </c>
      <c r="Z16" s="18">
        <v>2194.4251501233398</v>
      </c>
      <c r="AA16" s="18">
        <v>2260.2579046270403</v>
      </c>
      <c r="AB16" s="18">
        <v>2328.0656417658515</v>
      </c>
      <c r="AC16" s="18">
        <v>2397.9076110188271</v>
      </c>
      <c r="AD16" s="18">
        <v>2469.8448393493918</v>
      </c>
      <c r="AE16" s="18">
        <f>AD16*(0.9)</f>
        <v>2222.8603554144529</v>
      </c>
      <c r="AF16" s="18">
        <v>2289.5461660768865</v>
      </c>
      <c r="AG16" s="18">
        <v>2358.2325510591932</v>
      </c>
      <c r="AH16" s="18">
        <v>2428.9795275909692</v>
      </c>
      <c r="AI16" s="18">
        <v>2501.8489134186984</v>
      </c>
      <c r="AJ16" s="18">
        <v>2576.9043808212596</v>
      </c>
      <c r="AK16" s="18">
        <v>2654.2115122458972</v>
      </c>
      <c r="AL16" s="18">
        <f>AK16*(0.9)</f>
        <v>2388.7903610213075</v>
      </c>
      <c r="AM16" s="18">
        <v>2460.454071851947</v>
      </c>
    </row>
    <row r="17" spans="2:39" s="17" customFormat="1" ht="21" customHeight="1" x14ac:dyDescent="0.25">
      <c r="B17" s="4" t="s">
        <v>37</v>
      </c>
      <c r="C17" s="15"/>
      <c r="D17" s="18">
        <v>4500</v>
      </c>
      <c r="E17" s="18">
        <v>4590</v>
      </c>
      <c r="F17" s="18">
        <v>4681.8</v>
      </c>
      <c r="G17" s="18">
        <f>F17*(0.7)</f>
        <v>3277.2599999999998</v>
      </c>
      <c r="H17" s="18">
        <v>3342.8051999999998</v>
      </c>
      <c r="I17" s="18">
        <v>3409.6613039999997</v>
      </c>
      <c r="J17" s="18">
        <v>3477.8545300799997</v>
      </c>
      <c r="K17" s="18">
        <v>3547.4116206815997</v>
      </c>
      <c r="L17" s="18">
        <v>3618.3598530952318</v>
      </c>
      <c r="M17" s="18">
        <v>3690.7270501571365</v>
      </c>
      <c r="N17" s="18">
        <v>3764.5415911602795</v>
      </c>
      <c r="O17" s="18">
        <v>3839.8324229834852</v>
      </c>
      <c r="P17" s="18">
        <v>3916.6290714431552</v>
      </c>
      <c r="Q17" s="18">
        <v>3994.9616528720185</v>
      </c>
      <c r="R17" s="18">
        <f>Q17*(0.7)</f>
        <v>2796.4731570104127</v>
      </c>
      <c r="S17" s="18">
        <v>2852.4026201506208</v>
      </c>
      <c r="T17" s="18">
        <v>2909.4506725536335</v>
      </c>
      <c r="U17" s="18">
        <v>2967.6396860047062</v>
      </c>
      <c r="V17" s="18">
        <v>3026.9924797248004</v>
      </c>
      <c r="W17" s="18">
        <v>3087.5323293192964</v>
      </c>
      <c r="X17" s="18">
        <v>3149.2829759056826</v>
      </c>
      <c r="Y17" s="18">
        <v>3212.2686354237962</v>
      </c>
      <c r="Z17" s="18">
        <v>3276.514008132272</v>
      </c>
      <c r="AA17" s="18">
        <v>3342.0442882949174</v>
      </c>
      <c r="AB17" s="18">
        <f>AA17*(0.7)</f>
        <v>2339.4310018064421</v>
      </c>
      <c r="AC17" s="18">
        <v>2386.2196218425711</v>
      </c>
      <c r="AD17" s="18">
        <v>2433.9440142794224</v>
      </c>
      <c r="AE17" s="18">
        <v>2482.6228945650109</v>
      </c>
      <c r="AF17" s="18">
        <v>2532.2753524563113</v>
      </c>
      <c r="AG17" s="18">
        <v>2582.9208595054374</v>
      </c>
      <c r="AH17" s="18">
        <v>2634.579276695546</v>
      </c>
      <c r="AI17" s="18">
        <v>2687.2708622294572</v>
      </c>
      <c r="AJ17" s="18">
        <f>AI17*(0.7)</f>
        <v>1881.0896035606199</v>
      </c>
      <c r="AK17" s="18">
        <v>1918.7113956318324</v>
      </c>
      <c r="AL17" s="18">
        <v>1957.0856235444689</v>
      </c>
      <c r="AM17" s="18">
        <v>1996.2273360153583</v>
      </c>
    </row>
    <row r="18" spans="2:39" s="17" customFormat="1" ht="21" customHeight="1" x14ac:dyDescent="0.25">
      <c r="B18" s="4" t="s">
        <v>38</v>
      </c>
      <c r="C18" s="15"/>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800</v>
      </c>
      <c r="E20" s="18">
        <v>840</v>
      </c>
      <c r="F20" s="18">
        <v>882</v>
      </c>
      <c r="G20" s="18">
        <v>926.1</v>
      </c>
      <c r="H20" s="18">
        <v>972.40500000000009</v>
      </c>
      <c r="I20" s="18">
        <v>1021.0252500000001</v>
      </c>
      <c r="J20" s="18">
        <v>1072.0765125000003</v>
      </c>
      <c r="K20" s="18">
        <v>1125.6803381250004</v>
      </c>
      <c r="L20" s="18">
        <v>1181.9643550312505</v>
      </c>
      <c r="M20" s="18">
        <v>1241.062572782813</v>
      </c>
      <c r="N20" s="18">
        <v>1303.1157014219536</v>
      </c>
      <c r="O20" s="18">
        <v>1368.2714864930515</v>
      </c>
      <c r="P20" s="18">
        <v>1436.6850608177042</v>
      </c>
      <c r="Q20" s="18">
        <v>1508.5193138585894</v>
      </c>
      <c r="R20" s="18">
        <v>1583.945279551519</v>
      </c>
      <c r="S20" s="18">
        <v>1663.1425435290951</v>
      </c>
      <c r="T20" s="18">
        <v>1746.2996707055499</v>
      </c>
      <c r="U20" s="18">
        <v>1833.6146542408276</v>
      </c>
      <c r="V20" s="18">
        <v>1925.295386952869</v>
      </c>
      <c r="W20" s="18">
        <v>2021.5601563005125</v>
      </c>
      <c r="X20" s="18">
        <v>2122.6381641155381</v>
      </c>
      <c r="Y20" s="18">
        <v>2228.7700723213152</v>
      </c>
      <c r="Z20" s="18">
        <v>2340.2085759373808</v>
      </c>
      <c r="AA20" s="18">
        <v>2457.2190047342501</v>
      </c>
      <c r="AB20" s="18">
        <v>2580.0799549709627</v>
      </c>
      <c r="AC20" s="18">
        <v>2709.0839527195108</v>
      </c>
      <c r="AD20" s="18">
        <v>2844.5381503554863</v>
      </c>
      <c r="AE20" s="18">
        <v>2986.765057873261</v>
      </c>
      <c r="AF20" s="18">
        <v>3136.1033107669241</v>
      </c>
      <c r="AG20" s="18">
        <v>3292.9084763052706</v>
      </c>
      <c r="AH20" s="18">
        <v>3457.5539001205343</v>
      </c>
      <c r="AI20" s="18">
        <v>3630.4315951265612</v>
      </c>
      <c r="AJ20" s="18">
        <v>3811.9531748828895</v>
      </c>
      <c r="AK20" s="18">
        <v>4002.5508336270341</v>
      </c>
      <c r="AL20" s="18">
        <v>4202.6783753083855</v>
      </c>
      <c r="AM20" s="18">
        <v>4412.8122940738049</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 t="shared" ref="D23:AM23" si="41">SUM(D22, D21, D20 + D19)</f>
        <v>800</v>
      </c>
      <c r="E23" s="19">
        <f t="shared" ref="E23:AL23" si="42">SUM(E22, E21, E20 + E19)</f>
        <v>840</v>
      </c>
      <c r="F23" s="19">
        <f t="shared" si="42"/>
        <v>882</v>
      </c>
      <c r="G23" s="19">
        <f t="shared" si="42"/>
        <v>926.1</v>
      </c>
      <c r="H23" s="19">
        <f t="shared" si="42"/>
        <v>972.40500000000009</v>
      </c>
      <c r="I23" s="19">
        <f t="shared" si="42"/>
        <v>1021.0252500000001</v>
      </c>
      <c r="J23" s="19">
        <f t="shared" si="42"/>
        <v>1072.0765125000003</v>
      </c>
      <c r="K23" s="19">
        <f t="shared" si="42"/>
        <v>1125.6803381250004</v>
      </c>
      <c r="L23" s="19">
        <f t="shared" si="42"/>
        <v>1181.9643550312505</v>
      </c>
      <c r="M23" s="19">
        <f t="shared" si="42"/>
        <v>1241.062572782813</v>
      </c>
      <c r="N23" s="19">
        <f t="shared" si="42"/>
        <v>1303.1157014219536</v>
      </c>
      <c r="O23" s="19">
        <f t="shared" si="42"/>
        <v>1368.2714864930515</v>
      </c>
      <c r="P23" s="19">
        <f t="shared" si="42"/>
        <v>1436.6850608177042</v>
      </c>
      <c r="Q23" s="19">
        <f t="shared" si="42"/>
        <v>1508.5193138585894</v>
      </c>
      <c r="R23" s="19">
        <f t="shared" si="42"/>
        <v>1583.945279551519</v>
      </c>
      <c r="S23" s="19">
        <f t="shared" si="42"/>
        <v>1663.1425435290951</v>
      </c>
      <c r="T23" s="19">
        <f t="shared" si="42"/>
        <v>1746.2996707055499</v>
      </c>
      <c r="U23" s="19">
        <f t="shared" si="42"/>
        <v>1833.6146542408276</v>
      </c>
      <c r="V23" s="19">
        <f t="shared" si="42"/>
        <v>1925.295386952869</v>
      </c>
      <c r="W23" s="19">
        <f t="shared" si="42"/>
        <v>2021.5601563005125</v>
      </c>
      <c r="X23" s="19">
        <f t="shared" si="42"/>
        <v>2122.6381641155381</v>
      </c>
      <c r="Y23" s="19">
        <f t="shared" si="42"/>
        <v>2228.7700723213152</v>
      </c>
      <c r="Z23" s="19">
        <f t="shared" si="42"/>
        <v>2340.2085759373808</v>
      </c>
      <c r="AA23" s="19">
        <f t="shared" si="42"/>
        <v>2457.2190047342501</v>
      </c>
      <c r="AB23" s="19">
        <f t="shared" si="42"/>
        <v>2580.0799549709627</v>
      </c>
      <c r="AC23" s="19">
        <f t="shared" si="42"/>
        <v>2709.0839527195108</v>
      </c>
      <c r="AD23" s="19">
        <f t="shared" si="42"/>
        <v>2844.5381503554863</v>
      </c>
      <c r="AE23" s="19">
        <f t="shared" si="42"/>
        <v>2986.765057873261</v>
      </c>
      <c r="AF23" s="19">
        <f t="shared" si="42"/>
        <v>3136.1033107669241</v>
      </c>
      <c r="AG23" s="19">
        <f t="shared" si="42"/>
        <v>3292.9084763052706</v>
      </c>
      <c r="AH23" s="19">
        <f t="shared" si="42"/>
        <v>3457.5539001205343</v>
      </c>
      <c r="AI23" s="19">
        <f t="shared" si="42"/>
        <v>3630.4315951265612</v>
      </c>
      <c r="AJ23" s="19">
        <f t="shared" si="42"/>
        <v>3811.9531748828895</v>
      </c>
      <c r="AK23" s="19">
        <f t="shared" si="42"/>
        <v>4002.5508336270341</v>
      </c>
      <c r="AL23" s="19">
        <f t="shared" si="42"/>
        <v>4202.6783753083855</v>
      </c>
      <c r="AM23" s="19">
        <f t="shared" si="41"/>
        <v>4412.8122940738049</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row>
    <row r="28" spans="2:39" s="17" customFormat="1" ht="21" customHeight="1" x14ac:dyDescent="0.25">
      <c r="B28" s="7" t="s">
        <v>48</v>
      </c>
      <c r="C28" s="15"/>
      <c r="D28" s="18">
        <v>600</v>
      </c>
      <c r="E28" s="18">
        <v>648</v>
      </c>
      <c r="F28" s="18">
        <v>699.84</v>
      </c>
      <c r="G28" s="18">
        <v>755.82720000000006</v>
      </c>
      <c r="H28" s="18">
        <v>816.29337600000008</v>
      </c>
      <c r="I28" s="18">
        <v>881.59684608000009</v>
      </c>
      <c r="J28" s="18">
        <v>952.12459376640015</v>
      </c>
      <c r="K28" s="18">
        <v>1028.2945612677122</v>
      </c>
      <c r="L28" s="18">
        <v>1110.5581261691293</v>
      </c>
      <c r="M28" s="18">
        <v>1199.4027762626597</v>
      </c>
      <c r="N28" s="18">
        <v>1295.3549983636726</v>
      </c>
      <c r="O28" s="18">
        <v>1398.9833982327666</v>
      </c>
      <c r="P28" s="18">
        <v>1510.9020700913879</v>
      </c>
      <c r="Q28" s="18">
        <v>1631.7742356986992</v>
      </c>
      <c r="R28" s="18">
        <v>1762.3161745545951</v>
      </c>
      <c r="S28" s="18">
        <v>1903.3014685189628</v>
      </c>
      <c r="T28" s="18">
        <v>2055.5655860004799</v>
      </c>
      <c r="U28" s="18">
        <v>2220.0108328805186</v>
      </c>
      <c r="V28" s="18">
        <v>2397.6116995109601</v>
      </c>
      <c r="W28" s="18">
        <v>2589.4206354718372</v>
      </c>
      <c r="X28" s="18">
        <v>2796.5742863095843</v>
      </c>
      <c r="Y28" s="18">
        <v>3020.300229214351</v>
      </c>
      <c r="Z28" s="18">
        <v>3261.9242475514993</v>
      </c>
      <c r="AA28" s="18">
        <v>3522.8781873556195</v>
      </c>
      <c r="AB28" s="18">
        <v>3804.7084423440692</v>
      </c>
      <c r="AC28" s="18">
        <v>4109.0851177315953</v>
      </c>
      <c r="AD28" s="18">
        <v>4437.8119271501237</v>
      </c>
      <c r="AE28" s="18">
        <v>4792.8368813221341</v>
      </c>
      <c r="AF28" s="18">
        <v>5176.2638318279051</v>
      </c>
      <c r="AG28" s="18">
        <v>5590.3649383741376</v>
      </c>
      <c r="AH28" s="18">
        <v>6037.5941334440695</v>
      </c>
      <c r="AI28" s="18">
        <v>6520.6016641195956</v>
      </c>
      <c r="AJ28" s="18">
        <v>7042.2497972491637</v>
      </c>
      <c r="AK28" s="18">
        <v>7605.6297810290971</v>
      </c>
      <c r="AL28" s="18">
        <v>8214.0801635114258</v>
      </c>
      <c r="AM28" s="18">
        <v>8871.2065765923398</v>
      </c>
    </row>
    <row r="29" spans="2:39" s="17" customFormat="1" ht="21" customHeight="1" x14ac:dyDescent="0.25">
      <c r="B29" s="6" t="s">
        <v>49</v>
      </c>
      <c r="C29" s="15"/>
      <c r="D29" s="19">
        <f t="shared" ref="D29:AM29" si="43">SUM(D28, D27, D26, D25 + D24)</f>
        <v>600</v>
      </c>
      <c r="E29" s="19">
        <f t="shared" ref="E29:AL29" si="44">SUM(E28, E27, E26, E25 + E24)</f>
        <v>648</v>
      </c>
      <c r="F29" s="19">
        <f t="shared" si="44"/>
        <v>699.84</v>
      </c>
      <c r="G29" s="19">
        <f t="shared" si="44"/>
        <v>755.82720000000006</v>
      </c>
      <c r="H29" s="19">
        <f t="shared" si="44"/>
        <v>816.29337600000008</v>
      </c>
      <c r="I29" s="19">
        <f t="shared" si="44"/>
        <v>881.59684608000009</v>
      </c>
      <c r="J29" s="19">
        <f t="shared" si="44"/>
        <v>952.12459376640015</v>
      </c>
      <c r="K29" s="19">
        <f t="shared" si="44"/>
        <v>1028.2945612677122</v>
      </c>
      <c r="L29" s="19">
        <f t="shared" si="44"/>
        <v>1110.5581261691293</v>
      </c>
      <c r="M29" s="19">
        <f t="shared" si="44"/>
        <v>1199.4027762626597</v>
      </c>
      <c r="N29" s="19">
        <f t="shared" si="44"/>
        <v>1295.3549983636726</v>
      </c>
      <c r="O29" s="19">
        <f t="shared" si="44"/>
        <v>1398.9833982327666</v>
      </c>
      <c r="P29" s="19">
        <f t="shared" si="44"/>
        <v>1510.9020700913879</v>
      </c>
      <c r="Q29" s="19">
        <f t="shared" si="44"/>
        <v>1631.7742356986992</v>
      </c>
      <c r="R29" s="19">
        <f t="shared" si="44"/>
        <v>1762.3161745545951</v>
      </c>
      <c r="S29" s="19">
        <f t="shared" si="44"/>
        <v>1903.3014685189628</v>
      </c>
      <c r="T29" s="19">
        <f t="shared" si="44"/>
        <v>2055.5655860004799</v>
      </c>
      <c r="U29" s="19">
        <f t="shared" si="44"/>
        <v>2220.0108328805186</v>
      </c>
      <c r="V29" s="19">
        <f t="shared" si="44"/>
        <v>2397.6116995109601</v>
      </c>
      <c r="W29" s="19">
        <f t="shared" si="44"/>
        <v>2589.4206354718372</v>
      </c>
      <c r="X29" s="19">
        <f t="shared" si="44"/>
        <v>2796.5742863095843</v>
      </c>
      <c r="Y29" s="19">
        <f t="shared" si="44"/>
        <v>3020.300229214351</v>
      </c>
      <c r="Z29" s="19">
        <f t="shared" si="44"/>
        <v>3261.9242475514993</v>
      </c>
      <c r="AA29" s="19">
        <f t="shared" si="44"/>
        <v>3522.8781873556195</v>
      </c>
      <c r="AB29" s="19">
        <f t="shared" si="44"/>
        <v>3804.7084423440692</v>
      </c>
      <c r="AC29" s="19">
        <f t="shared" si="44"/>
        <v>4109.0851177315953</v>
      </c>
      <c r="AD29" s="19">
        <f t="shared" si="44"/>
        <v>4437.8119271501237</v>
      </c>
      <c r="AE29" s="19">
        <f t="shared" si="44"/>
        <v>4792.8368813221341</v>
      </c>
      <c r="AF29" s="19">
        <f t="shared" si="44"/>
        <v>5176.2638318279051</v>
      </c>
      <c r="AG29" s="19">
        <f t="shared" si="44"/>
        <v>5590.3649383741376</v>
      </c>
      <c r="AH29" s="19">
        <f t="shared" si="44"/>
        <v>6037.5941334440695</v>
      </c>
      <c r="AI29" s="19">
        <f t="shared" si="44"/>
        <v>6520.6016641195956</v>
      </c>
      <c r="AJ29" s="19">
        <f t="shared" si="44"/>
        <v>7042.2497972491637</v>
      </c>
      <c r="AK29" s="19">
        <f t="shared" si="44"/>
        <v>7605.6297810290971</v>
      </c>
      <c r="AL29" s="19">
        <f t="shared" si="44"/>
        <v>8214.0801635114258</v>
      </c>
      <c r="AM29" s="19">
        <f t="shared" si="43"/>
        <v>8871.2065765923398</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6000</v>
      </c>
      <c r="E31" s="18">
        <v>6420</v>
      </c>
      <c r="F31" s="18">
        <v>6869.4000000000005</v>
      </c>
      <c r="G31" s="18">
        <v>7350.2580000000007</v>
      </c>
      <c r="H31" s="18">
        <f>G31*(0.7)</f>
        <v>5145.1806000000006</v>
      </c>
      <c r="I31" s="18">
        <v>5505.3432420000008</v>
      </c>
      <c r="J31" s="18">
        <v>5890.7172689400013</v>
      </c>
      <c r="K31" s="18">
        <v>6303.0674777658014</v>
      </c>
      <c r="L31" s="18">
        <v>6744.2822012094075</v>
      </c>
      <c r="M31" s="18">
        <v>7216.3819552940668</v>
      </c>
      <c r="N31" s="18">
        <v>7721.5286921646521</v>
      </c>
      <c r="O31" s="18">
        <v>8262.0357006161776</v>
      </c>
      <c r="P31" s="18">
        <v>8840.3781996593098</v>
      </c>
      <c r="Q31" s="18">
        <v>9459.2046736354623</v>
      </c>
      <c r="R31" s="18">
        <v>10121.349000789945</v>
      </c>
      <c r="S31" s="18">
        <v>10829.843430845242</v>
      </c>
      <c r="T31" s="18">
        <v>11587.932471004409</v>
      </c>
      <c r="U31" s="18">
        <f>T31*(0.7)</f>
        <v>8111.5527297030858</v>
      </c>
      <c r="V31" s="18">
        <v>8679.361420782303</v>
      </c>
      <c r="W31" s="18">
        <v>9286.9167202370645</v>
      </c>
      <c r="X31" s="18">
        <v>9937.0008906536605</v>
      </c>
      <c r="Y31" s="18">
        <v>10632.590952999417</v>
      </c>
      <c r="Z31" s="18">
        <v>11376.872319709377</v>
      </c>
      <c r="AA31" s="18">
        <v>12173.253382089033</v>
      </c>
      <c r="AB31" s="18">
        <f t="shared" ref="AB31:AC31" si="45">AA31*(0.7)</f>
        <v>8521.2773674623222</v>
      </c>
      <c r="AC31" s="18">
        <f t="shared" si="45"/>
        <v>5964.8941572236254</v>
      </c>
      <c r="AD31" s="18">
        <v>6382.4367482292791</v>
      </c>
      <c r="AE31" s="18">
        <v>6829.2073206053292</v>
      </c>
      <c r="AF31" s="18">
        <v>7307.2518330477023</v>
      </c>
      <c r="AG31" s="18">
        <v>7818.7594613610418</v>
      </c>
      <c r="AH31" s="18">
        <v>8366.072623656315</v>
      </c>
      <c r="AI31" s="18">
        <v>8951.697707312258</v>
      </c>
      <c r="AJ31" s="18">
        <v>9578.3165468241168</v>
      </c>
      <c r="AK31" s="18">
        <f>AJ31*(0.7)</f>
        <v>6704.8215827768818</v>
      </c>
      <c r="AL31" s="18">
        <v>7174.1590935712638</v>
      </c>
      <c r="AM31" s="18">
        <v>7676.3502301212529</v>
      </c>
    </row>
    <row r="32" spans="2:39" s="17" customFormat="1" ht="21" customHeight="1" x14ac:dyDescent="0.25">
      <c r="B32" s="7" t="s">
        <v>52</v>
      </c>
      <c r="C32" s="15"/>
      <c r="D32" s="18">
        <f>D31*0.1</f>
        <v>600</v>
      </c>
      <c r="E32" s="18">
        <v>624</v>
      </c>
      <c r="F32" s="18">
        <v>648.96</v>
      </c>
      <c r="G32" s="18">
        <v>674.91840000000002</v>
      </c>
      <c r="H32" s="18">
        <v>701.91513600000008</v>
      </c>
      <c r="I32" s="18">
        <v>729.99174144000006</v>
      </c>
      <c r="J32" s="18">
        <v>759.19141109760005</v>
      </c>
      <c r="K32" s="18">
        <v>789.55906754150408</v>
      </c>
      <c r="L32" s="18">
        <v>821.14143024316422</v>
      </c>
      <c r="M32" s="18">
        <v>853.98708745289082</v>
      </c>
      <c r="N32" s="18">
        <v>888.14657095100654</v>
      </c>
      <c r="O32" s="18">
        <v>923.67243378904686</v>
      </c>
      <c r="P32" s="18">
        <v>960.61933114060878</v>
      </c>
      <c r="Q32" s="18">
        <v>999.04410438623313</v>
      </c>
      <c r="R32" s="18">
        <v>1039.0058685616825</v>
      </c>
      <c r="S32" s="18">
        <v>1080.5661033041499</v>
      </c>
      <c r="T32" s="18">
        <v>1123.788747436316</v>
      </c>
      <c r="U32" s="18">
        <v>1168.7402973337687</v>
      </c>
      <c r="V32" s="18">
        <v>1215.4899092271196</v>
      </c>
      <c r="W32" s="18">
        <v>1264.1095055962044</v>
      </c>
      <c r="X32" s="18">
        <v>1314.6738858200526</v>
      </c>
      <c r="Y32" s="18">
        <v>1367.2608412528548</v>
      </c>
      <c r="Z32" s="18">
        <v>1421.9512749029691</v>
      </c>
      <c r="AA32" s="18">
        <v>1478.829325899088</v>
      </c>
      <c r="AB32" s="18">
        <v>1537.9824989350516</v>
      </c>
      <c r="AC32" s="18">
        <v>1599.5017988924537</v>
      </c>
      <c r="AD32" s="18">
        <v>1663.4818708481519</v>
      </c>
      <c r="AE32" s="18">
        <v>1730.021145682078</v>
      </c>
      <c r="AF32" s="18">
        <v>1799.2219915093613</v>
      </c>
      <c r="AG32" s="18">
        <v>1871.1908711697358</v>
      </c>
      <c r="AH32" s="18">
        <v>1946.0385060165254</v>
      </c>
      <c r="AI32" s="18">
        <v>2023.8800462571865</v>
      </c>
      <c r="AJ32" s="18">
        <v>2104.8352481074739</v>
      </c>
      <c r="AK32" s="18">
        <v>2189.0286580317729</v>
      </c>
      <c r="AL32" s="18">
        <v>2276.5898043530437</v>
      </c>
      <c r="AM32" s="18">
        <v>2367.6533965271656</v>
      </c>
    </row>
    <row r="33" spans="2:39" s="17" customFormat="1" ht="21" customHeight="1" x14ac:dyDescent="0.25">
      <c r="B33" s="7" t="s">
        <v>53</v>
      </c>
      <c r="C33" s="15"/>
      <c r="D33" s="18">
        <v>550</v>
      </c>
      <c r="E33" s="18">
        <v>572</v>
      </c>
      <c r="F33" s="18">
        <v>594.88</v>
      </c>
      <c r="G33" s="18">
        <v>618.67520000000002</v>
      </c>
      <c r="H33" s="18">
        <v>643.42220800000007</v>
      </c>
      <c r="I33" s="18">
        <v>669.15909632000012</v>
      </c>
      <c r="J33" s="18">
        <v>695.92546017280017</v>
      </c>
      <c r="K33" s="18">
        <v>723.76247857971225</v>
      </c>
      <c r="L33" s="18">
        <v>752.71297772290075</v>
      </c>
      <c r="M33" s="18">
        <v>782.82149683181683</v>
      </c>
      <c r="N33" s="18">
        <v>814.13435670508954</v>
      </c>
      <c r="O33" s="18">
        <v>846.69973097329319</v>
      </c>
      <c r="P33" s="18">
        <v>880.56772021222491</v>
      </c>
      <c r="Q33" s="18">
        <v>915.79042902071399</v>
      </c>
      <c r="R33" s="18">
        <v>952.42204618154256</v>
      </c>
      <c r="S33" s="18">
        <v>990.51892802880434</v>
      </c>
      <c r="T33" s="18">
        <v>1030.1396851499564</v>
      </c>
      <c r="U33" s="18">
        <v>1071.3452725559548</v>
      </c>
      <c r="V33" s="18">
        <v>1114.1990834581929</v>
      </c>
      <c r="W33" s="18">
        <v>1158.7670467965206</v>
      </c>
      <c r="X33" s="18">
        <v>1205.1177286683815</v>
      </c>
      <c r="Y33" s="18">
        <v>1253.3224378151167</v>
      </c>
      <c r="Z33" s="18">
        <v>1303.4553353277215</v>
      </c>
      <c r="AA33" s="18">
        <v>1355.5935487408303</v>
      </c>
      <c r="AB33" s="18">
        <v>1409.8172906904636</v>
      </c>
      <c r="AC33" s="18">
        <v>1466.2099823180822</v>
      </c>
      <c r="AD33" s="18">
        <v>1524.8583816108055</v>
      </c>
      <c r="AE33" s="18">
        <v>1585.8527168752378</v>
      </c>
      <c r="AF33" s="18">
        <v>1649.2868255502474</v>
      </c>
      <c r="AG33" s="18">
        <v>1715.2582985722574</v>
      </c>
      <c r="AH33" s="18">
        <v>1783.8686305151477</v>
      </c>
      <c r="AI33" s="18">
        <v>1855.2233757357537</v>
      </c>
      <c r="AJ33" s="18">
        <v>1929.432310765184</v>
      </c>
      <c r="AK33" s="18">
        <v>2006.6096031957914</v>
      </c>
      <c r="AL33" s="18">
        <v>2086.8739873236232</v>
      </c>
      <c r="AM33" s="18">
        <v>2170.3489468165681</v>
      </c>
    </row>
    <row r="34" spans="2:39" s="17" customFormat="1" ht="21" customHeight="1" x14ac:dyDescent="0.25">
      <c r="B34" s="7" t="s">
        <v>54</v>
      </c>
      <c r="C34" s="15"/>
      <c r="D34" s="18">
        <v>57.375</v>
      </c>
      <c r="E34" s="18">
        <v>59.67</v>
      </c>
      <c r="F34" s="18">
        <v>62.056800000000003</v>
      </c>
      <c r="G34" s="18">
        <v>64.539072000000004</v>
      </c>
      <c r="H34" s="18">
        <v>67.120634880000011</v>
      </c>
      <c r="I34" s="18">
        <v>69.805460275200019</v>
      </c>
      <c r="J34" s="18">
        <v>72.597678686208027</v>
      </c>
      <c r="K34" s="18">
        <v>75.50158583365635</v>
      </c>
      <c r="L34" s="18">
        <v>78.521649267002601</v>
      </c>
      <c r="M34" s="18">
        <v>81.662515237682712</v>
      </c>
      <c r="N34" s="18">
        <v>84.92901584719003</v>
      </c>
      <c r="O34" s="18">
        <v>88.326176481077638</v>
      </c>
      <c r="P34" s="18">
        <v>91.859223540320741</v>
      </c>
      <c r="Q34" s="18">
        <v>95.533592481933567</v>
      </c>
      <c r="R34" s="18">
        <v>99.354936181210917</v>
      </c>
      <c r="S34" s="18">
        <v>103.32913362845936</v>
      </c>
      <c r="T34" s="18">
        <v>107.46229897359774</v>
      </c>
      <c r="U34" s="18">
        <v>111.76079093254165</v>
      </c>
      <c r="V34" s="18">
        <v>116.23122256984333</v>
      </c>
      <c r="W34" s="18">
        <v>120.88047147263707</v>
      </c>
      <c r="X34" s="18">
        <v>125.71569033154256</v>
      </c>
      <c r="Y34" s="18">
        <v>130.74431794480427</v>
      </c>
      <c r="Z34" s="18">
        <v>135.97409066259644</v>
      </c>
      <c r="AA34" s="18">
        <v>141.4130542891003</v>
      </c>
      <c r="AB34" s="18">
        <v>147.06957646066431</v>
      </c>
      <c r="AC34" s="18">
        <v>152.95235951909089</v>
      </c>
      <c r="AD34" s="18">
        <v>159.07045389985453</v>
      </c>
      <c r="AE34" s="18">
        <v>165.4332720558487</v>
      </c>
      <c r="AF34" s="18">
        <v>172.05060293808265</v>
      </c>
      <c r="AG34" s="18">
        <v>178.93262705560596</v>
      </c>
      <c r="AH34" s="18">
        <v>186.0899321378302</v>
      </c>
      <c r="AI34" s="18">
        <v>193.53352942334342</v>
      </c>
      <c r="AJ34" s="18">
        <v>201.27487060027715</v>
      </c>
      <c r="AK34" s="18">
        <v>209.32586542428825</v>
      </c>
      <c r="AL34" s="18">
        <v>217.6989000412598</v>
      </c>
      <c r="AM34" s="18">
        <v>226.40685604291019</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46">SUM(D35, D34, D33, D32, D31 + D30)</f>
        <v>7207.375</v>
      </c>
      <c r="E36" s="19">
        <f t="shared" ref="E36:AL36" si="47">SUM(E35, E34, E33, E32, E31 + E30)</f>
        <v>7675.67</v>
      </c>
      <c r="F36" s="19">
        <f t="shared" si="47"/>
        <v>8175.2968000000001</v>
      </c>
      <c r="G36" s="19">
        <f t="shared" si="47"/>
        <v>8708.3906720000014</v>
      </c>
      <c r="H36" s="19">
        <f t="shared" si="47"/>
        <v>6557.6385788800008</v>
      </c>
      <c r="I36" s="19">
        <f t="shared" si="47"/>
        <v>6974.2995400352011</v>
      </c>
      <c r="J36" s="19">
        <f t="shared" si="47"/>
        <v>7418.4318188966099</v>
      </c>
      <c r="K36" s="19">
        <f t="shared" si="47"/>
        <v>7891.8906097206745</v>
      </c>
      <c r="L36" s="19">
        <f t="shared" si="47"/>
        <v>8396.6582584424759</v>
      </c>
      <c r="M36" s="19">
        <f t="shared" si="47"/>
        <v>8934.8530548164563</v>
      </c>
      <c r="N36" s="19">
        <f t="shared" si="47"/>
        <v>9508.7386356679381</v>
      </c>
      <c r="O36" s="19">
        <f t="shared" si="47"/>
        <v>10120.734041859596</v>
      </c>
      <c r="P36" s="19">
        <f t="shared" si="47"/>
        <v>10773.424474552465</v>
      </c>
      <c r="Q36" s="19">
        <f t="shared" si="47"/>
        <v>11469.572799524343</v>
      </c>
      <c r="R36" s="19">
        <f t="shared" si="47"/>
        <v>12212.131851714381</v>
      </c>
      <c r="S36" s="19">
        <f t="shared" si="47"/>
        <v>13004.257595806655</v>
      </c>
      <c r="T36" s="19">
        <f t="shared" si="47"/>
        <v>13849.323202564279</v>
      </c>
      <c r="U36" s="19">
        <f t="shared" si="47"/>
        <v>10463.39909052535</v>
      </c>
      <c r="V36" s="19">
        <f t="shared" si="47"/>
        <v>11125.28163603746</v>
      </c>
      <c r="W36" s="19">
        <f t="shared" si="47"/>
        <v>11830.673744102427</v>
      </c>
      <c r="X36" s="19">
        <f t="shared" si="47"/>
        <v>12582.508195473638</v>
      </c>
      <c r="Y36" s="19">
        <f t="shared" si="47"/>
        <v>13383.918550012193</v>
      </c>
      <c r="Z36" s="19">
        <f t="shared" si="47"/>
        <v>14238.253020602664</v>
      </c>
      <c r="AA36" s="19">
        <f t="shared" si="47"/>
        <v>15149.089311018051</v>
      </c>
      <c r="AB36" s="19">
        <f t="shared" si="47"/>
        <v>11616.146733548501</v>
      </c>
      <c r="AC36" s="19">
        <f t="shared" si="47"/>
        <v>9183.5582979532519</v>
      </c>
      <c r="AD36" s="19">
        <f t="shared" si="47"/>
        <v>9729.8474545880908</v>
      </c>
      <c r="AE36" s="19">
        <f t="shared" si="47"/>
        <v>10310.514455218494</v>
      </c>
      <c r="AF36" s="19">
        <f t="shared" si="47"/>
        <v>10927.811253045395</v>
      </c>
      <c r="AG36" s="19">
        <f t="shared" si="47"/>
        <v>11584.141258158641</v>
      </c>
      <c r="AH36" s="19">
        <f t="shared" si="47"/>
        <v>12282.069692325818</v>
      </c>
      <c r="AI36" s="19">
        <f t="shared" si="47"/>
        <v>13024.334658728541</v>
      </c>
      <c r="AJ36" s="19">
        <f t="shared" si="47"/>
        <v>13813.858976297051</v>
      </c>
      <c r="AK36" s="19">
        <f t="shared" si="47"/>
        <v>11109.785709428734</v>
      </c>
      <c r="AL36" s="19">
        <f t="shared" si="47"/>
        <v>11755.32178528919</v>
      </c>
      <c r="AM36" s="19">
        <f t="shared" si="46"/>
        <v>12440.759429507896</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200</v>
      </c>
      <c r="E39" s="18">
        <v>208</v>
      </c>
      <c r="F39" s="18">
        <v>216.32</v>
      </c>
      <c r="G39" s="18">
        <v>224.97280000000001</v>
      </c>
      <c r="H39" s="18">
        <v>233.97171200000003</v>
      </c>
      <c r="I39" s="18">
        <v>243.33058048000004</v>
      </c>
      <c r="J39" s="18">
        <v>253.06380369920004</v>
      </c>
      <c r="K39" s="18">
        <v>263.18635584716804</v>
      </c>
      <c r="L39" s="18">
        <v>273.71381008105476</v>
      </c>
      <c r="M39" s="18">
        <v>284.66236248429698</v>
      </c>
      <c r="N39" s="18">
        <v>296.04885698366888</v>
      </c>
      <c r="O39" s="18">
        <v>307.89081126301568</v>
      </c>
      <c r="P39" s="18">
        <v>320.20644371353632</v>
      </c>
      <c r="Q39" s="18">
        <v>333.01470146207777</v>
      </c>
      <c r="R39" s="18">
        <v>346.33528952056088</v>
      </c>
      <c r="S39" s="18">
        <v>360.18870110138334</v>
      </c>
      <c r="T39" s="18">
        <v>374.59624914543872</v>
      </c>
      <c r="U39" s="18">
        <v>389.58009911125629</v>
      </c>
      <c r="V39" s="18">
        <v>405.16330307570655</v>
      </c>
      <c r="W39" s="18">
        <v>421.36983519873485</v>
      </c>
      <c r="X39" s="18">
        <v>438.22462860668423</v>
      </c>
      <c r="Y39" s="18">
        <v>455.75361375095162</v>
      </c>
      <c r="Z39" s="18">
        <v>473.98375830098968</v>
      </c>
      <c r="AA39" s="18">
        <v>492.94310863302928</v>
      </c>
      <c r="AB39" s="18">
        <v>512.66083297835053</v>
      </c>
      <c r="AC39" s="18">
        <v>533.16726629748462</v>
      </c>
      <c r="AD39" s="18">
        <v>554.49395694938403</v>
      </c>
      <c r="AE39" s="18">
        <v>576.67371522735937</v>
      </c>
      <c r="AF39" s="18">
        <v>599.74066383645379</v>
      </c>
      <c r="AG39" s="18">
        <v>623.73029038991194</v>
      </c>
      <c r="AH39" s="18">
        <v>648.67950200550843</v>
      </c>
      <c r="AI39" s="18">
        <v>674.62668208572882</v>
      </c>
      <c r="AJ39" s="18">
        <v>701.61174936915802</v>
      </c>
      <c r="AK39" s="18">
        <v>729.67621934392434</v>
      </c>
      <c r="AL39" s="18">
        <v>758.8632681176814</v>
      </c>
      <c r="AM39" s="18">
        <v>789.21779884238867</v>
      </c>
    </row>
    <row r="40" spans="2:39" s="17" customFormat="1" ht="21" customHeight="1" x14ac:dyDescent="0.25">
      <c r="B40" s="7" t="s">
        <v>60</v>
      </c>
      <c r="C40" s="15"/>
      <c r="D40" s="18">
        <v>200</v>
      </c>
      <c r="E40" s="18">
        <v>204</v>
      </c>
      <c r="F40" s="18">
        <v>208.08</v>
      </c>
      <c r="G40" s="18">
        <v>212.24160000000001</v>
      </c>
      <c r="H40" s="18">
        <v>216.48643200000001</v>
      </c>
      <c r="I40" s="18">
        <v>220.81616064000002</v>
      </c>
      <c r="J40" s="18">
        <v>225.23248385280002</v>
      </c>
      <c r="K40" s="18">
        <v>229.73713352985601</v>
      </c>
      <c r="L40" s="18">
        <v>234.33187620045314</v>
      </c>
      <c r="M40" s="18">
        <v>239.0185137244622</v>
      </c>
      <c r="N40" s="18">
        <v>243.79888399895145</v>
      </c>
      <c r="O40" s="18">
        <v>248.67486167893048</v>
      </c>
      <c r="P40" s="18">
        <v>253.64835891250911</v>
      </c>
      <c r="Q40" s="18">
        <v>258.72132609075931</v>
      </c>
      <c r="R40" s="18">
        <v>263.89575261257448</v>
      </c>
      <c r="S40" s="18">
        <v>269.17366766482598</v>
      </c>
      <c r="T40" s="18">
        <v>274.55714101812254</v>
      </c>
      <c r="U40" s="18">
        <v>280.04828383848502</v>
      </c>
      <c r="V40" s="18">
        <v>285.64924951525472</v>
      </c>
      <c r="W40" s="18">
        <v>291.3622345055598</v>
      </c>
      <c r="X40" s="18">
        <v>297.18947919567103</v>
      </c>
      <c r="Y40" s="18">
        <v>303.13326877958445</v>
      </c>
      <c r="Z40" s="18">
        <v>309.19593415517613</v>
      </c>
      <c r="AA40" s="18">
        <v>315.37985283827965</v>
      </c>
      <c r="AB40" s="18">
        <v>321.68744989504523</v>
      </c>
      <c r="AC40" s="18">
        <v>328.12119889294615</v>
      </c>
      <c r="AD40" s="18">
        <v>334.6836228708051</v>
      </c>
      <c r="AE40" s="18">
        <v>341.37729532822118</v>
      </c>
      <c r="AF40" s="18">
        <v>348.20484123478559</v>
      </c>
      <c r="AG40" s="18">
        <v>355.16893805948132</v>
      </c>
      <c r="AH40" s="18">
        <v>362.27231682067094</v>
      </c>
      <c r="AI40" s="18">
        <v>369.51776315708435</v>
      </c>
      <c r="AJ40" s="18">
        <v>376.90811842022606</v>
      </c>
      <c r="AK40" s="18">
        <v>384.44628078863059</v>
      </c>
      <c r="AL40" s="18">
        <v>392.13520640440322</v>
      </c>
      <c r="AM40" s="18">
        <v>399.97791053249131</v>
      </c>
    </row>
    <row r="41" spans="2:39" s="17" customFormat="1" ht="21" customHeight="1" x14ac:dyDescent="0.25">
      <c r="B41" s="7" t="s">
        <v>61</v>
      </c>
      <c r="C41" s="15"/>
      <c r="D41" s="18">
        <v>200</v>
      </c>
      <c r="E41" s="18">
        <v>208</v>
      </c>
      <c r="F41" s="18">
        <v>216.32</v>
      </c>
      <c r="G41" s="18">
        <v>224.97280000000001</v>
      </c>
      <c r="H41" s="18">
        <v>233.97171200000003</v>
      </c>
      <c r="I41" s="18">
        <v>243.33058048000004</v>
      </c>
      <c r="J41" s="18">
        <v>253.06380369920004</v>
      </c>
      <c r="K41" s="18">
        <v>263.18635584716804</v>
      </c>
      <c r="L41" s="18">
        <v>273.71381008105476</v>
      </c>
      <c r="M41" s="18">
        <v>284.66236248429698</v>
      </c>
      <c r="N41" s="18">
        <v>296.04885698366888</v>
      </c>
      <c r="O41" s="18">
        <v>307.89081126301568</v>
      </c>
      <c r="P41" s="18">
        <v>320.20644371353632</v>
      </c>
      <c r="Q41" s="18">
        <v>333.01470146207777</v>
      </c>
      <c r="R41" s="18">
        <v>346.33528952056088</v>
      </c>
      <c r="S41" s="18">
        <v>360.18870110138334</v>
      </c>
      <c r="T41" s="18">
        <v>374.59624914543872</v>
      </c>
      <c r="U41" s="18">
        <v>389.58009911125629</v>
      </c>
      <c r="V41" s="18">
        <v>405.16330307570655</v>
      </c>
      <c r="W41" s="18">
        <v>421.36983519873485</v>
      </c>
      <c r="X41" s="18">
        <v>438.22462860668423</v>
      </c>
      <c r="Y41" s="18">
        <v>455.75361375095162</v>
      </c>
      <c r="Z41" s="18">
        <v>473.98375830098968</v>
      </c>
      <c r="AA41" s="18">
        <v>492.94310863302928</v>
      </c>
      <c r="AB41" s="18">
        <v>512.66083297835053</v>
      </c>
      <c r="AC41" s="18">
        <v>533.16726629748462</v>
      </c>
      <c r="AD41" s="18">
        <v>554.49395694938403</v>
      </c>
      <c r="AE41" s="18">
        <v>576.67371522735937</v>
      </c>
      <c r="AF41" s="18">
        <v>599.74066383645379</v>
      </c>
      <c r="AG41" s="18">
        <v>623.73029038991194</v>
      </c>
      <c r="AH41" s="18">
        <v>648.67950200550843</v>
      </c>
      <c r="AI41" s="18">
        <v>674.62668208572882</v>
      </c>
      <c r="AJ41" s="18">
        <v>701.61174936915802</v>
      </c>
      <c r="AK41" s="18">
        <v>729.67621934392434</v>
      </c>
      <c r="AL41" s="18">
        <v>758.8632681176814</v>
      </c>
      <c r="AM41" s="18">
        <v>789.21779884238867</v>
      </c>
    </row>
    <row r="42" spans="2:39" s="30" customFormat="1" ht="21" customHeight="1" x14ac:dyDescent="0.25">
      <c r="B42" s="28" t="s">
        <v>62</v>
      </c>
      <c r="C42" s="29"/>
      <c r="D42" s="27">
        <f t="shared" ref="D42" si="48">SUM(D41, D40, D39 + D38)</f>
        <v>600</v>
      </c>
      <c r="E42" s="27">
        <v>600</v>
      </c>
      <c r="F42" s="27">
        <v>600</v>
      </c>
      <c r="G42" s="27">
        <v>600</v>
      </c>
      <c r="H42" s="27">
        <v>600</v>
      </c>
      <c r="I42" s="27">
        <v>600</v>
      </c>
      <c r="J42" s="27">
        <v>600</v>
      </c>
      <c r="K42" s="27">
        <v>600</v>
      </c>
      <c r="L42" s="27">
        <v>600</v>
      </c>
      <c r="M42" s="27">
        <v>600</v>
      </c>
      <c r="N42" s="27">
        <v>600</v>
      </c>
      <c r="O42" s="27">
        <v>600</v>
      </c>
      <c r="P42" s="27">
        <v>600</v>
      </c>
      <c r="Q42" s="27">
        <v>600</v>
      </c>
      <c r="R42" s="27">
        <v>600</v>
      </c>
      <c r="S42" s="27">
        <v>600</v>
      </c>
      <c r="T42" s="27">
        <v>600</v>
      </c>
      <c r="U42" s="27">
        <v>600</v>
      </c>
      <c r="V42" s="27">
        <v>600</v>
      </c>
      <c r="W42" s="27">
        <v>600</v>
      </c>
      <c r="X42" s="27">
        <v>600</v>
      </c>
      <c r="Y42" s="27">
        <v>600</v>
      </c>
      <c r="Z42" s="27">
        <v>600</v>
      </c>
      <c r="AA42" s="27">
        <v>600</v>
      </c>
      <c r="AB42" s="27">
        <v>600</v>
      </c>
      <c r="AC42" s="27">
        <v>600</v>
      </c>
      <c r="AD42" s="27">
        <v>600</v>
      </c>
      <c r="AE42" s="27">
        <v>600</v>
      </c>
      <c r="AF42" s="27">
        <v>600</v>
      </c>
      <c r="AG42" s="27">
        <v>600</v>
      </c>
      <c r="AH42" s="27">
        <v>600</v>
      </c>
      <c r="AI42" s="27">
        <v>600</v>
      </c>
      <c r="AJ42" s="27">
        <v>600</v>
      </c>
      <c r="AK42" s="27">
        <v>600</v>
      </c>
      <c r="AL42" s="27">
        <v>600</v>
      </c>
      <c r="AM42" s="27">
        <v>600</v>
      </c>
    </row>
    <row r="43" spans="2:39" s="17" customFormat="1" ht="21" customHeight="1" x14ac:dyDescent="0.25">
      <c r="B43" s="5" t="s">
        <v>63</v>
      </c>
      <c r="C43" s="15"/>
      <c r="D43" s="19">
        <f t="shared" ref="D43:AM43" si="49">SUM(D41, D40, D39, D38, D37, D35, D34, D33, D32, D31, D30, D28, D27, D26, D25, D24, D22, D21, D20, D19, D18, D17, D16, D15, D14 + D13)</f>
        <v>15207.375</v>
      </c>
      <c r="E43" s="19">
        <f t="shared" ref="E43:AL43" si="50">SUM(E41, E40, E39, E38, E37, E35, E34, E33, E32, E31, E30, E28, E27, E26, E25, E24, E22, E21, E20, E19, E18, E17, E16, E15, E14 + E13)</f>
        <v>15918.67</v>
      </c>
      <c r="F43" s="19">
        <f t="shared" si="50"/>
        <v>16671.006799999999</v>
      </c>
      <c r="G43" s="19">
        <f t="shared" si="50"/>
        <v>15968.855572000002</v>
      </c>
      <c r="H43" s="19">
        <f t="shared" si="50"/>
        <v>14061.835225880002</v>
      </c>
      <c r="I43" s="19">
        <f t="shared" si="50"/>
        <v>14732.971373165203</v>
      </c>
      <c r="J43" s="19">
        <f t="shared" si="50"/>
        <v>15216.867546799211</v>
      </c>
      <c r="K43" s="19">
        <f t="shared" si="50"/>
        <v>15961.35757533333</v>
      </c>
      <c r="L43" s="19">
        <f t="shared" si="50"/>
        <v>16749.629807424222</v>
      </c>
      <c r="M43" s="19">
        <f t="shared" si="50"/>
        <v>17584.528302585408</v>
      </c>
      <c r="N43" s="19">
        <f t="shared" si="50"/>
        <v>18469.091322749613</v>
      </c>
      <c r="O43" s="19">
        <f t="shared" si="50"/>
        <v>19406.564945888429</v>
      </c>
      <c r="P43" s="19">
        <f t="shared" si="50"/>
        <v>20400.417648722298</v>
      </c>
      <c r="Q43" s="19">
        <f t="shared" si="50"/>
        <v>21454.355928210909</v>
      </c>
      <c r="R43" s="19">
        <f t="shared" si="50"/>
        <v>21293.953307644213</v>
      </c>
      <c r="S43" s="19">
        <f t="shared" si="50"/>
        <v>22454.651426427328</v>
      </c>
      <c r="T43" s="19">
        <f t="shared" si="50"/>
        <v>23687.644783543979</v>
      </c>
      <c r="U43" s="19">
        <f t="shared" si="50"/>
        <v>20710.226438495767</v>
      </c>
      <c r="V43" s="19">
        <f t="shared" si="50"/>
        <v>21802.501361459621</v>
      </c>
      <c r="W43" s="19">
        <f t="shared" si="50"/>
        <v>22671.498643307281</v>
      </c>
      <c r="X43" s="19">
        <f t="shared" si="50"/>
        <v>23893.098527619968</v>
      </c>
      <c r="Y43" s="19">
        <f t="shared" si="50"/>
        <v>25190.407837741823</v>
      </c>
      <c r="Z43" s="19">
        <f t="shared" si="50"/>
        <v>26568.48845310431</v>
      </c>
      <c r="AA43" s="19">
        <f t="shared" si="50"/>
        <v>28032.754766134214</v>
      </c>
      <c r="AB43" s="19">
        <f t="shared" si="50"/>
        <v>24015.440890287573</v>
      </c>
      <c r="AC43" s="19">
        <f t="shared" si="50"/>
        <v>22180.310332753674</v>
      </c>
      <c r="AD43" s="19">
        <f t="shared" si="50"/>
        <v>23359.65792249209</v>
      </c>
      <c r="AE43" s="19">
        <f t="shared" si="50"/>
        <v>24290.324370176295</v>
      </c>
      <c r="AF43" s="19">
        <f t="shared" si="50"/>
        <v>25609.686083081113</v>
      </c>
      <c r="AG43" s="19">
        <f t="shared" si="50"/>
        <v>27011.197602241984</v>
      </c>
      <c r="AH43" s="19">
        <f t="shared" si="50"/>
        <v>28500.407851008626</v>
      </c>
      <c r="AI43" s="19">
        <f t="shared" si="50"/>
        <v>30083.258820951392</v>
      </c>
      <c r="AJ43" s="19">
        <f t="shared" si="50"/>
        <v>30906.187549969523</v>
      </c>
      <c r="AK43" s="19">
        <f t="shared" si="50"/>
        <v>29134.687951439075</v>
      </c>
      <c r="AL43" s="19">
        <f t="shared" si="50"/>
        <v>30427.818051314542</v>
      </c>
      <c r="AM43" s="19">
        <f t="shared" si="49"/>
        <v>32159.873216258617</v>
      </c>
    </row>
    <row r="44" spans="2:39" s="21" customFormat="1" ht="21" customHeight="1" x14ac:dyDescent="0.25">
      <c r="B44" s="5" t="s">
        <v>64</v>
      </c>
      <c r="C44" s="22"/>
      <c r="D44" s="23">
        <f t="shared" ref="D44:AM44" si="51">D12-D43</f>
        <v>-15207.375</v>
      </c>
      <c r="E44" s="23">
        <f t="shared" ref="E44:AL44" si="52">E12-E43</f>
        <v>-15918.67</v>
      </c>
      <c r="F44" s="23">
        <f t="shared" si="52"/>
        <v>-16671.006799999999</v>
      </c>
      <c r="G44" s="23">
        <f t="shared" si="52"/>
        <v>-15968.855572000002</v>
      </c>
      <c r="H44" s="23">
        <f t="shared" si="52"/>
        <v>-14061.835225880002</v>
      </c>
      <c r="I44" s="23">
        <f t="shared" si="52"/>
        <v>-14732.971373165203</v>
      </c>
      <c r="J44" s="23">
        <f t="shared" si="52"/>
        <v>-15216.867546799211</v>
      </c>
      <c r="K44" s="23">
        <f t="shared" si="52"/>
        <v>-15961.35757533333</v>
      </c>
      <c r="L44" s="23">
        <f t="shared" si="52"/>
        <v>-16749.629807424222</v>
      </c>
      <c r="M44" s="23">
        <f t="shared" si="52"/>
        <v>-17584.528302585408</v>
      </c>
      <c r="N44" s="23">
        <f t="shared" si="52"/>
        <v>-18469.091322749613</v>
      </c>
      <c r="O44" s="23">
        <f t="shared" si="52"/>
        <v>-19406.564945888429</v>
      </c>
      <c r="P44" s="23">
        <f t="shared" si="52"/>
        <v>-20400.417648722298</v>
      </c>
      <c r="Q44" s="23">
        <f t="shared" si="52"/>
        <v>-21454.355928210909</v>
      </c>
      <c r="R44" s="23">
        <f t="shared" si="52"/>
        <v>-21293.953307644213</v>
      </c>
      <c r="S44" s="23">
        <f t="shared" si="52"/>
        <v>-22454.651426427328</v>
      </c>
      <c r="T44" s="23">
        <f t="shared" si="52"/>
        <v>-23687.644783543979</v>
      </c>
      <c r="U44" s="23">
        <f t="shared" si="52"/>
        <v>-20710.226438495767</v>
      </c>
      <c r="V44" s="23">
        <f t="shared" si="52"/>
        <v>-21802.501361459621</v>
      </c>
      <c r="W44" s="23">
        <f t="shared" si="52"/>
        <v>-22671.498643307281</v>
      </c>
      <c r="X44" s="23">
        <f t="shared" si="52"/>
        <v>-23893.098527619968</v>
      </c>
      <c r="Y44" s="23">
        <f t="shared" si="52"/>
        <v>-25190.407837741823</v>
      </c>
      <c r="Z44" s="23">
        <f t="shared" si="52"/>
        <v>-26568.48845310431</v>
      </c>
      <c r="AA44" s="23">
        <f t="shared" si="52"/>
        <v>-28032.754766134214</v>
      </c>
      <c r="AB44" s="23">
        <f t="shared" si="52"/>
        <v>-24015.440890287573</v>
      </c>
      <c r="AC44" s="23">
        <f t="shared" si="52"/>
        <v>-22180.310332753674</v>
      </c>
      <c r="AD44" s="23">
        <f t="shared" si="52"/>
        <v>-23359.65792249209</v>
      </c>
      <c r="AE44" s="23">
        <f t="shared" si="52"/>
        <v>-24290.324370176295</v>
      </c>
      <c r="AF44" s="23">
        <f t="shared" si="52"/>
        <v>-25609.686083081113</v>
      </c>
      <c r="AG44" s="23">
        <f t="shared" si="52"/>
        <v>-27011.197602241984</v>
      </c>
      <c r="AH44" s="23">
        <f t="shared" si="52"/>
        <v>-28500.407851008626</v>
      </c>
      <c r="AI44" s="23">
        <f t="shared" si="52"/>
        <v>-30083.258820951392</v>
      </c>
      <c r="AJ44" s="23">
        <f t="shared" si="52"/>
        <v>-30906.187549969523</v>
      </c>
      <c r="AK44" s="23">
        <f t="shared" si="52"/>
        <v>-29134.687951439075</v>
      </c>
      <c r="AL44" s="23">
        <f t="shared" si="52"/>
        <v>-30427.818051314542</v>
      </c>
      <c r="AM44" s="23">
        <f t="shared" si="51"/>
        <v>-32159.873216258617</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53">SUM(D46 + D45)</f>
        <v>0</v>
      </c>
      <c r="E47" s="19">
        <f t="shared" si="53"/>
        <v>0</v>
      </c>
      <c r="F47" s="19">
        <f t="shared" si="53"/>
        <v>0</v>
      </c>
      <c r="G47" s="19">
        <f t="shared" si="53"/>
        <v>0</v>
      </c>
      <c r="H47" s="19">
        <f t="shared" si="53"/>
        <v>0</v>
      </c>
      <c r="I47" s="19">
        <f t="shared" si="53"/>
        <v>0</v>
      </c>
      <c r="J47" s="19">
        <f t="shared" si="53"/>
        <v>0</v>
      </c>
      <c r="K47" s="19">
        <f t="shared" si="53"/>
        <v>0</v>
      </c>
      <c r="L47" s="19">
        <f t="shared" si="53"/>
        <v>0</v>
      </c>
      <c r="M47" s="19">
        <f t="shared" si="53"/>
        <v>0</v>
      </c>
      <c r="N47" s="19">
        <f t="shared" si="53"/>
        <v>0</v>
      </c>
      <c r="O47" s="19">
        <f t="shared" si="53"/>
        <v>0</v>
      </c>
      <c r="P47" s="19">
        <f t="shared" si="53"/>
        <v>0</v>
      </c>
      <c r="Q47" s="19">
        <f t="shared" si="53"/>
        <v>0</v>
      </c>
      <c r="R47" s="19">
        <f t="shared" si="53"/>
        <v>0</v>
      </c>
      <c r="S47" s="19">
        <f t="shared" si="53"/>
        <v>0</v>
      </c>
      <c r="T47" s="19">
        <f t="shared" si="53"/>
        <v>0</v>
      </c>
      <c r="U47" s="19">
        <f t="shared" si="53"/>
        <v>0</v>
      </c>
      <c r="V47" s="19">
        <f t="shared" si="53"/>
        <v>0</v>
      </c>
      <c r="W47" s="19">
        <f t="shared" si="53"/>
        <v>0</v>
      </c>
      <c r="X47" s="19">
        <f t="shared" si="53"/>
        <v>0</v>
      </c>
      <c r="Y47" s="19">
        <f t="shared" si="53"/>
        <v>0</v>
      </c>
      <c r="Z47" s="19">
        <f t="shared" si="53"/>
        <v>0</v>
      </c>
      <c r="AA47" s="19">
        <f t="shared" si="53"/>
        <v>0</v>
      </c>
      <c r="AB47" s="19">
        <f t="shared" si="53"/>
        <v>0</v>
      </c>
      <c r="AC47" s="19">
        <f t="shared" si="53"/>
        <v>0</v>
      </c>
      <c r="AD47" s="19">
        <f t="shared" si="53"/>
        <v>0</v>
      </c>
      <c r="AE47" s="19">
        <f t="shared" si="53"/>
        <v>0</v>
      </c>
      <c r="AF47" s="19">
        <f t="shared" si="53"/>
        <v>0</v>
      </c>
      <c r="AG47" s="19">
        <f t="shared" si="53"/>
        <v>0</v>
      </c>
      <c r="AH47" s="19">
        <f t="shared" si="53"/>
        <v>0</v>
      </c>
      <c r="AI47" s="19">
        <f t="shared" si="53"/>
        <v>0</v>
      </c>
      <c r="AJ47" s="19">
        <f t="shared" si="53"/>
        <v>0</v>
      </c>
      <c r="AK47" s="19">
        <f t="shared" si="53"/>
        <v>0</v>
      </c>
      <c r="AL47" s="19">
        <f t="shared" si="53"/>
        <v>0</v>
      </c>
      <c r="AM47" s="19">
        <f t="shared" ref="AM47" si="54">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55">SUM(D50, D49 + D48)</f>
        <v>0</v>
      </c>
      <c r="E51" s="19">
        <f t="shared" ref="E51:AL51" si="56">SUM(E50, E49 + E48)</f>
        <v>0</v>
      </c>
      <c r="F51" s="19">
        <f t="shared" si="56"/>
        <v>0</v>
      </c>
      <c r="G51" s="19">
        <f t="shared" si="56"/>
        <v>0</v>
      </c>
      <c r="H51" s="19">
        <f t="shared" si="56"/>
        <v>0</v>
      </c>
      <c r="I51" s="19">
        <f t="shared" si="56"/>
        <v>0</v>
      </c>
      <c r="J51" s="19">
        <f t="shared" si="56"/>
        <v>0</v>
      </c>
      <c r="K51" s="19">
        <f t="shared" si="56"/>
        <v>0</v>
      </c>
      <c r="L51" s="19">
        <f t="shared" si="56"/>
        <v>0</v>
      </c>
      <c r="M51" s="19">
        <f t="shared" si="56"/>
        <v>0</v>
      </c>
      <c r="N51" s="19">
        <f t="shared" si="56"/>
        <v>0</v>
      </c>
      <c r="O51" s="19">
        <f t="shared" si="56"/>
        <v>0</v>
      </c>
      <c r="P51" s="19">
        <f t="shared" si="56"/>
        <v>0</v>
      </c>
      <c r="Q51" s="19">
        <f t="shared" si="56"/>
        <v>0</v>
      </c>
      <c r="R51" s="19">
        <f t="shared" si="56"/>
        <v>0</v>
      </c>
      <c r="S51" s="19">
        <f t="shared" si="56"/>
        <v>0</v>
      </c>
      <c r="T51" s="19">
        <f t="shared" si="56"/>
        <v>0</v>
      </c>
      <c r="U51" s="19">
        <f t="shared" si="56"/>
        <v>0</v>
      </c>
      <c r="V51" s="19">
        <f t="shared" si="56"/>
        <v>0</v>
      </c>
      <c r="W51" s="19">
        <f t="shared" si="56"/>
        <v>0</v>
      </c>
      <c r="X51" s="19">
        <f t="shared" si="56"/>
        <v>0</v>
      </c>
      <c r="Y51" s="19">
        <f t="shared" si="56"/>
        <v>0</v>
      </c>
      <c r="Z51" s="19">
        <f t="shared" si="56"/>
        <v>0</v>
      </c>
      <c r="AA51" s="19">
        <f t="shared" si="56"/>
        <v>0</v>
      </c>
      <c r="AB51" s="19">
        <f t="shared" si="56"/>
        <v>0</v>
      </c>
      <c r="AC51" s="19">
        <f t="shared" si="56"/>
        <v>0</v>
      </c>
      <c r="AD51" s="19">
        <f t="shared" si="56"/>
        <v>0</v>
      </c>
      <c r="AE51" s="19">
        <f t="shared" si="56"/>
        <v>0</v>
      </c>
      <c r="AF51" s="19">
        <f t="shared" si="56"/>
        <v>0</v>
      </c>
      <c r="AG51" s="19">
        <f t="shared" si="56"/>
        <v>0</v>
      </c>
      <c r="AH51" s="19">
        <f t="shared" si="56"/>
        <v>0</v>
      </c>
      <c r="AI51" s="19">
        <f t="shared" si="56"/>
        <v>0</v>
      </c>
      <c r="AJ51" s="19">
        <f t="shared" si="56"/>
        <v>0</v>
      </c>
      <c r="AK51" s="19">
        <f t="shared" si="56"/>
        <v>0</v>
      </c>
      <c r="AL51" s="19">
        <f t="shared" si="56"/>
        <v>0</v>
      </c>
      <c r="AM51" s="19">
        <f t="shared" si="55"/>
        <v>0</v>
      </c>
    </row>
    <row r="52" spans="2:39" s="21" customFormat="1" ht="21" customHeight="1" x14ac:dyDescent="0.25">
      <c r="B52" s="5" t="s">
        <v>72</v>
      </c>
      <c r="C52" s="22"/>
      <c r="D52" s="23">
        <f t="shared" ref="D52:AM52" si="57">D47-D51</f>
        <v>0</v>
      </c>
      <c r="E52" s="23">
        <f t="shared" ref="E52:AL52" si="58">E47-E51</f>
        <v>0</v>
      </c>
      <c r="F52" s="23">
        <f t="shared" si="58"/>
        <v>0</v>
      </c>
      <c r="G52" s="23">
        <f t="shared" si="58"/>
        <v>0</v>
      </c>
      <c r="H52" s="23">
        <f t="shared" si="58"/>
        <v>0</v>
      </c>
      <c r="I52" s="23">
        <f t="shared" si="58"/>
        <v>0</v>
      </c>
      <c r="J52" s="23">
        <f t="shared" si="58"/>
        <v>0</v>
      </c>
      <c r="K52" s="23">
        <f t="shared" si="58"/>
        <v>0</v>
      </c>
      <c r="L52" s="23">
        <f t="shared" si="58"/>
        <v>0</v>
      </c>
      <c r="M52" s="23">
        <f t="shared" si="58"/>
        <v>0</v>
      </c>
      <c r="N52" s="23">
        <f t="shared" si="58"/>
        <v>0</v>
      </c>
      <c r="O52" s="23">
        <f t="shared" si="58"/>
        <v>0</v>
      </c>
      <c r="P52" s="23">
        <f t="shared" si="58"/>
        <v>0</v>
      </c>
      <c r="Q52" s="23">
        <f t="shared" si="58"/>
        <v>0</v>
      </c>
      <c r="R52" s="23">
        <f t="shared" si="58"/>
        <v>0</v>
      </c>
      <c r="S52" s="23">
        <f t="shared" si="58"/>
        <v>0</v>
      </c>
      <c r="T52" s="23">
        <f t="shared" si="58"/>
        <v>0</v>
      </c>
      <c r="U52" s="23">
        <f t="shared" si="58"/>
        <v>0</v>
      </c>
      <c r="V52" s="23">
        <f t="shared" si="58"/>
        <v>0</v>
      </c>
      <c r="W52" s="23">
        <f t="shared" si="58"/>
        <v>0</v>
      </c>
      <c r="X52" s="23">
        <f t="shared" si="58"/>
        <v>0</v>
      </c>
      <c r="Y52" s="23">
        <f t="shared" si="58"/>
        <v>0</v>
      </c>
      <c r="Z52" s="23">
        <f t="shared" si="58"/>
        <v>0</v>
      </c>
      <c r="AA52" s="23">
        <f t="shared" si="58"/>
        <v>0</v>
      </c>
      <c r="AB52" s="23">
        <f t="shared" si="58"/>
        <v>0</v>
      </c>
      <c r="AC52" s="23">
        <f t="shared" si="58"/>
        <v>0</v>
      </c>
      <c r="AD52" s="23">
        <f t="shared" si="58"/>
        <v>0</v>
      </c>
      <c r="AE52" s="23">
        <f t="shared" si="58"/>
        <v>0</v>
      </c>
      <c r="AF52" s="23">
        <f t="shared" si="58"/>
        <v>0</v>
      </c>
      <c r="AG52" s="23">
        <f t="shared" si="58"/>
        <v>0</v>
      </c>
      <c r="AH52" s="23">
        <f t="shared" si="58"/>
        <v>0</v>
      </c>
      <c r="AI52" s="23">
        <f t="shared" si="58"/>
        <v>0</v>
      </c>
      <c r="AJ52" s="23">
        <f t="shared" si="58"/>
        <v>0</v>
      </c>
      <c r="AK52" s="23">
        <f t="shared" si="58"/>
        <v>0</v>
      </c>
      <c r="AL52" s="23">
        <f t="shared" si="58"/>
        <v>0</v>
      </c>
      <c r="AM52" s="23">
        <f t="shared" si="57"/>
        <v>0</v>
      </c>
    </row>
    <row r="53" spans="2:39" s="21" customFormat="1" ht="21" customHeight="1" x14ac:dyDescent="0.25">
      <c r="B53" s="5" t="s">
        <v>73</v>
      </c>
      <c r="C53" s="22"/>
      <c r="D53" s="23">
        <f t="shared" ref="D53:AM53" si="59">D44+D52</f>
        <v>-15207.375</v>
      </c>
      <c r="E53" s="23">
        <f t="shared" ref="E53:AL53" si="60">E44+E52</f>
        <v>-15918.67</v>
      </c>
      <c r="F53" s="23">
        <f t="shared" si="60"/>
        <v>-16671.006799999999</v>
      </c>
      <c r="G53" s="23">
        <f t="shared" si="60"/>
        <v>-15968.855572000002</v>
      </c>
      <c r="H53" s="23">
        <f t="shared" si="60"/>
        <v>-14061.835225880002</v>
      </c>
      <c r="I53" s="23">
        <f t="shared" si="60"/>
        <v>-14732.971373165203</v>
      </c>
      <c r="J53" s="23">
        <f t="shared" si="60"/>
        <v>-15216.867546799211</v>
      </c>
      <c r="K53" s="23">
        <f t="shared" si="60"/>
        <v>-15961.35757533333</v>
      </c>
      <c r="L53" s="23">
        <f t="shared" si="60"/>
        <v>-16749.629807424222</v>
      </c>
      <c r="M53" s="23">
        <f t="shared" si="60"/>
        <v>-17584.528302585408</v>
      </c>
      <c r="N53" s="23">
        <f t="shared" si="60"/>
        <v>-18469.091322749613</v>
      </c>
      <c r="O53" s="23">
        <f t="shared" si="60"/>
        <v>-19406.564945888429</v>
      </c>
      <c r="P53" s="23">
        <f t="shared" si="60"/>
        <v>-20400.417648722298</v>
      </c>
      <c r="Q53" s="23">
        <f t="shared" si="60"/>
        <v>-21454.355928210909</v>
      </c>
      <c r="R53" s="23">
        <f t="shared" si="60"/>
        <v>-21293.953307644213</v>
      </c>
      <c r="S53" s="23">
        <f t="shared" si="60"/>
        <v>-22454.651426427328</v>
      </c>
      <c r="T53" s="23">
        <f t="shared" si="60"/>
        <v>-23687.644783543979</v>
      </c>
      <c r="U53" s="23">
        <f t="shared" si="60"/>
        <v>-20710.226438495767</v>
      </c>
      <c r="V53" s="23">
        <f t="shared" si="60"/>
        <v>-21802.501361459621</v>
      </c>
      <c r="W53" s="23">
        <f t="shared" si="60"/>
        <v>-22671.498643307281</v>
      </c>
      <c r="X53" s="23">
        <f t="shared" si="60"/>
        <v>-23893.098527619968</v>
      </c>
      <c r="Y53" s="23">
        <f t="shared" si="60"/>
        <v>-25190.407837741823</v>
      </c>
      <c r="Z53" s="23">
        <f t="shared" si="60"/>
        <v>-26568.48845310431</v>
      </c>
      <c r="AA53" s="23">
        <f t="shared" si="60"/>
        <v>-28032.754766134214</v>
      </c>
      <c r="AB53" s="23">
        <f t="shared" si="60"/>
        <v>-24015.440890287573</v>
      </c>
      <c r="AC53" s="23">
        <f t="shared" si="60"/>
        <v>-22180.310332753674</v>
      </c>
      <c r="AD53" s="23">
        <f t="shared" si="60"/>
        <v>-23359.65792249209</v>
      </c>
      <c r="AE53" s="23">
        <f t="shared" si="60"/>
        <v>-24290.324370176295</v>
      </c>
      <c r="AF53" s="23">
        <f t="shared" si="60"/>
        <v>-25609.686083081113</v>
      </c>
      <c r="AG53" s="23">
        <f t="shared" si="60"/>
        <v>-27011.197602241984</v>
      </c>
      <c r="AH53" s="23">
        <f t="shared" si="60"/>
        <v>-28500.407851008626</v>
      </c>
      <c r="AI53" s="23">
        <f t="shared" si="60"/>
        <v>-30083.258820951392</v>
      </c>
      <c r="AJ53" s="23">
        <f t="shared" si="60"/>
        <v>-30906.187549969523</v>
      </c>
      <c r="AK53" s="23">
        <f t="shared" si="60"/>
        <v>-29134.687951439075</v>
      </c>
      <c r="AL53" s="23">
        <f t="shared" si="60"/>
        <v>-30427.818051314542</v>
      </c>
      <c r="AM53" s="23">
        <f t="shared" si="59"/>
        <v>-32159.873216258617</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P304"/>
  <sheetViews>
    <sheetView showGridLines="0" zoomScaleNormal="100" workbookViewId="0">
      <pane xSplit="3" ySplit="4" topLeftCell="D5" activePane="bottomRight" state="frozen"/>
      <selection pane="topRight" activeCell="F16" sqref="F16"/>
      <selection pane="bottomLeft" activeCell="F16" sqref="F16"/>
      <selection pane="bottomRight" activeCell="AB21" sqref="AB21"/>
    </sheetView>
  </sheetViews>
  <sheetFormatPr baseColWidth="10" defaultColWidth="9.140625" defaultRowHeight="15" x14ac:dyDescent="0.25"/>
  <cols>
    <col min="1" max="1" width="2.5703125" customWidth="1"/>
    <col min="2" max="2" width="42.28515625" style="1" customWidth="1"/>
    <col min="3" max="3" width="2.7109375" customWidth="1"/>
    <col min="4" max="4" width="12.42578125" style="25" customWidth="1"/>
    <col min="5" max="39" width="13.28515625" style="25" customWidth="1"/>
    <col min="40" max="9997" width="9.140625" style="25"/>
    <col min="9998" max="9998" width="9.140625" style="24"/>
    <col min="9999" max="16384" width="9.140625" style="25"/>
  </cols>
  <sheetData>
    <row r="1" spans="1:39" customFormat="1" ht="21" customHeight="1" x14ac:dyDescent="0.25">
      <c r="A1" s="9" t="s">
        <v>22</v>
      </c>
      <c r="B1" s="1"/>
    </row>
    <row r="2" spans="1:39" customFormat="1" ht="21" customHeight="1" x14ac:dyDescent="0.25">
      <c r="A2" s="10" t="s">
        <v>23</v>
      </c>
      <c r="B2" s="1"/>
    </row>
    <row r="3" spans="1:39" customFormat="1" x14ac:dyDescent="0.25">
      <c r="A3" t="s">
        <v>15</v>
      </c>
      <c r="B3" s="1"/>
    </row>
    <row r="4" spans="1:39" s="11" customFormat="1" ht="15.75" x14ac:dyDescent="0.25">
      <c r="B4" s="2"/>
      <c r="D4" s="12">
        <v>44957</v>
      </c>
      <c r="E4" s="13">
        <f t="shared" ref="E4" si="0">EOMONTH(D4,1)</f>
        <v>44985</v>
      </c>
      <c r="F4" s="13">
        <f t="shared" ref="F4" si="1">EOMONTH(E4,1)</f>
        <v>45016</v>
      </c>
      <c r="G4" s="13">
        <f t="shared" ref="G4" si="2">EOMONTH(F4,1)</f>
        <v>45046</v>
      </c>
      <c r="H4" s="13">
        <f t="shared" ref="H4" si="3">EOMONTH(G4,1)</f>
        <v>45077</v>
      </c>
      <c r="I4" s="13">
        <f t="shared" ref="I4" si="4">EOMONTH(H4,1)</f>
        <v>45107</v>
      </c>
      <c r="J4" s="13">
        <f t="shared" ref="J4" si="5">EOMONTH(I4,1)</f>
        <v>45138</v>
      </c>
      <c r="K4" s="13">
        <f t="shared" ref="K4" si="6">EOMONTH(J4,1)</f>
        <v>45169</v>
      </c>
      <c r="L4" s="13">
        <f t="shared" ref="L4" si="7">EOMONTH(K4,1)</f>
        <v>45199</v>
      </c>
      <c r="M4" s="13">
        <f t="shared" ref="M4" si="8">EOMONTH(L4,1)</f>
        <v>45230</v>
      </c>
      <c r="N4" s="13">
        <f t="shared" ref="N4" si="9">EOMONTH(M4,1)</f>
        <v>45260</v>
      </c>
      <c r="O4" s="13">
        <f t="shared" ref="O4" si="10">EOMONTH(N4,1)</f>
        <v>45291</v>
      </c>
      <c r="P4" s="13">
        <f t="shared" ref="P4" si="11">EOMONTH(O4,1)</f>
        <v>45322</v>
      </c>
      <c r="Q4" s="13">
        <f t="shared" ref="Q4" si="12">EOMONTH(P4,1)</f>
        <v>45351</v>
      </c>
      <c r="R4" s="13">
        <f t="shared" ref="R4" si="13">EOMONTH(Q4,1)</f>
        <v>45382</v>
      </c>
      <c r="S4" s="13">
        <f t="shared" ref="S4" si="14">EOMONTH(R4,1)</f>
        <v>45412</v>
      </c>
      <c r="T4" s="13">
        <f t="shared" ref="T4" si="15">EOMONTH(S4,1)</f>
        <v>45443</v>
      </c>
      <c r="U4" s="13">
        <f t="shared" ref="U4" si="16">EOMONTH(T4,1)</f>
        <v>45473</v>
      </c>
      <c r="V4" s="13">
        <f t="shared" ref="V4" si="17">EOMONTH(U4,1)</f>
        <v>45504</v>
      </c>
      <c r="W4" s="13">
        <f t="shared" ref="W4" si="18">EOMONTH(V4,1)</f>
        <v>45535</v>
      </c>
      <c r="X4" s="13">
        <f t="shared" ref="X4" si="19">EOMONTH(W4,1)</f>
        <v>45565</v>
      </c>
      <c r="Y4" s="13">
        <f t="shared" ref="Y4" si="20">EOMONTH(X4,1)</f>
        <v>45596</v>
      </c>
      <c r="Z4" s="13">
        <f t="shared" ref="Z4" si="21">EOMONTH(Y4,1)</f>
        <v>45626</v>
      </c>
      <c r="AA4" s="13">
        <f t="shared" ref="AA4" si="22">EOMONTH(Z4,1)</f>
        <v>45657</v>
      </c>
      <c r="AB4" s="13">
        <f t="shared" ref="AB4" si="23">EOMONTH(AA4,1)</f>
        <v>45688</v>
      </c>
      <c r="AC4" s="13">
        <f t="shared" ref="AC4" si="24">EOMONTH(AB4,1)</f>
        <v>45716</v>
      </c>
      <c r="AD4" s="13">
        <f t="shared" ref="AD4" si="25">EOMONTH(AC4,1)</f>
        <v>45747</v>
      </c>
      <c r="AE4" s="13">
        <f t="shared" ref="AE4" si="26">EOMONTH(AD4,1)</f>
        <v>45777</v>
      </c>
      <c r="AF4" s="13">
        <f t="shared" ref="AF4" si="27">EOMONTH(AE4,1)</f>
        <v>45808</v>
      </c>
      <c r="AG4" s="13">
        <f t="shared" ref="AG4" si="28">EOMONTH(AF4,1)</f>
        <v>45838</v>
      </c>
      <c r="AH4" s="13">
        <f t="shared" ref="AH4" si="29">EOMONTH(AG4,1)</f>
        <v>45869</v>
      </c>
      <c r="AI4" s="13">
        <f t="shared" ref="AI4" si="30">EOMONTH(AH4,1)</f>
        <v>45900</v>
      </c>
      <c r="AJ4" s="13">
        <f t="shared" ref="AJ4" si="31">EOMONTH(AI4,1)</f>
        <v>45930</v>
      </c>
      <c r="AK4" s="13">
        <f t="shared" ref="AK4" si="32">EOMONTH(AJ4,1)</f>
        <v>45961</v>
      </c>
      <c r="AL4" s="13">
        <f t="shared" ref="AL4" si="33">EOMONTH(AK4,1)</f>
        <v>45991</v>
      </c>
      <c r="AM4" s="13">
        <f t="shared" ref="AM4" si="34">EOMONTH(AL4,1)</f>
        <v>46022</v>
      </c>
    </row>
    <row r="5" spans="1:39" s="17" customFormat="1" ht="21" customHeight="1" x14ac:dyDescent="0.25">
      <c r="A5" s="14"/>
      <c r="B5" s="3" t="s">
        <v>25</v>
      </c>
      <c r="C5" s="15"/>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row>
    <row r="6" spans="1:39" s="17" customFormat="1" ht="21" customHeight="1" x14ac:dyDescent="0.25">
      <c r="A6" s="14"/>
      <c r="B6" s="4" t="s">
        <v>26</v>
      </c>
      <c r="C6" s="15"/>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c r="AL6" s="18">
        <v>0</v>
      </c>
      <c r="AM6" s="18">
        <v>0</v>
      </c>
    </row>
    <row r="7" spans="1:39" s="17" customFormat="1" ht="21" customHeight="1" x14ac:dyDescent="0.25">
      <c r="A7" s="14"/>
      <c r="B7" s="5" t="s">
        <v>27</v>
      </c>
      <c r="C7" s="15"/>
      <c r="D7" s="19">
        <f t="shared" ref="D7:AM7" si="35">SUM(D6 + D5)</f>
        <v>0</v>
      </c>
      <c r="E7" s="19">
        <f t="shared" ref="E7:AL7" si="36">SUM(E6 + E5)</f>
        <v>0</v>
      </c>
      <c r="F7" s="19">
        <f t="shared" si="36"/>
        <v>0</v>
      </c>
      <c r="G7" s="19">
        <f t="shared" si="36"/>
        <v>0</v>
      </c>
      <c r="H7" s="19">
        <f t="shared" si="36"/>
        <v>0</v>
      </c>
      <c r="I7" s="19">
        <f t="shared" si="36"/>
        <v>0</v>
      </c>
      <c r="J7" s="19">
        <f t="shared" si="36"/>
        <v>0</v>
      </c>
      <c r="K7" s="19">
        <f t="shared" si="36"/>
        <v>0</v>
      </c>
      <c r="L7" s="19">
        <f t="shared" si="36"/>
        <v>0</v>
      </c>
      <c r="M7" s="19">
        <f t="shared" si="36"/>
        <v>0</v>
      </c>
      <c r="N7" s="19">
        <f t="shared" si="36"/>
        <v>0</v>
      </c>
      <c r="O7" s="19">
        <f t="shared" si="36"/>
        <v>0</v>
      </c>
      <c r="P7" s="19">
        <f t="shared" si="36"/>
        <v>0</v>
      </c>
      <c r="Q7" s="19">
        <f t="shared" si="36"/>
        <v>0</v>
      </c>
      <c r="R7" s="19">
        <f t="shared" si="36"/>
        <v>0</v>
      </c>
      <c r="S7" s="19">
        <f t="shared" si="36"/>
        <v>0</v>
      </c>
      <c r="T7" s="19">
        <f t="shared" si="36"/>
        <v>0</v>
      </c>
      <c r="U7" s="19">
        <f t="shared" si="36"/>
        <v>0</v>
      </c>
      <c r="V7" s="19">
        <f t="shared" si="36"/>
        <v>0</v>
      </c>
      <c r="W7" s="19">
        <f t="shared" si="36"/>
        <v>0</v>
      </c>
      <c r="X7" s="19">
        <f t="shared" si="36"/>
        <v>0</v>
      </c>
      <c r="Y7" s="19">
        <f t="shared" si="36"/>
        <v>0</v>
      </c>
      <c r="Z7" s="19">
        <f t="shared" si="36"/>
        <v>0</v>
      </c>
      <c r="AA7" s="19">
        <f t="shared" si="36"/>
        <v>0</v>
      </c>
      <c r="AB7" s="19">
        <f t="shared" si="36"/>
        <v>0</v>
      </c>
      <c r="AC7" s="19">
        <f t="shared" si="36"/>
        <v>0</v>
      </c>
      <c r="AD7" s="19">
        <f t="shared" si="36"/>
        <v>0</v>
      </c>
      <c r="AE7" s="19">
        <f t="shared" si="36"/>
        <v>0</v>
      </c>
      <c r="AF7" s="19">
        <f t="shared" si="36"/>
        <v>0</v>
      </c>
      <c r="AG7" s="19">
        <f t="shared" si="36"/>
        <v>0</v>
      </c>
      <c r="AH7" s="19">
        <f t="shared" si="36"/>
        <v>0</v>
      </c>
      <c r="AI7" s="19">
        <f t="shared" si="36"/>
        <v>0</v>
      </c>
      <c r="AJ7" s="19">
        <f t="shared" si="36"/>
        <v>0</v>
      </c>
      <c r="AK7" s="19">
        <f t="shared" si="36"/>
        <v>0</v>
      </c>
      <c r="AL7" s="19">
        <f t="shared" si="36"/>
        <v>0</v>
      </c>
      <c r="AM7" s="19">
        <f t="shared" si="35"/>
        <v>0</v>
      </c>
    </row>
    <row r="8" spans="1:39" s="17" customFormat="1" ht="21" customHeight="1" x14ac:dyDescent="0.25">
      <c r="A8" s="14"/>
      <c r="B8" s="5" t="s">
        <v>28</v>
      </c>
      <c r="C8" s="15"/>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row>
    <row r="9" spans="1:39" s="17" customFormat="1" ht="21" customHeight="1" x14ac:dyDescent="0.25">
      <c r="A9" s="14"/>
      <c r="B9" s="4" t="s">
        <v>29</v>
      </c>
      <c r="C9" s="15"/>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row>
    <row r="10" spans="1:39" s="17" customFormat="1" ht="21" customHeight="1" x14ac:dyDescent="0.25">
      <c r="A10" s="14"/>
      <c r="B10" s="4" t="s">
        <v>30</v>
      </c>
      <c r="C10" s="15"/>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c r="AL10" s="18">
        <v>0</v>
      </c>
      <c r="AM10" s="18">
        <v>0</v>
      </c>
    </row>
    <row r="11" spans="1:39" s="17" customFormat="1" ht="21" customHeight="1" x14ac:dyDescent="0.25">
      <c r="A11" s="14"/>
      <c r="B11" s="5" t="s">
        <v>31</v>
      </c>
      <c r="C11" s="15"/>
      <c r="D11" s="19">
        <f t="shared" ref="D11:AM11" si="37">SUM(D10, D9 + D8)</f>
        <v>0</v>
      </c>
      <c r="E11" s="19">
        <f t="shared" ref="E11:AL11" si="38">SUM(E10, E9 + E8)</f>
        <v>0</v>
      </c>
      <c r="F11" s="19">
        <f t="shared" si="38"/>
        <v>0</v>
      </c>
      <c r="G11" s="19">
        <f t="shared" si="38"/>
        <v>0</v>
      </c>
      <c r="H11" s="19">
        <f t="shared" si="38"/>
        <v>0</v>
      </c>
      <c r="I11" s="19">
        <f t="shared" si="38"/>
        <v>0</v>
      </c>
      <c r="J11" s="19">
        <f t="shared" si="38"/>
        <v>0</v>
      </c>
      <c r="K11" s="19">
        <f t="shared" si="38"/>
        <v>0</v>
      </c>
      <c r="L11" s="19">
        <f t="shared" si="38"/>
        <v>0</v>
      </c>
      <c r="M11" s="19">
        <f t="shared" si="38"/>
        <v>0</v>
      </c>
      <c r="N11" s="19">
        <f t="shared" si="38"/>
        <v>0</v>
      </c>
      <c r="O11" s="19">
        <f t="shared" si="38"/>
        <v>0</v>
      </c>
      <c r="P11" s="19">
        <f t="shared" si="38"/>
        <v>0</v>
      </c>
      <c r="Q11" s="19">
        <f t="shared" si="38"/>
        <v>0</v>
      </c>
      <c r="R11" s="19">
        <f t="shared" si="38"/>
        <v>0</v>
      </c>
      <c r="S11" s="19">
        <f t="shared" si="38"/>
        <v>0</v>
      </c>
      <c r="T11" s="19">
        <f t="shared" si="38"/>
        <v>0</v>
      </c>
      <c r="U11" s="19">
        <f t="shared" si="38"/>
        <v>0</v>
      </c>
      <c r="V11" s="19">
        <f t="shared" si="38"/>
        <v>0</v>
      </c>
      <c r="W11" s="19">
        <f t="shared" si="38"/>
        <v>0</v>
      </c>
      <c r="X11" s="19">
        <f t="shared" si="38"/>
        <v>0</v>
      </c>
      <c r="Y11" s="19">
        <f t="shared" si="38"/>
        <v>0</v>
      </c>
      <c r="Z11" s="19">
        <f t="shared" si="38"/>
        <v>0</v>
      </c>
      <c r="AA11" s="19">
        <f t="shared" si="38"/>
        <v>0</v>
      </c>
      <c r="AB11" s="19">
        <f t="shared" si="38"/>
        <v>0</v>
      </c>
      <c r="AC11" s="19">
        <f t="shared" si="38"/>
        <v>0</v>
      </c>
      <c r="AD11" s="19">
        <f t="shared" si="38"/>
        <v>0</v>
      </c>
      <c r="AE11" s="19">
        <f t="shared" si="38"/>
        <v>0</v>
      </c>
      <c r="AF11" s="19">
        <f t="shared" si="38"/>
        <v>0</v>
      </c>
      <c r="AG11" s="19">
        <f t="shared" si="38"/>
        <v>0</v>
      </c>
      <c r="AH11" s="19">
        <f t="shared" si="38"/>
        <v>0</v>
      </c>
      <c r="AI11" s="19">
        <f t="shared" si="38"/>
        <v>0</v>
      </c>
      <c r="AJ11" s="19">
        <f t="shared" si="38"/>
        <v>0</v>
      </c>
      <c r="AK11" s="19">
        <f t="shared" si="38"/>
        <v>0</v>
      </c>
      <c r="AL11" s="19">
        <f t="shared" si="38"/>
        <v>0</v>
      </c>
      <c r="AM11" s="19">
        <f t="shared" si="37"/>
        <v>0</v>
      </c>
    </row>
    <row r="12" spans="1:39" s="21" customFormat="1" ht="21" customHeight="1" x14ac:dyDescent="0.25">
      <c r="B12" s="5" t="s">
        <v>32</v>
      </c>
      <c r="C12" s="22"/>
      <c r="D12" s="23">
        <f t="shared" ref="D12:AM12" si="39">D7-D11</f>
        <v>0</v>
      </c>
      <c r="E12" s="23">
        <f t="shared" ref="E12:AL12" si="40">E7-E11</f>
        <v>0</v>
      </c>
      <c r="F12" s="23">
        <f t="shared" si="40"/>
        <v>0</v>
      </c>
      <c r="G12" s="23">
        <f t="shared" si="40"/>
        <v>0</v>
      </c>
      <c r="H12" s="23">
        <f t="shared" si="40"/>
        <v>0</v>
      </c>
      <c r="I12" s="23">
        <f t="shared" si="40"/>
        <v>0</v>
      </c>
      <c r="J12" s="23">
        <f t="shared" si="40"/>
        <v>0</v>
      </c>
      <c r="K12" s="23">
        <f t="shared" si="40"/>
        <v>0</v>
      </c>
      <c r="L12" s="23">
        <f t="shared" si="40"/>
        <v>0</v>
      </c>
      <c r="M12" s="23">
        <f t="shared" si="40"/>
        <v>0</v>
      </c>
      <c r="N12" s="23">
        <f t="shared" si="40"/>
        <v>0</v>
      </c>
      <c r="O12" s="23">
        <f t="shared" si="40"/>
        <v>0</v>
      </c>
      <c r="P12" s="23">
        <f t="shared" si="40"/>
        <v>0</v>
      </c>
      <c r="Q12" s="23">
        <f t="shared" si="40"/>
        <v>0</v>
      </c>
      <c r="R12" s="23">
        <f t="shared" si="40"/>
        <v>0</v>
      </c>
      <c r="S12" s="23">
        <f t="shared" si="40"/>
        <v>0</v>
      </c>
      <c r="T12" s="23">
        <f t="shared" si="40"/>
        <v>0</v>
      </c>
      <c r="U12" s="23">
        <f t="shared" si="40"/>
        <v>0</v>
      </c>
      <c r="V12" s="23">
        <f t="shared" si="40"/>
        <v>0</v>
      </c>
      <c r="W12" s="23">
        <f t="shared" si="40"/>
        <v>0</v>
      </c>
      <c r="X12" s="23">
        <f t="shared" si="40"/>
        <v>0</v>
      </c>
      <c r="Y12" s="23">
        <f t="shared" si="40"/>
        <v>0</v>
      </c>
      <c r="Z12" s="23">
        <f t="shared" si="40"/>
        <v>0</v>
      </c>
      <c r="AA12" s="23">
        <f t="shared" si="40"/>
        <v>0</v>
      </c>
      <c r="AB12" s="23">
        <f t="shared" si="40"/>
        <v>0</v>
      </c>
      <c r="AC12" s="23">
        <f t="shared" si="40"/>
        <v>0</v>
      </c>
      <c r="AD12" s="23">
        <f t="shared" si="40"/>
        <v>0</v>
      </c>
      <c r="AE12" s="23">
        <f t="shared" si="40"/>
        <v>0</v>
      </c>
      <c r="AF12" s="23">
        <f t="shared" si="40"/>
        <v>0</v>
      </c>
      <c r="AG12" s="23">
        <f t="shared" si="40"/>
        <v>0</v>
      </c>
      <c r="AH12" s="23">
        <f t="shared" si="40"/>
        <v>0</v>
      </c>
      <c r="AI12" s="23">
        <f t="shared" si="40"/>
        <v>0</v>
      </c>
      <c r="AJ12" s="23">
        <f t="shared" si="40"/>
        <v>0</v>
      </c>
      <c r="AK12" s="23">
        <f t="shared" si="40"/>
        <v>0</v>
      </c>
      <c r="AL12" s="23">
        <f t="shared" si="40"/>
        <v>0</v>
      </c>
      <c r="AM12" s="23">
        <f t="shared" si="39"/>
        <v>0</v>
      </c>
    </row>
    <row r="13" spans="1:39" s="17" customFormat="1" ht="21" customHeight="1" x14ac:dyDescent="0.25">
      <c r="A13" s="14"/>
      <c r="B13" s="5" t="s">
        <v>33</v>
      </c>
      <c r="C13" s="15"/>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row>
    <row r="14" spans="1:39" s="17" customFormat="1" ht="21" customHeight="1" x14ac:dyDescent="0.25">
      <c r="B14" s="4" t="s">
        <v>34</v>
      </c>
      <c r="C14" s="15"/>
      <c r="D14" s="18">
        <v>8000</v>
      </c>
      <c r="E14" s="18">
        <v>8400</v>
      </c>
      <c r="F14" s="18">
        <v>8820</v>
      </c>
      <c r="G14" s="18">
        <f>F14*(0.8)</f>
        <v>7056</v>
      </c>
      <c r="H14" s="18">
        <v>7408.8</v>
      </c>
      <c r="I14" s="18">
        <v>7779.2400000000007</v>
      </c>
      <c r="J14" s="18">
        <v>8168.2020000000011</v>
      </c>
      <c r="K14" s="18">
        <v>8576.6121000000021</v>
      </c>
      <c r="L14" s="18">
        <v>9005.4427050000031</v>
      </c>
      <c r="M14" s="18">
        <v>9455.7148402500043</v>
      </c>
      <c r="N14" s="18">
        <f>M14*(0.8)</f>
        <v>7564.5718722000038</v>
      </c>
      <c r="O14" s="18">
        <v>7942.8004658100044</v>
      </c>
      <c r="P14" s="18">
        <v>8339.9404891005051</v>
      </c>
      <c r="Q14" s="18">
        <v>8756.937513555531</v>
      </c>
      <c r="R14" s="18">
        <v>9194.7843892333076</v>
      </c>
      <c r="S14" s="18">
        <v>9654.5236086949735</v>
      </c>
      <c r="T14" s="18">
        <v>10137.249789129723</v>
      </c>
      <c r="U14" s="18">
        <v>10644.11227858621</v>
      </c>
      <c r="V14" s="18">
        <v>11176.317892515521</v>
      </c>
      <c r="W14" s="18">
        <f>V14*(0.8)</f>
        <v>8941.0543140124173</v>
      </c>
      <c r="X14" s="18">
        <v>9388.1070297130391</v>
      </c>
      <c r="Y14" s="18">
        <v>9857.5123811986923</v>
      </c>
      <c r="Z14" s="18">
        <v>10350.388000258627</v>
      </c>
      <c r="AA14" s="18">
        <v>10867.907400271559</v>
      </c>
      <c r="AB14" s="18">
        <v>11411.302770285138</v>
      </c>
      <c r="AC14" s="18">
        <v>11981.867908799395</v>
      </c>
      <c r="AD14" s="18">
        <v>12580.961304239365</v>
      </c>
      <c r="AE14" s="18">
        <f>AD14*(0.8)</f>
        <v>10064.769043391492</v>
      </c>
      <c r="AF14" s="18">
        <v>10568.007495561067</v>
      </c>
      <c r="AG14" s="18">
        <v>11096.407870339121</v>
      </c>
      <c r="AH14" s="18">
        <v>11651.228263856077</v>
      </c>
      <c r="AI14" s="18">
        <v>12233.789677048882</v>
      </c>
      <c r="AJ14" s="18">
        <v>12845.479160901326</v>
      </c>
      <c r="AK14" s="18">
        <v>13487.753118946393</v>
      </c>
      <c r="AL14" s="18">
        <v>14162.140774893714</v>
      </c>
      <c r="AM14" s="18">
        <f>AL14*(0.8)</f>
        <v>11329.712619914972</v>
      </c>
    </row>
    <row r="15" spans="1:39" s="17" customFormat="1" ht="21" customHeight="1" x14ac:dyDescent="0.25">
      <c r="B15" s="4" t="s">
        <v>35</v>
      </c>
      <c r="C15" s="15"/>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row>
    <row r="16" spans="1:39" s="17" customFormat="1" ht="21" customHeight="1" x14ac:dyDescent="0.25">
      <c r="B16" s="4" t="s">
        <v>36</v>
      </c>
      <c r="C16" s="15"/>
      <c r="D16" s="18">
        <v>10000</v>
      </c>
      <c r="E16" s="18">
        <v>10500</v>
      </c>
      <c r="F16" s="18">
        <f>E16*(0.75)</f>
        <v>7875</v>
      </c>
      <c r="G16" s="18">
        <v>8268.75</v>
      </c>
      <c r="H16" s="18">
        <v>8682.1875</v>
      </c>
      <c r="I16" s="18">
        <v>9116.296875</v>
      </c>
      <c r="J16" s="18">
        <v>9572.1117187500004</v>
      </c>
      <c r="K16" s="18">
        <v>10050.717304687501</v>
      </c>
      <c r="L16" s="18">
        <v>10553.253169921876</v>
      </c>
      <c r="M16" s="18">
        <v>11080.91582841797</v>
      </c>
      <c r="N16" s="18">
        <f>M16*(0.75)</f>
        <v>8310.6868713134772</v>
      </c>
      <c r="O16" s="18">
        <v>8726.2212148791514</v>
      </c>
      <c r="P16" s="18">
        <v>9162.5322756231089</v>
      </c>
      <c r="Q16" s="18">
        <v>9620.6588894042652</v>
      </c>
      <c r="R16" s="18">
        <v>10101.691833874478</v>
      </c>
      <c r="S16" s="18">
        <v>10606.776425568203</v>
      </c>
      <c r="T16" s="18">
        <v>11137.115246846613</v>
      </c>
      <c r="U16" s="18">
        <v>11693.971009188945</v>
      </c>
      <c r="V16" s="18">
        <v>12278.669559648393</v>
      </c>
      <c r="W16" s="18">
        <f>V16*(0.75)</f>
        <v>9209.0021697362954</v>
      </c>
      <c r="X16" s="18">
        <v>9669.4522782231106</v>
      </c>
      <c r="Y16" s="18">
        <v>10152.924892134266</v>
      </c>
      <c r="Z16" s="18">
        <v>10660.57113674098</v>
      </c>
      <c r="AA16" s="18">
        <v>11193.599693578029</v>
      </c>
      <c r="AB16" s="18">
        <v>11753.279678256931</v>
      </c>
      <c r="AC16" s="18">
        <f>AB16*(0.75)</f>
        <v>8814.9597586926975</v>
      </c>
      <c r="AD16" s="18">
        <v>9255.7077466273331</v>
      </c>
      <c r="AE16" s="18">
        <v>9718.4931339587001</v>
      </c>
      <c r="AF16" s="18">
        <v>10204.417790656635</v>
      </c>
      <c r="AG16" s="18">
        <v>10714.638680189466</v>
      </c>
      <c r="AH16" s="18">
        <f>AG16*(0.75)</f>
        <v>8035.9790101420995</v>
      </c>
      <c r="AI16" s="18">
        <v>8437.777960649204</v>
      </c>
      <c r="AJ16" s="18">
        <v>8859.666858681665</v>
      </c>
      <c r="AK16" s="18">
        <v>9302.6502016157483</v>
      </c>
      <c r="AL16" s="18">
        <f>AK16*(0.75)</f>
        <v>6976.9876512118117</v>
      </c>
      <c r="AM16" s="18">
        <v>7325.8370337724027</v>
      </c>
    </row>
    <row r="17" spans="2:39" s="17" customFormat="1" ht="21" customHeight="1" x14ac:dyDescent="0.25">
      <c r="B17" s="4" t="s">
        <v>37</v>
      </c>
      <c r="C17" s="15"/>
      <c r="D17" s="18">
        <v>8500</v>
      </c>
      <c r="E17" s="18">
        <f>D17*(0.6)</f>
        <v>5100</v>
      </c>
      <c r="F17" s="18">
        <v>5355</v>
      </c>
      <c r="G17" s="18">
        <v>5622.75</v>
      </c>
      <c r="H17" s="18">
        <v>5903.8874999999998</v>
      </c>
      <c r="I17" s="18">
        <v>6199.0818749999999</v>
      </c>
      <c r="J17" s="18">
        <v>6509.0359687500004</v>
      </c>
      <c r="K17" s="18">
        <v>6834.487767187501</v>
      </c>
      <c r="L17" s="18">
        <v>7176.2121555468766</v>
      </c>
      <c r="M17" s="18">
        <v>7535.0227633242212</v>
      </c>
      <c r="N17" s="18">
        <v>7911.7739014904328</v>
      </c>
      <c r="O17" s="18">
        <v>8307.3625965649553</v>
      </c>
      <c r="P17" s="18">
        <v>8722.7307263932034</v>
      </c>
      <c r="Q17" s="18">
        <v>9158.8672627128635</v>
      </c>
      <c r="R17" s="18">
        <v>9616.8106258485077</v>
      </c>
      <c r="S17" s="18">
        <f>R17*(0.6)</f>
        <v>5770.0863755091041</v>
      </c>
      <c r="T17" s="18">
        <v>6058.5906942845595</v>
      </c>
      <c r="U17" s="18">
        <v>6361.5202289987874</v>
      </c>
      <c r="V17" s="18">
        <v>6679.5962404487273</v>
      </c>
      <c r="W17" s="18">
        <v>7013.5760524711641</v>
      </c>
      <c r="X17" s="18">
        <v>7364.2548550947222</v>
      </c>
      <c r="Y17" s="18">
        <v>7732.4675978494588</v>
      </c>
      <c r="Z17" s="18">
        <v>8119.090977741932</v>
      </c>
      <c r="AA17" s="18">
        <v>8525.0455266290282</v>
      </c>
      <c r="AB17" s="18">
        <v>8951.2978029604801</v>
      </c>
      <c r="AC17" s="18">
        <v>9398.8626931085037</v>
      </c>
      <c r="AD17" s="18">
        <v>9868.8058277639284</v>
      </c>
      <c r="AE17" s="18">
        <v>10362.246119152125</v>
      </c>
      <c r="AF17" s="18">
        <f>AE17*(0.6)</f>
        <v>6217.3476714912749</v>
      </c>
      <c r="AG17" s="18">
        <v>6528.2150550658389</v>
      </c>
      <c r="AH17" s="18">
        <v>6854.6258078191313</v>
      </c>
      <c r="AI17" s="18">
        <v>7197.3570982100882</v>
      </c>
      <c r="AJ17" s="18">
        <v>7557.2249531205925</v>
      </c>
      <c r="AK17" s="18">
        <v>7935.0862007766227</v>
      </c>
      <c r="AL17" s="18">
        <v>8331.8405108154548</v>
      </c>
      <c r="AM17" s="18">
        <v>8748.4325363562275</v>
      </c>
    </row>
    <row r="18" spans="2:39" s="17" customFormat="1" ht="21" customHeight="1" x14ac:dyDescent="0.25">
      <c r="B18" s="4" t="s">
        <v>38</v>
      </c>
      <c r="C18" s="15"/>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row>
    <row r="19" spans="2:39" s="21" customFormat="1" ht="21" customHeight="1" x14ac:dyDescent="0.25">
      <c r="B19" s="6" t="s">
        <v>39</v>
      </c>
      <c r="C19" s="22"/>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row>
    <row r="20" spans="2:39" s="17" customFormat="1" ht="21" customHeight="1" x14ac:dyDescent="0.25">
      <c r="B20" s="7" t="s">
        <v>40</v>
      </c>
      <c r="C20" s="15"/>
      <c r="D20" s="18">
        <v>800</v>
      </c>
      <c r="E20" s="18">
        <v>840</v>
      </c>
      <c r="F20" s="18">
        <v>882</v>
      </c>
      <c r="G20" s="18">
        <v>926.1</v>
      </c>
      <c r="H20" s="18">
        <v>972.40500000000009</v>
      </c>
      <c r="I20" s="18">
        <v>1021.0252500000001</v>
      </c>
      <c r="J20" s="18">
        <v>1072.0765125000003</v>
      </c>
      <c r="K20" s="18">
        <v>1125.6803381250004</v>
      </c>
      <c r="L20" s="18">
        <v>1181.9643550312505</v>
      </c>
      <c r="M20" s="18">
        <v>1241.062572782813</v>
      </c>
      <c r="N20" s="18">
        <v>1303.1157014219536</v>
      </c>
      <c r="O20" s="18">
        <v>1368.2714864930515</v>
      </c>
      <c r="P20" s="18">
        <v>1436.6850608177042</v>
      </c>
      <c r="Q20" s="18">
        <v>1508.5193138585894</v>
      </c>
      <c r="R20" s="18">
        <v>1583.945279551519</v>
      </c>
      <c r="S20" s="18">
        <v>1663.1425435290951</v>
      </c>
      <c r="T20" s="18">
        <v>1746.2996707055499</v>
      </c>
      <c r="U20" s="18">
        <v>1833.6146542408276</v>
      </c>
      <c r="V20" s="18">
        <v>1925.295386952869</v>
      </c>
      <c r="W20" s="18">
        <v>2021.5601563005125</v>
      </c>
      <c r="X20" s="18">
        <v>2122.6381641155381</v>
      </c>
      <c r="Y20" s="18">
        <v>2228.7700723213152</v>
      </c>
      <c r="Z20" s="18">
        <v>2340.2085759373808</v>
      </c>
      <c r="AA20" s="18">
        <v>2457.2190047342501</v>
      </c>
      <c r="AB20" s="18">
        <v>2580.0799549709627</v>
      </c>
      <c r="AC20" s="18">
        <v>2709.0839527195108</v>
      </c>
      <c r="AD20" s="18">
        <v>2844.5381503554863</v>
      </c>
      <c r="AE20" s="18">
        <v>2986.765057873261</v>
      </c>
      <c r="AF20" s="18">
        <v>3136.1033107669241</v>
      </c>
      <c r="AG20" s="18">
        <v>3292.9084763052706</v>
      </c>
      <c r="AH20" s="18">
        <v>3457.5539001205343</v>
      </c>
      <c r="AI20" s="18">
        <v>3630.4315951265612</v>
      </c>
      <c r="AJ20" s="18">
        <v>3811.9531748828895</v>
      </c>
      <c r="AK20" s="18">
        <v>4002.5508336270341</v>
      </c>
      <c r="AL20" s="18">
        <v>4202.6783753083855</v>
      </c>
      <c r="AM20" s="18">
        <v>4412.8122940738049</v>
      </c>
    </row>
    <row r="21" spans="2:39" s="17" customFormat="1" ht="21" customHeight="1" x14ac:dyDescent="0.25">
      <c r="B21" s="7" t="s">
        <v>41</v>
      </c>
      <c r="C21" s="15"/>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c r="AL21" s="18">
        <v>0</v>
      </c>
      <c r="AM21" s="18">
        <v>0</v>
      </c>
    </row>
    <row r="22" spans="2:39" s="17" customFormat="1" ht="21" customHeight="1" x14ac:dyDescent="0.25">
      <c r="B22" s="7" t="s">
        <v>42</v>
      </c>
      <c r="C22" s="15"/>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row>
    <row r="23" spans="2:39" s="17" customFormat="1" ht="21" customHeight="1" x14ac:dyDescent="0.25">
      <c r="B23" s="6" t="s">
        <v>43</v>
      </c>
      <c r="C23" s="15"/>
      <c r="D23" s="19">
        <f t="shared" ref="D23:AM23" si="41">SUM(D22, D21, D20 + D19)</f>
        <v>800</v>
      </c>
      <c r="E23" s="19">
        <f t="shared" ref="E23:AL23" si="42">SUM(E22, E21, E20 + E19)</f>
        <v>840</v>
      </c>
      <c r="F23" s="19">
        <f t="shared" si="42"/>
        <v>882</v>
      </c>
      <c r="G23" s="19">
        <f t="shared" si="42"/>
        <v>926.1</v>
      </c>
      <c r="H23" s="19">
        <f t="shared" si="42"/>
        <v>972.40500000000009</v>
      </c>
      <c r="I23" s="19">
        <f t="shared" si="42"/>
        <v>1021.0252500000001</v>
      </c>
      <c r="J23" s="19">
        <f t="shared" si="42"/>
        <v>1072.0765125000003</v>
      </c>
      <c r="K23" s="19">
        <f t="shared" si="42"/>
        <v>1125.6803381250004</v>
      </c>
      <c r="L23" s="19">
        <f t="shared" si="42"/>
        <v>1181.9643550312505</v>
      </c>
      <c r="M23" s="19">
        <f t="shared" si="42"/>
        <v>1241.062572782813</v>
      </c>
      <c r="N23" s="19">
        <f t="shared" si="42"/>
        <v>1303.1157014219536</v>
      </c>
      <c r="O23" s="19">
        <f t="shared" si="42"/>
        <v>1368.2714864930515</v>
      </c>
      <c r="P23" s="19">
        <f t="shared" si="42"/>
        <v>1436.6850608177042</v>
      </c>
      <c r="Q23" s="19">
        <f t="shared" si="42"/>
        <v>1508.5193138585894</v>
      </c>
      <c r="R23" s="19">
        <f t="shared" si="42"/>
        <v>1583.945279551519</v>
      </c>
      <c r="S23" s="19">
        <f t="shared" si="42"/>
        <v>1663.1425435290951</v>
      </c>
      <c r="T23" s="19">
        <f t="shared" si="42"/>
        <v>1746.2996707055499</v>
      </c>
      <c r="U23" s="19">
        <f t="shared" si="42"/>
        <v>1833.6146542408276</v>
      </c>
      <c r="V23" s="19">
        <f t="shared" si="42"/>
        <v>1925.295386952869</v>
      </c>
      <c r="W23" s="19">
        <f t="shared" si="42"/>
        <v>2021.5601563005125</v>
      </c>
      <c r="X23" s="19">
        <f t="shared" si="42"/>
        <v>2122.6381641155381</v>
      </c>
      <c r="Y23" s="19">
        <f t="shared" si="42"/>
        <v>2228.7700723213152</v>
      </c>
      <c r="Z23" s="19">
        <f t="shared" si="42"/>
        <v>2340.2085759373808</v>
      </c>
      <c r="AA23" s="19">
        <f t="shared" si="42"/>
        <v>2457.2190047342501</v>
      </c>
      <c r="AB23" s="19">
        <f t="shared" si="42"/>
        <v>2580.0799549709627</v>
      </c>
      <c r="AC23" s="19">
        <f t="shared" si="42"/>
        <v>2709.0839527195108</v>
      </c>
      <c r="AD23" s="19">
        <f t="shared" si="42"/>
        <v>2844.5381503554863</v>
      </c>
      <c r="AE23" s="19">
        <f t="shared" si="42"/>
        <v>2986.765057873261</v>
      </c>
      <c r="AF23" s="19">
        <f t="shared" si="42"/>
        <v>3136.1033107669241</v>
      </c>
      <c r="AG23" s="19">
        <f t="shared" si="42"/>
        <v>3292.9084763052706</v>
      </c>
      <c r="AH23" s="19">
        <f t="shared" si="42"/>
        <v>3457.5539001205343</v>
      </c>
      <c r="AI23" s="19">
        <f t="shared" si="42"/>
        <v>3630.4315951265612</v>
      </c>
      <c r="AJ23" s="19">
        <f t="shared" si="42"/>
        <v>3811.9531748828895</v>
      </c>
      <c r="AK23" s="19">
        <f t="shared" si="42"/>
        <v>4002.5508336270341</v>
      </c>
      <c r="AL23" s="19">
        <f t="shared" si="42"/>
        <v>4202.6783753083855</v>
      </c>
      <c r="AM23" s="19">
        <f t="shared" si="41"/>
        <v>4412.8122940738049</v>
      </c>
    </row>
    <row r="24" spans="2:39" s="21" customFormat="1" ht="21" customHeight="1" x14ac:dyDescent="0.25">
      <c r="B24" s="6" t="s">
        <v>44</v>
      </c>
      <c r="C24" s="22"/>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row>
    <row r="25" spans="2:39" s="17" customFormat="1" ht="21" customHeight="1" x14ac:dyDescent="0.25">
      <c r="B25" s="7" t="s">
        <v>45</v>
      </c>
      <c r="C25" s="15"/>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c r="AL25" s="18">
        <v>0</v>
      </c>
      <c r="AM25" s="18">
        <v>0</v>
      </c>
    </row>
    <row r="26" spans="2:39" s="17" customFormat="1" ht="21" customHeight="1" x14ac:dyDescent="0.25">
      <c r="B26" s="7" t="s">
        <v>46</v>
      </c>
      <c r="C26" s="15"/>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row>
    <row r="27" spans="2:39" s="17" customFormat="1" ht="21" customHeight="1" x14ac:dyDescent="0.25">
      <c r="B27" s="7" t="s">
        <v>47</v>
      </c>
      <c r="C27" s="15"/>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row>
    <row r="28" spans="2:39" s="17" customFormat="1" ht="21" customHeight="1" x14ac:dyDescent="0.25">
      <c r="B28" s="7" t="s">
        <v>48</v>
      </c>
      <c r="C28" s="15"/>
      <c r="D28" s="18">
        <v>2000</v>
      </c>
      <c r="E28" s="18">
        <v>2100</v>
      </c>
      <c r="F28" s="18">
        <v>2205</v>
      </c>
      <c r="G28" s="18">
        <v>2315.25</v>
      </c>
      <c r="H28" s="18">
        <v>2431.0125000000003</v>
      </c>
      <c r="I28" s="18">
        <v>2552.5631250000006</v>
      </c>
      <c r="J28" s="18">
        <v>2680.1912812500009</v>
      </c>
      <c r="K28" s="18">
        <v>2814.2008453125009</v>
      </c>
      <c r="L28" s="18">
        <v>2954.9108875781262</v>
      </c>
      <c r="M28" s="18">
        <v>3102.6564319570325</v>
      </c>
      <c r="N28" s="18">
        <v>3257.7892535548845</v>
      </c>
      <c r="O28" s="18">
        <v>3420.6787162326286</v>
      </c>
      <c r="P28" s="18">
        <v>3591.7126520442603</v>
      </c>
      <c r="Q28" s="18">
        <v>3771.2982846464733</v>
      </c>
      <c r="R28" s="18">
        <v>3959.863198878797</v>
      </c>
      <c r="S28" s="18">
        <v>4157.8563588227371</v>
      </c>
      <c r="T28" s="18">
        <v>4365.7491767638739</v>
      </c>
      <c r="U28" s="18">
        <v>4584.0366356020677</v>
      </c>
      <c r="V28" s="18">
        <v>4813.2384673821716</v>
      </c>
      <c r="W28" s="18">
        <v>5053.9003907512806</v>
      </c>
      <c r="X28" s="18">
        <v>5306.5954102888445</v>
      </c>
      <c r="Y28" s="18">
        <v>5571.9251808032868</v>
      </c>
      <c r="Z28" s="18">
        <v>5850.5214398434518</v>
      </c>
      <c r="AA28" s="18">
        <v>6143.0475118356244</v>
      </c>
      <c r="AB28" s="18">
        <v>6450.1998874274059</v>
      </c>
      <c r="AC28" s="18">
        <v>6772.7098817987762</v>
      </c>
      <c r="AD28" s="18">
        <v>7111.3453758887154</v>
      </c>
      <c r="AE28" s="18">
        <v>7466.9126446831515</v>
      </c>
      <c r="AF28" s="18">
        <v>7840.2582769173096</v>
      </c>
      <c r="AG28" s="18">
        <v>8232.2711907631747</v>
      </c>
      <c r="AH28" s="18">
        <v>8643.884750301333</v>
      </c>
      <c r="AI28" s="18">
        <v>9076.0789878163996</v>
      </c>
      <c r="AJ28" s="18">
        <v>9529.8829372072196</v>
      </c>
      <c r="AK28" s="18">
        <v>10006.377084067581</v>
      </c>
      <c r="AL28" s="18">
        <v>10506.695938270959</v>
      </c>
      <c r="AM28" s="18">
        <v>11032.030735184508</v>
      </c>
    </row>
    <row r="29" spans="2:39" s="17" customFormat="1" ht="21" customHeight="1" x14ac:dyDescent="0.25">
      <c r="B29" s="6" t="s">
        <v>49</v>
      </c>
      <c r="C29" s="15"/>
      <c r="D29" s="19">
        <f t="shared" ref="D29:AM29" si="43">SUM(D28, D27, D26, D25 + D24)</f>
        <v>2000</v>
      </c>
      <c r="E29" s="19">
        <f t="shared" ref="E29:AL29" si="44">SUM(E28, E27, E26, E25 + E24)</f>
        <v>2100</v>
      </c>
      <c r="F29" s="19">
        <f t="shared" si="44"/>
        <v>2205</v>
      </c>
      <c r="G29" s="19">
        <f t="shared" si="44"/>
        <v>2315.25</v>
      </c>
      <c r="H29" s="19">
        <f t="shared" si="44"/>
        <v>2431.0125000000003</v>
      </c>
      <c r="I29" s="19">
        <f t="shared" si="44"/>
        <v>2552.5631250000006</v>
      </c>
      <c r="J29" s="19">
        <f t="shared" si="44"/>
        <v>2680.1912812500009</v>
      </c>
      <c r="K29" s="19">
        <f t="shared" si="44"/>
        <v>2814.2008453125009</v>
      </c>
      <c r="L29" s="19">
        <f t="shared" si="44"/>
        <v>2954.9108875781262</v>
      </c>
      <c r="M29" s="19">
        <f t="shared" si="44"/>
        <v>3102.6564319570325</v>
      </c>
      <c r="N29" s="19">
        <f t="shared" si="44"/>
        <v>3257.7892535548845</v>
      </c>
      <c r="O29" s="19">
        <f t="shared" si="44"/>
        <v>3420.6787162326286</v>
      </c>
      <c r="P29" s="19">
        <f t="shared" si="44"/>
        <v>3591.7126520442603</v>
      </c>
      <c r="Q29" s="19">
        <f t="shared" si="44"/>
        <v>3771.2982846464733</v>
      </c>
      <c r="R29" s="19">
        <f t="shared" si="44"/>
        <v>3959.863198878797</v>
      </c>
      <c r="S29" s="19">
        <f t="shared" si="44"/>
        <v>4157.8563588227371</v>
      </c>
      <c r="T29" s="19">
        <f t="shared" si="44"/>
        <v>4365.7491767638739</v>
      </c>
      <c r="U29" s="19">
        <f t="shared" si="44"/>
        <v>4584.0366356020677</v>
      </c>
      <c r="V29" s="19">
        <f t="shared" si="44"/>
        <v>4813.2384673821716</v>
      </c>
      <c r="W29" s="19">
        <f t="shared" si="44"/>
        <v>5053.9003907512806</v>
      </c>
      <c r="X29" s="19">
        <f t="shared" si="44"/>
        <v>5306.5954102888445</v>
      </c>
      <c r="Y29" s="19">
        <f t="shared" si="44"/>
        <v>5571.9251808032868</v>
      </c>
      <c r="Z29" s="19">
        <f t="shared" si="44"/>
        <v>5850.5214398434518</v>
      </c>
      <c r="AA29" s="19">
        <f t="shared" si="44"/>
        <v>6143.0475118356244</v>
      </c>
      <c r="AB29" s="19">
        <f t="shared" si="44"/>
        <v>6450.1998874274059</v>
      </c>
      <c r="AC29" s="19">
        <f t="shared" si="44"/>
        <v>6772.7098817987762</v>
      </c>
      <c r="AD29" s="19">
        <f t="shared" si="44"/>
        <v>7111.3453758887154</v>
      </c>
      <c r="AE29" s="19">
        <f t="shared" si="44"/>
        <v>7466.9126446831515</v>
      </c>
      <c r="AF29" s="19">
        <f t="shared" si="44"/>
        <v>7840.2582769173096</v>
      </c>
      <c r="AG29" s="19">
        <f t="shared" si="44"/>
        <v>8232.2711907631747</v>
      </c>
      <c r="AH29" s="19">
        <f t="shared" si="44"/>
        <v>8643.884750301333</v>
      </c>
      <c r="AI29" s="19">
        <f t="shared" si="44"/>
        <v>9076.0789878163996</v>
      </c>
      <c r="AJ29" s="19">
        <f t="shared" si="44"/>
        <v>9529.8829372072196</v>
      </c>
      <c r="AK29" s="19">
        <f t="shared" si="44"/>
        <v>10006.377084067581</v>
      </c>
      <c r="AL29" s="19">
        <f t="shared" si="44"/>
        <v>10506.695938270959</v>
      </c>
      <c r="AM29" s="19">
        <f t="shared" si="43"/>
        <v>11032.030735184508</v>
      </c>
    </row>
    <row r="30" spans="2:39" s="21" customFormat="1" ht="21" customHeight="1" x14ac:dyDescent="0.25">
      <c r="B30" s="6" t="s">
        <v>50</v>
      </c>
      <c r="C30" s="22"/>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c r="AL30" s="18">
        <v>0</v>
      </c>
      <c r="AM30" s="18">
        <v>0</v>
      </c>
    </row>
    <row r="31" spans="2:39" s="17" customFormat="1" ht="21" customHeight="1" x14ac:dyDescent="0.25">
      <c r="B31" s="7" t="s">
        <v>51</v>
      </c>
      <c r="C31" s="15"/>
      <c r="D31" s="18">
        <v>11475</v>
      </c>
      <c r="E31" s="18">
        <v>12048.75</v>
      </c>
      <c r="F31" s="18">
        <v>12651.1875</v>
      </c>
      <c r="G31" s="18">
        <f>F31*(0.8)</f>
        <v>10120.950000000001</v>
      </c>
      <c r="H31" s="18">
        <v>10626.997500000001</v>
      </c>
      <c r="I31" s="18">
        <v>11158.347375000001</v>
      </c>
      <c r="J31" s="18">
        <v>11716.264743750002</v>
      </c>
      <c r="K31" s="18">
        <v>12302.077980937502</v>
      </c>
      <c r="L31" s="18">
        <v>12917.181879984377</v>
      </c>
      <c r="M31" s="18">
        <f>L31*(0.8)</f>
        <v>10333.745503987502</v>
      </c>
      <c r="N31" s="18">
        <v>10850.432779186878</v>
      </c>
      <c r="O31" s="18">
        <v>11392.954418146222</v>
      </c>
      <c r="P31" s="18">
        <v>11962.602139053533</v>
      </c>
      <c r="Q31" s="18">
        <v>12560.732246006211</v>
      </c>
      <c r="R31" s="18">
        <v>13188.768858306523</v>
      </c>
      <c r="S31" s="18">
        <v>13848.20730122185</v>
      </c>
      <c r="T31" s="18">
        <v>14540.617666282942</v>
      </c>
      <c r="U31" s="18">
        <f t="shared" ref="U31:V31" si="45">T31*(0.8)</f>
        <v>11632.494133026354</v>
      </c>
      <c r="V31" s="18">
        <f t="shared" si="45"/>
        <v>9305.995306421084</v>
      </c>
      <c r="W31" s="18">
        <v>9771.295071742139</v>
      </c>
      <c r="X31" s="18">
        <v>10259.859825329246</v>
      </c>
      <c r="Y31" s="18">
        <v>10772.852816595709</v>
      </c>
      <c r="Z31" s="18">
        <v>11311.495457425495</v>
      </c>
      <c r="AA31" s="18">
        <v>11877.070230296771</v>
      </c>
      <c r="AB31" s="18">
        <f>AA31*(0.8)</f>
        <v>9501.6561842374176</v>
      </c>
      <c r="AC31" s="18">
        <v>9976.7389934492894</v>
      </c>
      <c r="AD31" s="18">
        <v>10475.575943121754</v>
      </c>
      <c r="AE31" s="18">
        <v>10999.354740277842</v>
      </c>
      <c r="AF31" s="18">
        <v>11549.322477291735</v>
      </c>
      <c r="AG31" s="18">
        <v>12126.788601156322</v>
      </c>
      <c r="AH31" s="18">
        <f>AG31*(0.8)</f>
        <v>9701.4308809250579</v>
      </c>
      <c r="AI31" s="18">
        <v>10186.502424971311</v>
      </c>
      <c r="AJ31" s="18">
        <v>10695.827546219878</v>
      </c>
      <c r="AK31" s="18">
        <v>11230.618923530872</v>
      </c>
      <c r="AL31" s="18">
        <v>11792.149869707417</v>
      </c>
      <c r="AM31" s="18">
        <v>12381.757363192788</v>
      </c>
    </row>
    <row r="32" spans="2:39" s="17" customFormat="1" ht="21" customHeight="1" x14ac:dyDescent="0.25">
      <c r="B32" s="7" t="s">
        <v>52</v>
      </c>
      <c r="C32" s="15"/>
      <c r="D32" s="18">
        <v>918</v>
      </c>
      <c r="E32" s="18">
        <v>963.90000000000009</v>
      </c>
      <c r="F32" s="18">
        <v>1012.0950000000001</v>
      </c>
      <c r="G32" s="18">
        <v>1062.6997500000002</v>
      </c>
      <c r="H32" s="18">
        <v>1115.8347375000003</v>
      </c>
      <c r="I32" s="18">
        <v>1171.6264743750003</v>
      </c>
      <c r="J32" s="18">
        <f>I32*(0.75)</f>
        <v>878.7198557812502</v>
      </c>
      <c r="K32" s="18">
        <v>922.65584857031274</v>
      </c>
      <c r="L32" s="18">
        <v>968.78864099882844</v>
      </c>
      <c r="M32" s="18">
        <v>1017.2280730487699</v>
      </c>
      <c r="N32" s="18">
        <v>1068.0894767012085</v>
      </c>
      <c r="O32" s="18">
        <v>1121.493950536269</v>
      </c>
      <c r="P32" s="18">
        <v>1177.5686480630825</v>
      </c>
      <c r="Q32" s="18">
        <v>1236.4470804662367</v>
      </c>
      <c r="R32" s="18">
        <v>1298.2694344895485</v>
      </c>
      <c r="S32" s="18">
        <f>R32*(0.75)</f>
        <v>973.7020758671614</v>
      </c>
      <c r="T32" s="18">
        <v>1022.3871796605196</v>
      </c>
      <c r="U32" s="18">
        <v>1073.5065386435456</v>
      </c>
      <c r="V32" s="18">
        <v>1127.1818655757229</v>
      </c>
      <c r="W32" s="18">
        <v>1183.5409588545092</v>
      </c>
      <c r="X32" s="18">
        <v>1242.7180067972347</v>
      </c>
      <c r="Y32" s="18">
        <f>X32*(0.75)</f>
        <v>932.03850509792596</v>
      </c>
      <c r="Z32" s="18">
        <v>978.64043035282225</v>
      </c>
      <c r="AA32" s="18">
        <v>1027.5724518704635</v>
      </c>
      <c r="AB32" s="18">
        <v>1078.9510744639867</v>
      </c>
      <c r="AC32" s="18">
        <v>1132.8986281871862</v>
      </c>
      <c r="AD32" s="18">
        <v>1189.5435595965455</v>
      </c>
      <c r="AE32" s="18">
        <v>1249.0207375763728</v>
      </c>
      <c r="AF32" s="18">
        <v>1311.4717744551915</v>
      </c>
      <c r="AG32" s="18">
        <v>1377.0453631779512</v>
      </c>
      <c r="AH32" s="18">
        <v>1445.8976313368489</v>
      </c>
      <c r="AI32" s="18">
        <v>1518.1925129036915</v>
      </c>
      <c r="AJ32" s="18">
        <v>1594.1021385488762</v>
      </c>
      <c r="AK32" s="18">
        <v>1673.8072454763201</v>
      </c>
      <c r="AL32" s="18">
        <v>1757.4976077501362</v>
      </c>
      <c r="AM32" s="18">
        <v>1845.3724881376431</v>
      </c>
    </row>
    <row r="33" spans="2:39" s="17" customFormat="1" ht="21" customHeight="1" x14ac:dyDescent="0.25">
      <c r="B33" s="7" t="s">
        <v>53</v>
      </c>
      <c r="C33" s="15"/>
      <c r="D33" s="18">
        <v>1147.5</v>
      </c>
      <c r="E33" s="18">
        <f>D33*(0.75)</f>
        <v>860.625</v>
      </c>
      <c r="F33" s="18">
        <v>903.65625</v>
      </c>
      <c r="G33" s="18">
        <v>948.83906250000007</v>
      </c>
      <c r="H33" s="18">
        <v>996.28101562500012</v>
      </c>
      <c r="I33" s="18">
        <v>1046.0950664062502</v>
      </c>
      <c r="J33" s="18">
        <v>1098.3998197265628</v>
      </c>
      <c r="K33" s="18">
        <v>1153.319810712891</v>
      </c>
      <c r="L33" s="18">
        <f>K33*(0.75)</f>
        <v>864.98985803466826</v>
      </c>
      <c r="M33" s="18">
        <v>908.23935093640171</v>
      </c>
      <c r="N33" s="18">
        <v>953.65131848322187</v>
      </c>
      <c r="O33" s="18">
        <v>1001.333884407383</v>
      </c>
      <c r="P33" s="18">
        <v>1051.4005786277523</v>
      </c>
      <c r="Q33" s="18">
        <v>1103.97060755914</v>
      </c>
      <c r="R33" s="18">
        <v>1159.169137937097</v>
      </c>
      <c r="S33" s="18">
        <v>1217.1275948339519</v>
      </c>
      <c r="T33" s="18">
        <f>S33*(0.75)</f>
        <v>912.84569612546397</v>
      </c>
      <c r="U33" s="18">
        <v>958.48798093173718</v>
      </c>
      <c r="V33" s="18">
        <v>1006.4123799783241</v>
      </c>
      <c r="W33" s="18">
        <v>1056.7329989772404</v>
      </c>
      <c r="X33" s="18">
        <v>1109.5696489261024</v>
      </c>
      <c r="Y33" s="18">
        <f>X33*(0.75)</f>
        <v>832.17723669457678</v>
      </c>
      <c r="Z33" s="18">
        <v>873.7860985293056</v>
      </c>
      <c r="AA33" s="18">
        <v>917.4754034557709</v>
      </c>
      <c r="AB33" s="18">
        <v>963.34917362855947</v>
      </c>
      <c r="AC33" s="18">
        <v>1011.5166323099875</v>
      </c>
      <c r="AD33" s="18">
        <v>1062.092463925487</v>
      </c>
      <c r="AE33" s="18">
        <v>1115.1970871217613</v>
      </c>
      <c r="AF33" s="18">
        <v>1170.9569414778496</v>
      </c>
      <c r="AG33" s="18">
        <v>1229.5047885517422</v>
      </c>
      <c r="AH33" s="18">
        <v>1290.9800279793294</v>
      </c>
      <c r="AI33" s="18">
        <v>1355.5290293782959</v>
      </c>
      <c r="AJ33" s="18">
        <v>1423.3054808472109</v>
      </c>
      <c r="AK33" s="18">
        <v>1494.4707548895715</v>
      </c>
      <c r="AL33" s="18">
        <v>1569.19429263405</v>
      </c>
      <c r="AM33" s="18">
        <v>1647.6540072657526</v>
      </c>
    </row>
    <row r="34" spans="2:39" s="17" customFormat="1" ht="21" customHeight="1" x14ac:dyDescent="0.25">
      <c r="B34" s="7" t="s">
        <v>54</v>
      </c>
      <c r="C34" s="15"/>
      <c r="D34" s="18">
        <v>57.375</v>
      </c>
      <c r="E34" s="18">
        <v>60.243750000000006</v>
      </c>
      <c r="F34" s="18">
        <v>63.255937500000009</v>
      </c>
      <c r="G34" s="18">
        <v>66.418734375000014</v>
      </c>
      <c r="H34" s="18">
        <v>69.739671093750019</v>
      </c>
      <c r="I34" s="18">
        <v>73.226654648437517</v>
      </c>
      <c r="J34" s="18">
        <v>76.8879873808594</v>
      </c>
      <c r="K34" s="18">
        <v>80.732386749902375</v>
      </c>
      <c r="L34" s="18">
        <v>84.7690060873975</v>
      </c>
      <c r="M34" s="18">
        <v>89.007456391767377</v>
      </c>
      <c r="N34" s="18">
        <v>93.457829211355744</v>
      </c>
      <c r="O34" s="18">
        <v>98.130720671923541</v>
      </c>
      <c r="P34" s="18">
        <v>103.03725670551972</v>
      </c>
      <c r="Q34" s="18">
        <v>108.18911954079572</v>
      </c>
      <c r="R34" s="18">
        <v>113.5985755178355</v>
      </c>
      <c r="S34" s="18">
        <v>119.27850429372728</v>
      </c>
      <c r="T34" s="18">
        <v>125.24242950841365</v>
      </c>
      <c r="U34" s="18">
        <v>131.50455098383435</v>
      </c>
      <c r="V34" s="18">
        <v>138.07977853302609</v>
      </c>
      <c r="W34" s="18">
        <v>144.98376745967741</v>
      </c>
      <c r="X34" s="18">
        <v>152.23295583266128</v>
      </c>
      <c r="Y34" s="18">
        <v>159.84460362429434</v>
      </c>
      <c r="Z34" s="18">
        <v>167.83683380550906</v>
      </c>
      <c r="AA34" s="18">
        <v>176.22867549578453</v>
      </c>
      <c r="AB34" s="18">
        <v>185.04010927057377</v>
      </c>
      <c r="AC34" s="18">
        <v>194.29211473410246</v>
      </c>
      <c r="AD34" s="18">
        <v>204.00672047080758</v>
      </c>
      <c r="AE34" s="18">
        <v>214.20705649434797</v>
      </c>
      <c r="AF34" s="18">
        <v>224.91740931906537</v>
      </c>
      <c r="AG34" s="18">
        <v>236.16327978501866</v>
      </c>
      <c r="AH34" s="18">
        <v>247.9714437742696</v>
      </c>
      <c r="AI34" s="18">
        <v>260.37001596298308</v>
      </c>
      <c r="AJ34" s="18">
        <v>273.38851676113222</v>
      </c>
      <c r="AK34" s="18">
        <v>287.05794259918883</v>
      </c>
      <c r="AL34" s="18">
        <v>301.41083972914828</v>
      </c>
      <c r="AM34" s="18">
        <v>316.48138171560572</v>
      </c>
    </row>
    <row r="35" spans="2:39" s="17" customFormat="1" ht="21" customHeight="1" x14ac:dyDescent="0.25">
      <c r="B35" s="7" t="s">
        <v>55</v>
      </c>
      <c r="C35" s="15"/>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c r="AL35" s="18">
        <v>0</v>
      </c>
      <c r="AM35" s="18">
        <v>0</v>
      </c>
    </row>
    <row r="36" spans="2:39" s="17" customFormat="1" ht="21" customHeight="1" x14ac:dyDescent="0.25">
      <c r="B36" s="6" t="s">
        <v>56</v>
      </c>
      <c r="C36" s="15"/>
      <c r="D36" s="19">
        <f t="shared" ref="D36:AM36" si="46">SUM(D35, D34, D33, D32, D31 + D30)</f>
        <v>13597.875</v>
      </c>
      <c r="E36" s="19">
        <f t="shared" ref="E36:AL36" si="47">SUM(E35, E34, E33, E32, E31 + E30)</f>
        <v>13933.518749999999</v>
      </c>
      <c r="F36" s="19">
        <f t="shared" si="47"/>
        <v>14630.194687499999</v>
      </c>
      <c r="G36" s="19">
        <f t="shared" si="47"/>
        <v>12198.907546875002</v>
      </c>
      <c r="H36" s="19">
        <f t="shared" si="47"/>
        <v>12808.852924218751</v>
      </c>
      <c r="I36" s="19">
        <f t="shared" si="47"/>
        <v>13449.295570429689</v>
      </c>
      <c r="J36" s="19">
        <f t="shared" si="47"/>
        <v>13770.272406638675</v>
      </c>
      <c r="K36" s="19">
        <f t="shared" si="47"/>
        <v>14458.786026970607</v>
      </c>
      <c r="L36" s="19">
        <f t="shared" si="47"/>
        <v>14835.729385105271</v>
      </c>
      <c r="M36" s="19">
        <f t="shared" si="47"/>
        <v>12348.220384364442</v>
      </c>
      <c r="N36" s="19">
        <f t="shared" si="47"/>
        <v>12965.631403582665</v>
      </c>
      <c r="O36" s="19">
        <f t="shared" si="47"/>
        <v>13613.912973761799</v>
      </c>
      <c r="P36" s="19">
        <f t="shared" si="47"/>
        <v>14294.608622449887</v>
      </c>
      <c r="Q36" s="19">
        <f t="shared" si="47"/>
        <v>15009.339053572385</v>
      </c>
      <c r="R36" s="19">
        <f t="shared" si="47"/>
        <v>15759.806006251005</v>
      </c>
      <c r="S36" s="19">
        <f t="shared" si="47"/>
        <v>16158.315476216691</v>
      </c>
      <c r="T36" s="19">
        <f t="shared" si="47"/>
        <v>16601.092971577338</v>
      </c>
      <c r="U36" s="19">
        <f t="shared" si="47"/>
        <v>13795.993203585471</v>
      </c>
      <c r="V36" s="19">
        <f t="shared" si="47"/>
        <v>11577.669330508157</v>
      </c>
      <c r="W36" s="19">
        <f t="shared" si="47"/>
        <v>12156.552797033566</v>
      </c>
      <c r="X36" s="19">
        <f t="shared" si="47"/>
        <v>12764.380436885243</v>
      </c>
      <c r="Y36" s="19">
        <f t="shared" si="47"/>
        <v>12696.913162012506</v>
      </c>
      <c r="Z36" s="19">
        <f t="shared" si="47"/>
        <v>13331.758820113133</v>
      </c>
      <c r="AA36" s="19">
        <f t="shared" si="47"/>
        <v>13998.34676111879</v>
      </c>
      <c r="AB36" s="19">
        <f t="shared" si="47"/>
        <v>11728.996541600538</v>
      </c>
      <c r="AC36" s="19">
        <f t="shared" si="47"/>
        <v>12315.446368680565</v>
      </c>
      <c r="AD36" s="19">
        <f t="shared" si="47"/>
        <v>12931.218687114593</v>
      </c>
      <c r="AE36" s="19">
        <f t="shared" si="47"/>
        <v>13577.779621470323</v>
      </c>
      <c r="AF36" s="19">
        <f t="shared" si="47"/>
        <v>14256.668602543841</v>
      </c>
      <c r="AG36" s="19">
        <f t="shared" si="47"/>
        <v>14969.502032671035</v>
      </c>
      <c r="AH36" s="19">
        <f t="shared" si="47"/>
        <v>12686.279984015506</v>
      </c>
      <c r="AI36" s="19">
        <f t="shared" si="47"/>
        <v>13320.593983216282</v>
      </c>
      <c r="AJ36" s="19">
        <f t="shared" si="47"/>
        <v>13986.623682377098</v>
      </c>
      <c r="AK36" s="19">
        <f t="shared" si="47"/>
        <v>14685.954866495953</v>
      </c>
      <c r="AL36" s="19">
        <f t="shared" si="47"/>
        <v>15420.252609820751</v>
      </c>
      <c r="AM36" s="19">
        <f t="shared" si="46"/>
        <v>16191.26524031179</v>
      </c>
    </row>
    <row r="37" spans="2:39" s="17" customFormat="1" ht="21" customHeight="1" x14ac:dyDescent="0.25">
      <c r="B37" s="7" t="s">
        <v>57</v>
      </c>
      <c r="C37" s="15"/>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row>
    <row r="38" spans="2:39" s="21" customFormat="1" ht="21" customHeight="1" x14ac:dyDescent="0.25">
      <c r="B38" s="6" t="s">
        <v>58</v>
      </c>
      <c r="C38" s="22"/>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row>
    <row r="39" spans="2:39" s="17" customFormat="1" ht="21" customHeight="1" x14ac:dyDescent="0.25">
      <c r="B39" s="7" t="s">
        <v>59</v>
      </c>
      <c r="C39" s="15"/>
      <c r="D39" s="18">
        <v>850</v>
      </c>
      <c r="E39" s="18">
        <v>892.5</v>
      </c>
      <c r="F39" s="18">
        <v>937.125</v>
      </c>
      <c r="G39" s="18">
        <v>983.98125000000005</v>
      </c>
      <c r="H39" s="18">
        <v>1033.1803125000001</v>
      </c>
      <c r="I39" s="18">
        <v>1084.8393281250003</v>
      </c>
      <c r="J39" s="18">
        <v>1139.0812945312503</v>
      </c>
      <c r="K39" s="18">
        <v>1196.0353592578128</v>
      </c>
      <c r="L39" s="18">
        <v>1255.8371272207035</v>
      </c>
      <c r="M39" s="18">
        <f>L39*(0.75)</f>
        <v>941.87784541552764</v>
      </c>
      <c r="N39" s="18">
        <v>988.9717376863041</v>
      </c>
      <c r="O39" s="18">
        <v>1038.4203245706194</v>
      </c>
      <c r="P39" s="18">
        <f>O39*(0.75)</f>
        <v>778.81524342796456</v>
      </c>
      <c r="Q39" s="18">
        <v>817.75600559936288</v>
      </c>
      <c r="R39" s="18">
        <v>858.64380587933101</v>
      </c>
      <c r="S39" s="18">
        <v>901.57599617329765</v>
      </c>
      <c r="T39" s="18">
        <v>946.65479598196259</v>
      </c>
      <c r="U39" s="18">
        <v>993.98753578106073</v>
      </c>
      <c r="V39" s="18">
        <v>1043.6869125701139</v>
      </c>
      <c r="W39" s="18">
        <v>1095.8712581986197</v>
      </c>
      <c r="X39" s="18">
        <v>1150.6648211085508</v>
      </c>
      <c r="Y39" s="18">
        <v>1208.1980621639784</v>
      </c>
      <c r="Z39" s="18">
        <v>1268.6079652721774</v>
      </c>
      <c r="AA39" s="18">
        <v>1332.0383635357862</v>
      </c>
      <c r="AB39" s="18">
        <v>1398.6402817125756</v>
      </c>
      <c r="AC39" s="18">
        <v>1468.5722957982046</v>
      </c>
      <c r="AD39" s="18">
        <v>1542.0009105881149</v>
      </c>
      <c r="AE39" s="18">
        <v>1619.1009561175208</v>
      </c>
      <c r="AF39" s="18">
        <v>1700.0560039233969</v>
      </c>
      <c r="AG39" s="18">
        <v>1785.058804119567</v>
      </c>
      <c r="AH39" s="18">
        <v>1874.3117443255453</v>
      </c>
      <c r="AI39" s="18">
        <v>1968.0273315418226</v>
      </c>
      <c r="AJ39" s="18">
        <v>2066.4286981189139</v>
      </c>
      <c r="AK39" s="18">
        <v>2169.7501330248597</v>
      </c>
      <c r="AL39" s="18">
        <v>2278.2376396761028</v>
      </c>
      <c r="AM39" s="18">
        <v>2392.1495216599083</v>
      </c>
    </row>
    <row r="40" spans="2:39" s="17" customFormat="1" ht="21" customHeight="1" x14ac:dyDescent="0.25">
      <c r="B40" s="7" t="s">
        <v>60</v>
      </c>
      <c r="C40" s="15"/>
      <c r="D40" s="18">
        <v>600</v>
      </c>
      <c r="E40" s="18">
        <v>630</v>
      </c>
      <c r="F40" s="18">
        <v>661.5</v>
      </c>
      <c r="G40" s="18">
        <v>694.57500000000005</v>
      </c>
      <c r="H40" s="18">
        <v>729.30375000000004</v>
      </c>
      <c r="I40" s="18">
        <v>765.76893750000011</v>
      </c>
      <c r="J40" s="18">
        <v>804.0573843750002</v>
      </c>
      <c r="K40" s="18">
        <v>844.26025359375024</v>
      </c>
      <c r="L40" s="18">
        <v>886.47326627343773</v>
      </c>
      <c r="M40" s="18">
        <v>930.79692958710962</v>
      </c>
      <c r="N40" s="18">
        <v>977.33677606646518</v>
      </c>
      <c r="O40" s="18">
        <v>1026.2036148697885</v>
      </c>
      <c r="P40" s="18">
        <v>1077.513795613278</v>
      </c>
      <c r="Q40" s="18">
        <v>1131.3894853939421</v>
      </c>
      <c r="R40" s="18">
        <v>1187.9589596636392</v>
      </c>
      <c r="S40" s="18">
        <v>1247.3569076468214</v>
      </c>
      <c r="T40" s="18">
        <v>1309.7247530291625</v>
      </c>
      <c r="U40" s="18">
        <v>1375.2109906806206</v>
      </c>
      <c r="V40" s="18">
        <v>1443.9715402146517</v>
      </c>
      <c r="W40" s="18">
        <v>1516.1701172253843</v>
      </c>
      <c r="X40" s="18">
        <v>1591.9786230866534</v>
      </c>
      <c r="Y40" s="18">
        <v>1671.5775542409863</v>
      </c>
      <c r="Z40" s="18">
        <v>1755.1564319530357</v>
      </c>
      <c r="AA40" s="18">
        <v>1842.9142535506876</v>
      </c>
      <c r="AB40" s="18">
        <v>1935.059966228222</v>
      </c>
      <c r="AC40" s="18">
        <v>2031.8129645396332</v>
      </c>
      <c r="AD40" s="18">
        <v>2133.403612766615</v>
      </c>
      <c r="AE40" s="18">
        <v>2240.0737934049457</v>
      </c>
      <c r="AF40" s="18">
        <f>AE40*(0.75)</f>
        <v>1680.0553450537093</v>
      </c>
      <c r="AG40" s="18">
        <v>1764.0581123063948</v>
      </c>
      <c r="AH40" s="18">
        <v>1852.2610179217147</v>
      </c>
      <c r="AI40" s="18">
        <v>1944.8740688178004</v>
      </c>
      <c r="AJ40" s="18">
        <v>2042.1177722586906</v>
      </c>
      <c r="AK40" s="18">
        <f>AJ40*(0.75)</f>
        <v>1531.5883291940179</v>
      </c>
      <c r="AL40" s="18">
        <v>1608.1677456537188</v>
      </c>
      <c r="AM40" s="18">
        <v>1688.5761329364047</v>
      </c>
    </row>
    <row r="41" spans="2:39" s="17" customFormat="1" ht="21" customHeight="1" x14ac:dyDescent="0.25">
      <c r="B41" s="7" t="s">
        <v>61</v>
      </c>
      <c r="C41" s="15"/>
      <c r="D41" s="18">
        <v>250</v>
      </c>
      <c r="E41" s="18">
        <v>262.5</v>
      </c>
      <c r="F41" s="18">
        <v>275.625</v>
      </c>
      <c r="G41" s="18">
        <v>289.40625</v>
      </c>
      <c r="H41" s="18">
        <v>303.87656250000003</v>
      </c>
      <c r="I41" s="18">
        <v>319.07039062500007</v>
      </c>
      <c r="J41" s="18">
        <v>335.02391015625011</v>
      </c>
      <c r="K41" s="18">
        <v>351.77510566406261</v>
      </c>
      <c r="L41" s="18">
        <v>369.36386094726578</v>
      </c>
      <c r="M41" s="18">
        <v>387.83205399462906</v>
      </c>
      <c r="N41" s="18">
        <v>407.22365669436056</v>
      </c>
      <c r="O41" s="18">
        <v>427.58483952907858</v>
      </c>
      <c r="P41" s="18">
        <v>448.96408150553253</v>
      </c>
      <c r="Q41" s="18">
        <v>471.41228558080917</v>
      </c>
      <c r="R41" s="18">
        <v>494.98289985984962</v>
      </c>
      <c r="S41" s="18">
        <v>519.73204485284214</v>
      </c>
      <c r="T41" s="18">
        <v>545.71864709548424</v>
      </c>
      <c r="U41" s="18">
        <v>573.00457945025846</v>
      </c>
      <c r="V41" s="18">
        <v>601.65480842277145</v>
      </c>
      <c r="W41" s="18">
        <v>631.73754884391008</v>
      </c>
      <c r="X41" s="18">
        <v>663.32442628610556</v>
      </c>
      <c r="Y41" s="18">
        <v>696.49064760041085</v>
      </c>
      <c r="Z41" s="18">
        <v>731.31517998043148</v>
      </c>
      <c r="AA41" s="18">
        <v>767.88093897945305</v>
      </c>
      <c r="AB41" s="18">
        <v>806.27498592842574</v>
      </c>
      <c r="AC41" s="18">
        <v>846.58873522484703</v>
      </c>
      <c r="AD41" s="18">
        <v>888.91817198608942</v>
      </c>
      <c r="AE41" s="18">
        <v>933.36408058539394</v>
      </c>
      <c r="AF41" s="18">
        <v>980.03228461466369</v>
      </c>
      <c r="AG41" s="18">
        <v>1029.0338988453968</v>
      </c>
      <c r="AH41" s="18">
        <v>1080.4855937876666</v>
      </c>
      <c r="AI41" s="18">
        <v>1134.50987347705</v>
      </c>
      <c r="AJ41" s="18">
        <v>1191.2353671509024</v>
      </c>
      <c r="AK41" s="18">
        <v>1250.7971355084476</v>
      </c>
      <c r="AL41" s="18">
        <v>1313.3369922838699</v>
      </c>
      <c r="AM41" s="18">
        <v>1379.0038418980635</v>
      </c>
    </row>
    <row r="42" spans="2:39" s="32" customFormat="1" ht="21" customHeight="1" x14ac:dyDescent="0.25">
      <c r="B42" s="28" t="s">
        <v>62</v>
      </c>
      <c r="C42" s="29"/>
      <c r="D42" s="31">
        <f t="shared" ref="D42" si="48">SUM(D41, D40, D39 + D38)</f>
        <v>1700</v>
      </c>
      <c r="E42" s="31">
        <v>1700</v>
      </c>
      <c r="F42" s="31">
        <v>1700</v>
      </c>
      <c r="G42" s="31">
        <v>1700</v>
      </c>
      <c r="H42" s="31">
        <v>1700</v>
      </c>
      <c r="I42" s="31">
        <v>1700</v>
      </c>
      <c r="J42" s="31">
        <v>1700</v>
      </c>
      <c r="K42" s="31">
        <v>1700</v>
      </c>
      <c r="L42" s="31">
        <v>1700</v>
      </c>
      <c r="M42" s="31">
        <v>1700</v>
      </c>
      <c r="N42" s="31">
        <v>1700</v>
      </c>
      <c r="O42" s="31">
        <v>1700</v>
      </c>
      <c r="P42" s="31">
        <v>1700</v>
      </c>
      <c r="Q42" s="31">
        <v>1700</v>
      </c>
      <c r="R42" s="31">
        <v>1700</v>
      </c>
      <c r="S42" s="31">
        <v>1700</v>
      </c>
      <c r="T42" s="31">
        <v>1700</v>
      </c>
      <c r="U42" s="31">
        <v>1700</v>
      </c>
      <c r="V42" s="31">
        <v>1700</v>
      </c>
      <c r="W42" s="31">
        <v>1700</v>
      </c>
      <c r="X42" s="31">
        <v>1700</v>
      </c>
      <c r="Y42" s="31">
        <v>1700</v>
      </c>
      <c r="Z42" s="31">
        <v>1700</v>
      </c>
      <c r="AA42" s="31">
        <v>1700</v>
      </c>
      <c r="AB42" s="31">
        <v>1700</v>
      </c>
      <c r="AC42" s="31">
        <v>1700</v>
      </c>
      <c r="AD42" s="31">
        <v>1700</v>
      </c>
      <c r="AE42" s="31">
        <v>1700</v>
      </c>
      <c r="AF42" s="31">
        <v>1700</v>
      </c>
      <c r="AG42" s="31">
        <v>1700</v>
      </c>
      <c r="AH42" s="31">
        <v>1700</v>
      </c>
      <c r="AI42" s="31">
        <v>1700</v>
      </c>
      <c r="AJ42" s="31">
        <v>1700</v>
      </c>
      <c r="AK42" s="31">
        <v>1700</v>
      </c>
      <c r="AL42" s="31">
        <v>1700</v>
      </c>
      <c r="AM42" s="31">
        <v>1700</v>
      </c>
    </row>
    <row r="43" spans="2:39" s="17" customFormat="1" ht="21" customHeight="1" x14ac:dyDescent="0.25">
      <c r="B43" s="5" t="s">
        <v>63</v>
      </c>
      <c r="C43" s="15"/>
      <c r="D43" s="19">
        <f t="shared" ref="D43:AM43" si="49">SUM(D41, D40, D39, D38, D37, D35, D34, D33, D32, D31, D30, D28, D27, D26, D25, D24, D22, D21, D20, D19, D18, D17, D16, D15, D14 + D13)</f>
        <v>44597.875</v>
      </c>
      <c r="E43" s="19">
        <f t="shared" ref="E43:AL43" si="50">SUM(E41, E40, E39, E38, E37, E35, E34, E33, E32, E31, E30, E28, E27, E26, E25, E24, E22, E21, E20, E19, E18, E17, E16, E15, E14 + E13)</f>
        <v>42658.518750000003</v>
      </c>
      <c r="F43" s="19">
        <f t="shared" si="50"/>
        <v>41641.444687499999</v>
      </c>
      <c r="G43" s="19">
        <f t="shared" si="50"/>
        <v>38355.720046875002</v>
      </c>
      <c r="H43" s="19">
        <f t="shared" si="50"/>
        <v>40273.506049218755</v>
      </c>
      <c r="I43" s="19">
        <f t="shared" si="50"/>
        <v>42287.18135167969</v>
      </c>
      <c r="J43" s="19">
        <f t="shared" si="50"/>
        <v>44050.052476951169</v>
      </c>
      <c r="K43" s="19">
        <f t="shared" si="50"/>
        <v>46252.555100798738</v>
      </c>
      <c r="L43" s="19">
        <f t="shared" si="50"/>
        <v>48219.186912624813</v>
      </c>
      <c r="M43" s="19">
        <f t="shared" si="50"/>
        <v>47024.099650093747</v>
      </c>
      <c r="N43" s="19">
        <f t="shared" si="50"/>
        <v>43687.101174010546</v>
      </c>
      <c r="O43" s="19">
        <f t="shared" si="50"/>
        <v>45871.456232711076</v>
      </c>
      <c r="P43" s="19">
        <f t="shared" si="50"/>
        <v>47853.502946975445</v>
      </c>
      <c r="Q43" s="19">
        <f t="shared" si="50"/>
        <v>50246.178094324219</v>
      </c>
      <c r="R43" s="19">
        <f t="shared" si="50"/>
        <v>52758.486999040426</v>
      </c>
      <c r="S43" s="19">
        <f t="shared" si="50"/>
        <v>50679.365737013766</v>
      </c>
      <c r="T43" s="19">
        <f t="shared" si="50"/>
        <v>52848.195745414268</v>
      </c>
      <c r="U43" s="19">
        <f t="shared" si="50"/>
        <v>51855.451116114251</v>
      </c>
      <c r="V43" s="19">
        <f t="shared" si="50"/>
        <v>51540.100138663372</v>
      </c>
      <c r="W43" s="19">
        <f t="shared" si="50"/>
        <v>47639.424804573151</v>
      </c>
      <c r="X43" s="19">
        <f t="shared" si="50"/>
        <v>50021.396044801804</v>
      </c>
      <c r="Y43" s="19">
        <f t="shared" si="50"/>
        <v>51816.7795503249</v>
      </c>
      <c r="Z43" s="19">
        <f t="shared" si="50"/>
        <v>54407.618527841143</v>
      </c>
      <c r="AA43" s="19">
        <f t="shared" si="50"/>
        <v>57127.999454233206</v>
      </c>
      <c r="AB43" s="19">
        <f t="shared" si="50"/>
        <v>57015.131869370685</v>
      </c>
      <c r="AC43" s="19">
        <f t="shared" si="50"/>
        <v>56339.904559362127</v>
      </c>
      <c r="AD43" s="19">
        <f t="shared" si="50"/>
        <v>59156.899787330243</v>
      </c>
      <c r="AE43" s="19">
        <f t="shared" si="50"/>
        <v>58969.504450636909</v>
      </c>
      <c r="AF43" s="19">
        <f t="shared" si="50"/>
        <v>56582.946781528823</v>
      </c>
      <c r="AG43" s="19">
        <f t="shared" si="50"/>
        <v>59412.094120605259</v>
      </c>
      <c r="AH43" s="19">
        <f t="shared" si="50"/>
        <v>56136.610072289608</v>
      </c>
      <c r="AI43" s="19">
        <f t="shared" si="50"/>
        <v>58943.440575904089</v>
      </c>
      <c r="AJ43" s="19">
        <f t="shared" si="50"/>
        <v>61890.612604699294</v>
      </c>
      <c r="AK43" s="19">
        <f t="shared" si="50"/>
        <v>64372.507903256657</v>
      </c>
      <c r="AL43" s="19">
        <f t="shared" si="50"/>
        <v>64800.338237934768</v>
      </c>
      <c r="AM43" s="19">
        <f t="shared" si="49"/>
        <v>64499.819956108076</v>
      </c>
    </row>
    <row r="44" spans="2:39" s="21" customFormat="1" ht="21" customHeight="1" x14ac:dyDescent="0.25">
      <c r="B44" s="5" t="s">
        <v>64</v>
      </c>
      <c r="C44" s="22"/>
      <c r="D44" s="23">
        <f t="shared" ref="D44:AM44" si="51">D12-D43</f>
        <v>-44597.875</v>
      </c>
      <c r="E44" s="23">
        <f t="shared" ref="E44:AL44" si="52">E12-E43</f>
        <v>-42658.518750000003</v>
      </c>
      <c r="F44" s="23">
        <f t="shared" si="52"/>
        <v>-41641.444687499999</v>
      </c>
      <c r="G44" s="23">
        <f t="shared" si="52"/>
        <v>-38355.720046875002</v>
      </c>
      <c r="H44" s="23">
        <f t="shared" si="52"/>
        <v>-40273.506049218755</v>
      </c>
      <c r="I44" s="23">
        <f t="shared" si="52"/>
        <v>-42287.18135167969</v>
      </c>
      <c r="J44" s="23">
        <f t="shared" si="52"/>
        <v>-44050.052476951169</v>
      </c>
      <c r="K44" s="23">
        <f t="shared" si="52"/>
        <v>-46252.555100798738</v>
      </c>
      <c r="L44" s="23">
        <f t="shared" si="52"/>
        <v>-48219.186912624813</v>
      </c>
      <c r="M44" s="23">
        <f t="shared" si="52"/>
        <v>-47024.099650093747</v>
      </c>
      <c r="N44" s="23">
        <f t="shared" si="52"/>
        <v>-43687.101174010546</v>
      </c>
      <c r="O44" s="23">
        <f t="shared" si="52"/>
        <v>-45871.456232711076</v>
      </c>
      <c r="P44" s="23">
        <f t="shared" si="52"/>
        <v>-47853.502946975445</v>
      </c>
      <c r="Q44" s="23">
        <f t="shared" si="52"/>
        <v>-50246.178094324219</v>
      </c>
      <c r="R44" s="23">
        <f t="shared" si="52"/>
        <v>-52758.486999040426</v>
      </c>
      <c r="S44" s="23">
        <f t="shared" si="52"/>
        <v>-50679.365737013766</v>
      </c>
      <c r="T44" s="23">
        <f t="shared" si="52"/>
        <v>-52848.195745414268</v>
      </c>
      <c r="U44" s="23">
        <f t="shared" si="52"/>
        <v>-51855.451116114251</v>
      </c>
      <c r="V44" s="23">
        <f t="shared" si="52"/>
        <v>-51540.100138663372</v>
      </c>
      <c r="W44" s="23">
        <f t="shared" si="52"/>
        <v>-47639.424804573151</v>
      </c>
      <c r="X44" s="23">
        <f t="shared" si="52"/>
        <v>-50021.396044801804</v>
      </c>
      <c r="Y44" s="23">
        <f t="shared" si="52"/>
        <v>-51816.7795503249</v>
      </c>
      <c r="Z44" s="23">
        <f t="shared" si="52"/>
        <v>-54407.618527841143</v>
      </c>
      <c r="AA44" s="23">
        <f t="shared" si="52"/>
        <v>-57127.999454233206</v>
      </c>
      <c r="AB44" s="23">
        <f t="shared" si="52"/>
        <v>-57015.131869370685</v>
      </c>
      <c r="AC44" s="23">
        <f t="shared" si="52"/>
        <v>-56339.904559362127</v>
      </c>
      <c r="AD44" s="23">
        <f t="shared" si="52"/>
        <v>-59156.899787330243</v>
      </c>
      <c r="AE44" s="23">
        <f t="shared" si="52"/>
        <v>-58969.504450636909</v>
      </c>
      <c r="AF44" s="23">
        <f t="shared" si="52"/>
        <v>-56582.946781528823</v>
      </c>
      <c r="AG44" s="23">
        <f t="shared" si="52"/>
        <v>-59412.094120605259</v>
      </c>
      <c r="AH44" s="23">
        <f t="shared" si="52"/>
        <v>-56136.610072289608</v>
      </c>
      <c r="AI44" s="23">
        <f t="shared" si="52"/>
        <v>-58943.440575904089</v>
      </c>
      <c r="AJ44" s="23">
        <f t="shared" si="52"/>
        <v>-61890.612604699294</v>
      </c>
      <c r="AK44" s="23">
        <f t="shared" si="52"/>
        <v>-64372.507903256657</v>
      </c>
      <c r="AL44" s="23">
        <f t="shared" si="52"/>
        <v>-64800.338237934768</v>
      </c>
      <c r="AM44" s="23">
        <f t="shared" si="51"/>
        <v>-64499.819956108076</v>
      </c>
    </row>
    <row r="45" spans="2:39" s="17" customFormat="1" ht="21" customHeight="1" x14ac:dyDescent="0.25">
      <c r="B45" s="5" t="s">
        <v>65</v>
      </c>
      <c r="C45" s="15"/>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row>
    <row r="46" spans="2:39" s="17" customFormat="1" ht="21" customHeight="1" x14ac:dyDescent="0.25">
      <c r="B46" s="4" t="s">
        <v>66</v>
      </c>
      <c r="C46" s="15"/>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row>
    <row r="47" spans="2:39" s="17" customFormat="1" ht="21" customHeight="1" x14ac:dyDescent="0.25">
      <c r="B47" s="5" t="s">
        <v>67</v>
      </c>
      <c r="C47" s="15"/>
      <c r="D47" s="19">
        <f t="shared" ref="D47:AL47" si="53">SUM(D46 + D45)</f>
        <v>0</v>
      </c>
      <c r="E47" s="19">
        <f t="shared" si="53"/>
        <v>0</v>
      </c>
      <c r="F47" s="19">
        <f t="shared" si="53"/>
        <v>0</v>
      </c>
      <c r="G47" s="19">
        <f t="shared" si="53"/>
        <v>0</v>
      </c>
      <c r="H47" s="19">
        <f t="shared" si="53"/>
        <v>0</v>
      </c>
      <c r="I47" s="19">
        <f t="shared" si="53"/>
        <v>0</v>
      </c>
      <c r="J47" s="19">
        <f t="shared" si="53"/>
        <v>0</v>
      </c>
      <c r="K47" s="19">
        <f t="shared" si="53"/>
        <v>0</v>
      </c>
      <c r="L47" s="19">
        <f t="shared" si="53"/>
        <v>0</v>
      </c>
      <c r="M47" s="19">
        <f t="shared" si="53"/>
        <v>0</v>
      </c>
      <c r="N47" s="19">
        <f t="shared" si="53"/>
        <v>0</v>
      </c>
      <c r="O47" s="19">
        <f t="shared" si="53"/>
        <v>0</v>
      </c>
      <c r="P47" s="19">
        <f t="shared" si="53"/>
        <v>0</v>
      </c>
      <c r="Q47" s="19">
        <f t="shared" si="53"/>
        <v>0</v>
      </c>
      <c r="R47" s="19">
        <f t="shared" si="53"/>
        <v>0</v>
      </c>
      <c r="S47" s="19">
        <f t="shared" si="53"/>
        <v>0</v>
      </c>
      <c r="T47" s="19">
        <f t="shared" si="53"/>
        <v>0</v>
      </c>
      <c r="U47" s="19">
        <f t="shared" si="53"/>
        <v>0</v>
      </c>
      <c r="V47" s="19">
        <f t="shared" si="53"/>
        <v>0</v>
      </c>
      <c r="W47" s="19">
        <f t="shared" si="53"/>
        <v>0</v>
      </c>
      <c r="X47" s="19">
        <f t="shared" si="53"/>
        <v>0</v>
      </c>
      <c r="Y47" s="19">
        <f t="shared" si="53"/>
        <v>0</v>
      </c>
      <c r="Z47" s="19">
        <f t="shared" si="53"/>
        <v>0</v>
      </c>
      <c r="AA47" s="19">
        <f t="shared" si="53"/>
        <v>0</v>
      </c>
      <c r="AB47" s="19">
        <f t="shared" si="53"/>
        <v>0</v>
      </c>
      <c r="AC47" s="19">
        <f t="shared" si="53"/>
        <v>0</v>
      </c>
      <c r="AD47" s="19">
        <f t="shared" si="53"/>
        <v>0</v>
      </c>
      <c r="AE47" s="19">
        <f t="shared" si="53"/>
        <v>0</v>
      </c>
      <c r="AF47" s="19">
        <f t="shared" si="53"/>
        <v>0</v>
      </c>
      <c r="AG47" s="19">
        <f t="shared" si="53"/>
        <v>0</v>
      </c>
      <c r="AH47" s="19">
        <f t="shared" si="53"/>
        <v>0</v>
      </c>
      <c r="AI47" s="19">
        <f t="shared" si="53"/>
        <v>0</v>
      </c>
      <c r="AJ47" s="19">
        <f t="shared" si="53"/>
        <v>0</v>
      </c>
      <c r="AK47" s="19">
        <f t="shared" si="53"/>
        <v>0</v>
      </c>
      <c r="AL47" s="19">
        <f t="shared" si="53"/>
        <v>0</v>
      </c>
      <c r="AM47" s="19">
        <f t="shared" ref="AM47" si="54">SUM(AM46 + AM45)</f>
        <v>0</v>
      </c>
    </row>
    <row r="48" spans="2:39" s="17" customFormat="1" ht="21" customHeight="1" x14ac:dyDescent="0.25">
      <c r="B48" s="5" t="s">
        <v>68</v>
      </c>
      <c r="C48" s="15"/>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row>
    <row r="49" spans="2:39" s="17" customFormat="1" ht="21" customHeight="1" x14ac:dyDescent="0.25">
      <c r="B49" s="4" t="s">
        <v>69</v>
      </c>
      <c r="C49" s="15"/>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c r="AL49" s="18">
        <v>0</v>
      </c>
      <c r="AM49" s="18">
        <v>0</v>
      </c>
    </row>
    <row r="50" spans="2:39" s="17" customFormat="1" ht="21" customHeight="1" x14ac:dyDescent="0.25">
      <c r="B50" s="4" t="s">
        <v>70</v>
      </c>
      <c r="C50" s="15"/>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c r="AL50" s="18">
        <v>0</v>
      </c>
      <c r="AM50" s="18">
        <v>0</v>
      </c>
    </row>
    <row r="51" spans="2:39" s="17" customFormat="1" ht="21" customHeight="1" x14ac:dyDescent="0.25">
      <c r="B51" s="5" t="s">
        <v>71</v>
      </c>
      <c r="C51" s="15"/>
      <c r="D51" s="19">
        <f t="shared" ref="D51:AM51" si="55">SUM(D50, D49 + D48)</f>
        <v>0</v>
      </c>
      <c r="E51" s="19">
        <f t="shared" ref="E51:AL51" si="56">SUM(E50, E49 + E48)</f>
        <v>0</v>
      </c>
      <c r="F51" s="19">
        <f t="shared" si="56"/>
        <v>0</v>
      </c>
      <c r="G51" s="19">
        <f t="shared" si="56"/>
        <v>0</v>
      </c>
      <c r="H51" s="19">
        <f t="shared" si="56"/>
        <v>0</v>
      </c>
      <c r="I51" s="19">
        <f t="shared" si="56"/>
        <v>0</v>
      </c>
      <c r="J51" s="19">
        <f t="shared" si="56"/>
        <v>0</v>
      </c>
      <c r="K51" s="19">
        <f t="shared" si="56"/>
        <v>0</v>
      </c>
      <c r="L51" s="19">
        <f t="shared" si="56"/>
        <v>0</v>
      </c>
      <c r="M51" s="19">
        <f t="shared" si="56"/>
        <v>0</v>
      </c>
      <c r="N51" s="19">
        <f t="shared" si="56"/>
        <v>0</v>
      </c>
      <c r="O51" s="19">
        <f t="shared" si="56"/>
        <v>0</v>
      </c>
      <c r="P51" s="19">
        <f t="shared" si="56"/>
        <v>0</v>
      </c>
      <c r="Q51" s="19">
        <f t="shared" si="56"/>
        <v>0</v>
      </c>
      <c r="R51" s="19">
        <f t="shared" si="56"/>
        <v>0</v>
      </c>
      <c r="S51" s="19">
        <f t="shared" si="56"/>
        <v>0</v>
      </c>
      <c r="T51" s="19">
        <f t="shared" si="56"/>
        <v>0</v>
      </c>
      <c r="U51" s="19">
        <f t="shared" si="56"/>
        <v>0</v>
      </c>
      <c r="V51" s="19">
        <f t="shared" si="56"/>
        <v>0</v>
      </c>
      <c r="W51" s="19">
        <f t="shared" si="56"/>
        <v>0</v>
      </c>
      <c r="X51" s="19">
        <f t="shared" si="56"/>
        <v>0</v>
      </c>
      <c r="Y51" s="19">
        <f t="shared" si="56"/>
        <v>0</v>
      </c>
      <c r="Z51" s="19">
        <f t="shared" si="56"/>
        <v>0</v>
      </c>
      <c r="AA51" s="19">
        <f t="shared" si="56"/>
        <v>0</v>
      </c>
      <c r="AB51" s="19">
        <f t="shared" si="56"/>
        <v>0</v>
      </c>
      <c r="AC51" s="19">
        <f t="shared" si="56"/>
        <v>0</v>
      </c>
      <c r="AD51" s="19">
        <f t="shared" si="56"/>
        <v>0</v>
      </c>
      <c r="AE51" s="19">
        <f t="shared" si="56"/>
        <v>0</v>
      </c>
      <c r="AF51" s="19">
        <f t="shared" si="56"/>
        <v>0</v>
      </c>
      <c r="AG51" s="19">
        <f t="shared" si="56"/>
        <v>0</v>
      </c>
      <c r="AH51" s="19">
        <f t="shared" si="56"/>
        <v>0</v>
      </c>
      <c r="AI51" s="19">
        <f t="shared" si="56"/>
        <v>0</v>
      </c>
      <c r="AJ51" s="19">
        <f t="shared" si="56"/>
        <v>0</v>
      </c>
      <c r="AK51" s="19">
        <f t="shared" si="56"/>
        <v>0</v>
      </c>
      <c r="AL51" s="19">
        <f t="shared" si="56"/>
        <v>0</v>
      </c>
      <c r="AM51" s="19">
        <f t="shared" si="55"/>
        <v>0</v>
      </c>
    </row>
    <row r="52" spans="2:39" s="21" customFormat="1" ht="21" customHeight="1" x14ac:dyDescent="0.25">
      <c r="B52" s="5" t="s">
        <v>72</v>
      </c>
      <c r="C52" s="22"/>
      <c r="D52" s="23">
        <f t="shared" ref="D52:AM52" si="57">D47-D51</f>
        <v>0</v>
      </c>
      <c r="E52" s="23">
        <f t="shared" ref="E52:AL52" si="58">E47-E51</f>
        <v>0</v>
      </c>
      <c r="F52" s="23">
        <f t="shared" si="58"/>
        <v>0</v>
      </c>
      <c r="G52" s="23">
        <f t="shared" si="58"/>
        <v>0</v>
      </c>
      <c r="H52" s="23">
        <f t="shared" si="58"/>
        <v>0</v>
      </c>
      <c r="I52" s="23">
        <f t="shared" si="58"/>
        <v>0</v>
      </c>
      <c r="J52" s="23">
        <f t="shared" si="58"/>
        <v>0</v>
      </c>
      <c r="K52" s="23">
        <f t="shared" si="58"/>
        <v>0</v>
      </c>
      <c r="L52" s="23">
        <f t="shared" si="58"/>
        <v>0</v>
      </c>
      <c r="M52" s="23">
        <f t="shared" si="58"/>
        <v>0</v>
      </c>
      <c r="N52" s="23">
        <f t="shared" si="58"/>
        <v>0</v>
      </c>
      <c r="O52" s="23">
        <f t="shared" si="58"/>
        <v>0</v>
      </c>
      <c r="P52" s="23">
        <f t="shared" si="58"/>
        <v>0</v>
      </c>
      <c r="Q52" s="23">
        <f t="shared" si="58"/>
        <v>0</v>
      </c>
      <c r="R52" s="23">
        <f t="shared" si="58"/>
        <v>0</v>
      </c>
      <c r="S52" s="23">
        <f t="shared" si="58"/>
        <v>0</v>
      </c>
      <c r="T52" s="23">
        <f t="shared" si="58"/>
        <v>0</v>
      </c>
      <c r="U52" s="23">
        <f t="shared" si="58"/>
        <v>0</v>
      </c>
      <c r="V52" s="23">
        <f t="shared" si="58"/>
        <v>0</v>
      </c>
      <c r="W52" s="23">
        <f t="shared" si="58"/>
        <v>0</v>
      </c>
      <c r="X52" s="23">
        <f t="shared" si="58"/>
        <v>0</v>
      </c>
      <c r="Y52" s="23">
        <f t="shared" si="58"/>
        <v>0</v>
      </c>
      <c r="Z52" s="23">
        <f t="shared" si="58"/>
        <v>0</v>
      </c>
      <c r="AA52" s="23">
        <f t="shared" si="58"/>
        <v>0</v>
      </c>
      <c r="AB52" s="23">
        <f t="shared" si="58"/>
        <v>0</v>
      </c>
      <c r="AC52" s="23">
        <f t="shared" si="58"/>
        <v>0</v>
      </c>
      <c r="AD52" s="23">
        <f t="shared" si="58"/>
        <v>0</v>
      </c>
      <c r="AE52" s="23">
        <f t="shared" si="58"/>
        <v>0</v>
      </c>
      <c r="AF52" s="23">
        <f t="shared" si="58"/>
        <v>0</v>
      </c>
      <c r="AG52" s="23">
        <f t="shared" si="58"/>
        <v>0</v>
      </c>
      <c r="AH52" s="23">
        <f t="shared" si="58"/>
        <v>0</v>
      </c>
      <c r="AI52" s="23">
        <f t="shared" si="58"/>
        <v>0</v>
      </c>
      <c r="AJ52" s="23">
        <f t="shared" si="58"/>
        <v>0</v>
      </c>
      <c r="AK52" s="23">
        <f t="shared" si="58"/>
        <v>0</v>
      </c>
      <c r="AL52" s="23">
        <f t="shared" si="58"/>
        <v>0</v>
      </c>
      <c r="AM52" s="23">
        <f t="shared" si="57"/>
        <v>0</v>
      </c>
    </row>
    <row r="53" spans="2:39" s="21" customFormat="1" ht="21" customHeight="1" x14ac:dyDescent="0.25">
      <c r="B53" s="5" t="s">
        <v>73</v>
      </c>
      <c r="C53" s="22"/>
      <c r="D53" s="23">
        <f t="shared" ref="D53:AM53" si="59">D44+D52</f>
        <v>-44597.875</v>
      </c>
      <c r="E53" s="23">
        <f t="shared" ref="E53:AL53" si="60">E44+E52</f>
        <v>-42658.518750000003</v>
      </c>
      <c r="F53" s="23">
        <f t="shared" si="60"/>
        <v>-41641.444687499999</v>
      </c>
      <c r="G53" s="23">
        <f t="shared" si="60"/>
        <v>-38355.720046875002</v>
      </c>
      <c r="H53" s="23">
        <f t="shared" si="60"/>
        <v>-40273.506049218755</v>
      </c>
      <c r="I53" s="23">
        <f t="shared" si="60"/>
        <v>-42287.18135167969</v>
      </c>
      <c r="J53" s="23">
        <f t="shared" si="60"/>
        <v>-44050.052476951169</v>
      </c>
      <c r="K53" s="23">
        <f t="shared" si="60"/>
        <v>-46252.555100798738</v>
      </c>
      <c r="L53" s="23">
        <f t="shared" si="60"/>
        <v>-48219.186912624813</v>
      </c>
      <c r="M53" s="23">
        <f t="shared" si="60"/>
        <v>-47024.099650093747</v>
      </c>
      <c r="N53" s="23">
        <f t="shared" si="60"/>
        <v>-43687.101174010546</v>
      </c>
      <c r="O53" s="23">
        <f t="shared" si="60"/>
        <v>-45871.456232711076</v>
      </c>
      <c r="P53" s="23">
        <f t="shared" si="60"/>
        <v>-47853.502946975445</v>
      </c>
      <c r="Q53" s="23">
        <f t="shared" si="60"/>
        <v>-50246.178094324219</v>
      </c>
      <c r="R53" s="23">
        <f t="shared" si="60"/>
        <v>-52758.486999040426</v>
      </c>
      <c r="S53" s="23">
        <f t="shared" si="60"/>
        <v>-50679.365737013766</v>
      </c>
      <c r="T53" s="23">
        <f t="shared" si="60"/>
        <v>-52848.195745414268</v>
      </c>
      <c r="U53" s="23">
        <f t="shared" si="60"/>
        <v>-51855.451116114251</v>
      </c>
      <c r="V53" s="23">
        <f t="shared" si="60"/>
        <v>-51540.100138663372</v>
      </c>
      <c r="W53" s="23">
        <f t="shared" si="60"/>
        <v>-47639.424804573151</v>
      </c>
      <c r="X53" s="23">
        <f t="shared" si="60"/>
        <v>-50021.396044801804</v>
      </c>
      <c r="Y53" s="23">
        <f t="shared" si="60"/>
        <v>-51816.7795503249</v>
      </c>
      <c r="Z53" s="23">
        <f t="shared" si="60"/>
        <v>-54407.618527841143</v>
      </c>
      <c r="AA53" s="23">
        <f t="shared" si="60"/>
        <v>-57127.999454233206</v>
      </c>
      <c r="AB53" s="23">
        <f t="shared" si="60"/>
        <v>-57015.131869370685</v>
      </c>
      <c r="AC53" s="23">
        <f t="shared" si="60"/>
        <v>-56339.904559362127</v>
      </c>
      <c r="AD53" s="23">
        <f t="shared" si="60"/>
        <v>-59156.899787330243</v>
      </c>
      <c r="AE53" s="23">
        <f t="shared" si="60"/>
        <v>-58969.504450636909</v>
      </c>
      <c r="AF53" s="23">
        <f t="shared" si="60"/>
        <v>-56582.946781528823</v>
      </c>
      <c r="AG53" s="23">
        <f t="shared" si="60"/>
        <v>-59412.094120605259</v>
      </c>
      <c r="AH53" s="23">
        <f t="shared" si="60"/>
        <v>-56136.610072289608</v>
      </c>
      <c r="AI53" s="23">
        <f t="shared" si="60"/>
        <v>-58943.440575904089</v>
      </c>
      <c r="AJ53" s="23">
        <f t="shared" si="60"/>
        <v>-61890.612604699294</v>
      </c>
      <c r="AK53" s="23">
        <f t="shared" si="60"/>
        <v>-64372.507903256657</v>
      </c>
      <c r="AL53" s="23">
        <f t="shared" si="60"/>
        <v>-64800.338237934768</v>
      </c>
      <c r="AM53" s="23">
        <f t="shared" si="59"/>
        <v>-64499.819956108076</v>
      </c>
    </row>
    <row r="267" spans="9945:10000" s="8" customFormat="1" ht="21" customHeight="1" x14ac:dyDescent="0.25">
      <c r="NSB267" s="8">
        <v>74</v>
      </c>
    </row>
    <row r="268" spans="9945:10000" s="8" customFormat="1" ht="21" customHeight="1" x14ac:dyDescent="0.25">
      <c r="NSB268" s="8">
        <v>75</v>
      </c>
    </row>
    <row r="269" spans="9945:10000" s="8" customFormat="1" ht="18" customHeight="1" x14ac:dyDescent="0.25">
      <c r="NSB269" s="8">
        <v>76</v>
      </c>
      <c r="NTN269" s="24"/>
    </row>
    <row r="270" spans="9945:10000" s="8" customFormat="1" ht="21" customHeight="1" x14ac:dyDescent="0.25">
      <c r="NSB270" s="8">
        <v>77</v>
      </c>
      <c r="NTN270" s="24"/>
    </row>
    <row r="271" spans="9945:10000" s="8" customFormat="1" ht="21" customHeight="1" x14ac:dyDescent="0.25">
      <c r="NSB271" s="8">
        <v>78</v>
      </c>
      <c r="NTN271" s="24"/>
    </row>
    <row r="272" spans="9945:10000" s="8" customFormat="1" ht="21" customHeight="1" x14ac:dyDescent="0.25">
      <c r="NRM272" s="8" t="s">
        <v>74</v>
      </c>
      <c r="NSB272" s="8">
        <v>79</v>
      </c>
      <c r="NSD272" s="8" t="s">
        <v>74</v>
      </c>
      <c r="NTN272" s="24"/>
      <c r="NTP272" s="8" t="s">
        <v>74</v>
      </c>
    </row>
    <row r="273" spans="9945:10000" s="8" customFormat="1" ht="21" customHeight="1" x14ac:dyDescent="0.25">
      <c r="NRM273" s="8" t="s">
        <v>74</v>
      </c>
      <c r="NSB273" s="8">
        <v>80</v>
      </c>
      <c r="NSD273" s="8" t="s">
        <v>74</v>
      </c>
      <c r="NTN273" s="24"/>
      <c r="NTP273" s="8" t="s">
        <v>74</v>
      </c>
    </row>
    <row r="274" spans="9945:10000" s="8" customFormat="1" ht="21" customHeight="1" x14ac:dyDescent="0.25">
      <c r="NRM274" s="8" t="s">
        <v>74</v>
      </c>
      <c r="NSB274" s="8">
        <v>81</v>
      </c>
      <c r="NSD274" s="8" t="s">
        <v>74</v>
      </c>
      <c r="NTN274" s="24"/>
      <c r="NTP274" s="8" t="s">
        <v>74</v>
      </c>
    </row>
    <row r="275" spans="9945:10000" s="8" customFormat="1" ht="21" customHeight="1" x14ac:dyDescent="0.25">
      <c r="NRM275" s="8" t="s">
        <v>74</v>
      </c>
      <c r="NSB275" s="8">
        <v>82</v>
      </c>
      <c r="NSD275" s="8" t="s">
        <v>74</v>
      </c>
      <c r="NTN275" s="24"/>
      <c r="NTP275" s="8" t="s">
        <v>74</v>
      </c>
    </row>
    <row r="276" spans="9945:10000" s="8" customFormat="1" ht="21" customHeight="1" x14ac:dyDescent="0.25">
      <c r="NRM276" s="8" t="s">
        <v>74</v>
      </c>
      <c r="NSB276" s="8">
        <v>83</v>
      </c>
      <c r="NSD276" s="8" t="s">
        <v>74</v>
      </c>
      <c r="NTN276" s="24">
        <v>74</v>
      </c>
      <c r="NTP276" s="8" t="s">
        <v>74</v>
      </c>
    </row>
    <row r="277" spans="9945:10000" s="8" customFormat="1" ht="21" customHeight="1" x14ac:dyDescent="0.25">
      <c r="NRM277" s="8" t="s">
        <v>74</v>
      </c>
      <c r="NSB277" s="8">
        <v>84</v>
      </c>
      <c r="NSD277" s="8" t="s">
        <v>74</v>
      </c>
      <c r="NTN277" s="24">
        <v>75</v>
      </c>
      <c r="NTP277" s="8" t="s">
        <v>74</v>
      </c>
    </row>
    <row r="278" spans="9945:10000" s="8" customFormat="1" ht="21" customHeight="1" x14ac:dyDescent="0.25">
      <c r="NSB278" s="8">
        <v>85</v>
      </c>
      <c r="NTN278" s="24">
        <v>76</v>
      </c>
    </row>
    <row r="279" spans="9945:10000" s="8" customFormat="1" ht="21" customHeight="1" x14ac:dyDescent="0.25">
      <c r="NRM279" s="8" t="s">
        <v>74</v>
      </c>
      <c r="NSB279" s="8">
        <v>86</v>
      </c>
      <c r="NSD279" s="8" t="s">
        <v>74</v>
      </c>
      <c r="NTN279" s="24">
        <v>77</v>
      </c>
      <c r="NTP279" s="8" t="s">
        <v>74</v>
      </c>
    </row>
    <row r="280" spans="9945:10000" ht="21" customHeight="1" x14ac:dyDescent="0.25">
      <c r="NRM280" s="25" t="s">
        <v>74</v>
      </c>
      <c r="NSB280" s="25">
        <v>87</v>
      </c>
      <c r="NSD280" s="25" t="s">
        <v>74</v>
      </c>
      <c r="NTN280" s="24">
        <v>78</v>
      </c>
      <c r="NTP280" s="25" t="s">
        <v>74</v>
      </c>
    </row>
    <row r="281" spans="9945:10000" ht="21" customHeight="1" x14ac:dyDescent="0.25">
      <c r="NRM281" s="25" t="s">
        <v>74</v>
      </c>
      <c r="NSB281" s="25">
        <v>88</v>
      </c>
      <c r="NSD281" s="25" t="s">
        <v>74</v>
      </c>
      <c r="NTN281" s="24">
        <v>79</v>
      </c>
      <c r="NTP281" s="25" t="s">
        <v>74</v>
      </c>
    </row>
    <row r="282" spans="9945:10000" ht="21" customHeight="1" x14ac:dyDescent="0.25">
      <c r="NRM282" s="25" t="s">
        <v>74</v>
      </c>
      <c r="NSB282" s="25">
        <v>89</v>
      </c>
      <c r="NSD282" s="25" t="s">
        <v>74</v>
      </c>
      <c r="NTN282" s="24">
        <v>80</v>
      </c>
      <c r="NTP282" s="25" t="s">
        <v>74</v>
      </c>
    </row>
    <row r="283" spans="9945:10000" ht="21" customHeight="1" x14ac:dyDescent="0.25">
      <c r="NRM283" s="25" t="s">
        <v>74</v>
      </c>
      <c r="NSB283" s="25">
        <v>90</v>
      </c>
      <c r="NSD283" s="25" t="s">
        <v>74</v>
      </c>
      <c r="NTN283" s="24">
        <v>81</v>
      </c>
      <c r="NTP283" s="25" t="s">
        <v>74</v>
      </c>
    </row>
    <row r="284" spans="9945:10000" ht="21" customHeight="1" x14ac:dyDescent="0.25">
      <c r="NRM284" s="25" t="s">
        <v>75</v>
      </c>
      <c r="NSB284" s="25">
        <v>91</v>
      </c>
      <c r="NSD284" s="25" t="s">
        <v>75</v>
      </c>
      <c r="NTN284" s="24">
        <v>82</v>
      </c>
      <c r="NTP284" s="25" t="s">
        <v>75</v>
      </c>
    </row>
    <row r="285" spans="9945:10000" ht="21" customHeight="1" x14ac:dyDescent="0.25">
      <c r="NSB285" s="25">
        <v>92</v>
      </c>
      <c r="NTN285" s="24">
        <v>83</v>
      </c>
    </row>
    <row r="286" spans="9945:10000" ht="21" customHeight="1" x14ac:dyDescent="0.25">
      <c r="NRM286" s="25" t="s">
        <v>74</v>
      </c>
      <c r="NSB286" s="25">
        <v>93</v>
      </c>
      <c r="NSD286" s="25" t="s">
        <v>74</v>
      </c>
      <c r="NTN286" s="24">
        <v>84</v>
      </c>
      <c r="NTP286" s="25" t="s">
        <v>74</v>
      </c>
    </row>
    <row r="287" spans="9945:10000" ht="21" customHeight="1" x14ac:dyDescent="0.25">
      <c r="NRM287" s="25" t="s">
        <v>74</v>
      </c>
      <c r="NSB287" s="25">
        <v>94</v>
      </c>
      <c r="NSD287" s="25" t="s">
        <v>74</v>
      </c>
      <c r="NTN287" s="24">
        <v>85</v>
      </c>
      <c r="NTP287" s="25" t="s">
        <v>74</v>
      </c>
    </row>
    <row r="288" spans="9945:10000" ht="21" customHeight="1" x14ac:dyDescent="0.25">
      <c r="NRM288" s="25" t="s">
        <v>74</v>
      </c>
      <c r="NSD288" s="25" t="s">
        <v>74</v>
      </c>
      <c r="NTN288" s="24">
        <v>86</v>
      </c>
      <c r="NTP288" s="25" t="s">
        <v>74</v>
      </c>
    </row>
    <row r="289" spans="9945:10000" ht="21" customHeight="1" x14ac:dyDescent="0.25">
      <c r="NRM289" s="25" t="s">
        <v>74</v>
      </c>
      <c r="NSD289" s="25" t="s">
        <v>74</v>
      </c>
      <c r="NTN289" s="24">
        <v>87</v>
      </c>
      <c r="NTP289" s="25" t="s">
        <v>74</v>
      </c>
    </row>
    <row r="290" spans="9945:10000" ht="21" customHeight="1" x14ac:dyDescent="0.25">
      <c r="NRM290" s="25" t="s">
        <v>75</v>
      </c>
      <c r="NSD290" s="25" t="s">
        <v>75</v>
      </c>
      <c r="NTN290" s="24">
        <v>88</v>
      </c>
      <c r="NTP290" s="25" t="s">
        <v>75</v>
      </c>
    </row>
    <row r="291" spans="9945:10000" ht="21" customHeight="1" x14ac:dyDescent="0.25">
      <c r="NRM291" s="25" t="s">
        <v>74</v>
      </c>
      <c r="NSD291" s="25" t="s">
        <v>74</v>
      </c>
      <c r="NTN291" s="24">
        <v>89</v>
      </c>
      <c r="NTP291" s="25" t="s">
        <v>74</v>
      </c>
    </row>
    <row r="292" spans="9945:10000" ht="21" customHeight="1" x14ac:dyDescent="0.25">
      <c r="NRM292" s="25" t="s">
        <v>74</v>
      </c>
      <c r="NSD292" s="25" t="s">
        <v>74</v>
      </c>
      <c r="NTN292" s="24">
        <v>90</v>
      </c>
      <c r="NTP292" s="25" t="s">
        <v>74</v>
      </c>
    </row>
    <row r="293" spans="9945:10000" ht="21" customHeight="1" x14ac:dyDescent="0.25">
      <c r="NRM293" s="25" t="s">
        <v>74</v>
      </c>
      <c r="NSD293" s="25" t="s">
        <v>74</v>
      </c>
      <c r="NTN293" s="24">
        <v>91</v>
      </c>
      <c r="NTP293" s="25" t="s">
        <v>74</v>
      </c>
    </row>
    <row r="294" spans="9945:10000" ht="21" customHeight="1" x14ac:dyDescent="0.25">
      <c r="NTN294" s="24">
        <v>92</v>
      </c>
    </row>
    <row r="295" spans="9945:10000" ht="21" customHeight="1" x14ac:dyDescent="0.25">
      <c r="NRM295" s="25" t="s">
        <v>74</v>
      </c>
      <c r="NSD295" s="25" t="s">
        <v>74</v>
      </c>
      <c r="NTN295" s="24">
        <v>93</v>
      </c>
      <c r="NTP295" s="25" t="s">
        <v>74</v>
      </c>
    </row>
    <row r="296" spans="9945:10000" ht="21" customHeight="1" x14ac:dyDescent="0.25">
      <c r="NSD296" s="25" t="s">
        <v>74</v>
      </c>
      <c r="NTN296" s="24">
        <v>94</v>
      </c>
      <c r="NTP296" s="25" t="s">
        <v>74</v>
      </c>
    </row>
    <row r="297" spans="9945:10000" ht="21" customHeight="1" x14ac:dyDescent="0.25">
      <c r="NSD297" s="25" t="s">
        <v>75</v>
      </c>
      <c r="NTN297" s="24">
        <v>95</v>
      </c>
      <c r="NTP297" s="25" t="s">
        <v>75</v>
      </c>
    </row>
    <row r="298" spans="9945:10000" ht="21" customHeight="1" x14ac:dyDescent="0.25">
      <c r="NTN298" s="24">
        <v>96</v>
      </c>
    </row>
    <row r="299" spans="9945:10000" ht="21" customHeight="1" x14ac:dyDescent="0.25">
      <c r="NTN299" s="24">
        <v>97</v>
      </c>
    </row>
    <row r="300" spans="9945:10000" ht="21" customHeight="1" x14ac:dyDescent="0.25">
      <c r="NTN300" s="24">
        <v>98</v>
      </c>
    </row>
    <row r="301" spans="9945:10000" ht="21" customHeight="1" x14ac:dyDescent="0.25">
      <c r="NTN301" s="24">
        <v>99</v>
      </c>
    </row>
    <row r="302" spans="9945:10000" ht="21" customHeight="1" x14ac:dyDescent="0.25">
      <c r="NTN302" s="24">
        <v>100</v>
      </c>
    </row>
    <row r="303" spans="9945:10000" ht="21" customHeight="1" x14ac:dyDescent="0.25">
      <c r="NTN303" s="24">
        <v>101</v>
      </c>
    </row>
    <row r="304" spans="9945:10000" ht="21" customHeight="1" x14ac:dyDescent="0.25">
      <c r="NTN304" s="24">
        <v>102</v>
      </c>
    </row>
  </sheetData>
  <dataConsolidate/>
  <dataValidations count="1">
    <dataValidation type="list" allowBlank="1" showInputMessage="1" showErrorMessage="1" sqref="D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_rels/item195.xml.rels><?xml version="1.0" encoding="UTF-8" standalone="yes"?>
<Relationships xmlns="http://schemas.openxmlformats.org/package/2006/relationships"><Relationship Id="rId1" Type="http://schemas.openxmlformats.org/officeDocument/2006/relationships/customXmlProps" Target="itemProps195.xml"/></Relationships>
</file>

<file path=customXml/_rels/item196.xml.rels><?xml version="1.0" encoding="UTF-8" standalone="yes"?>
<Relationships xmlns="http://schemas.openxmlformats.org/package/2006/relationships"><Relationship Id="rId1" Type="http://schemas.openxmlformats.org/officeDocument/2006/relationships/customXmlProps" Target="itemProps196.xml"/></Relationships>
</file>

<file path=customXml/_rels/item197.xml.rels><?xml version="1.0" encoding="UTF-8" standalone="yes"?>
<Relationships xmlns="http://schemas.openxmlformats.org/package/2006/relationships"><Relationship Id="rId1" Type="http://schemas.openxmlformats.org/officeDocument/2006/relationships/customXmlProps" Target="itemProps197.xml"/></Relationships>
</file>

<file path=customXml/_rels/item198.xml.rels><?xml version="1.0" encoding="UTF-8" standalone="yes"?>
<Relationships xmlns="http://schemas.openxmlformats.org/package/2006/relationships"><Relationship Id="rId1" Type="http://schemas.openxmlformats.org/officeDocument/2006/relationships/customXmlProps" Target="itemProps198.xml"/></Relationships>
</file>

<file path=customXml/_rels/item199.xml.rels><?xml version="1.0" encoding="UTF-8" standalone="yes"?>
<Relationships xmlns="http://schemas.openxmlformats.org/package/2006/relationships"><Relationship Id="rId1" Type="http://schemas.openxmlformats.org/officeDocument/2006/relationships/customXmlProps" Target="itemProps199.xml"/></Relationships>
</file>

<file path=customXml/_rels/item200.xml.rels><?xml version="1.0" encoding="UTF-8" standalone="yes"?>
<Relationships xmlns="http://schemas.openxmlformats.org/package/2006/relationships"><Relationship Id="rId1" Type="http://schemas.openxmlformats.org/officeDocument/2006/relationships/customXmlProps" Target="itemProps200.xml"/></Relationships>
</file>

<file path=customXml/_rels/item201.xml.rels><?xml version="1.0" encoding="UTF-8" standalone="yes"?>
<Relationships xmlns="http://schemas.openxmlformats.org/package/2006/relationships"><Relationship Id="rId1" Type="http://schemas.openxmlformats.org/officeDocument/2006/relationships/customXmlProps" Target="itemProps201.xml"/></Relationships>
</file>

<file path=customXml/_rels/item202.xml.rels><?xml version="1.0" encoding="UTF-8" standalone="yes"?>
<Relationships xmlns="http://schemas.openxmlformats.org/package/2006/relationships"><Relationship Id="rId1" Type="http://schemas.openxmlformats.org/officeDocument/2006/relationships/customXmlProps" Target="itemProps202.xml"/></Relationships>
</file>

<file path=customXml/_rels/item203.xml.rels><?xml version="1.0" encoding="UTF-8" standalone="yes"?>
<Relationships xmlns="http://schemas.openxmlformats.org/package/2006/relationships"><Relationship Id="rId1" Type="http://schemas.openxmlformats.org/officeDocument/2006/relationships/customXmlProps" Target="itemProps203.xml"/></Relationships>
</file>

<file path=customXml/_rels/item204.xml.rels><?xml version="1.0" encoding="UTF-8" standalone="yes"?>
<Relationships xmlns="http://schemas.openxmlformats.org/package/2006/relationships"><Relationship Id="rId1" Type="http://schemas.openxmlformats.org/officeDocument/2006/relationships/customXmlProps" Target="itemProps204.xml"/></Relationships>
</file>

<file path=customXml/_rels/item205.xml.rels><?xml version="1.0" encoding="UTF-8" standalone="yes"?>
<Relationships xmlns="http://schemas.openxmlformats.org/package/2006/relationships"><Relationship Id="rId1" Type="http://schemas.openxmlformats.org/officeDocument/2006/relationships/customXmlProps" Target="itemProps205.xml"/></Relationships>
</file>

<file path=customXml/_rels/item206.xml.rels><?xml version="1.0" encoding="UTF-8" standalone="yes"?>
<Relationships xmlns="http://schemas.openxmlformats.org/package/2006/relationships"><Relationship Id="rId1" Type="http://schemas.openxmlformats.org/officeDocument/2006/relationships/customXmlProps" Target="itemProps206.xml"/></Relationships>
</file>

<file path=customXml/_rels/item207.xml.rels><?xml version="1.0" encoding="UTF-8" standalone="yes"?>
<Relationships xmlns="http://schemas.openxmlformats.org/package/2006/relationships"><Relationship Id="rId1" Type="http://schemas.openxmlformats.org/officeDocument/2006/relationships/customXmlProps" Target="itemProps207.xml"/></Relationships>
</file>

<file path=customXml/_rels/item208.xml.rels><?xml version="1.0" encoding="UTF-8" standalone="yes"?>
<Relationships xmlns="http://schemas.openxmlformats.org/package/2006/relationships"><Relationship Id="rId1" Type="http://schemas.openxmlformats.org/officeDocument/2006/relationships/customXmlProps" Target="itemProps208.xml"/></Relationships>
</file>

<file path=customXml/_rels/item209.xml.rels><?xml version="1.0" encoding="UTF-8" standalone="yes"?>
<Relationships xmlns="http://schemas.openxmlformats.org/package/2006/relationships"><Relationship Id="rId1" Type="http://schemas.openxmlformats.org/officeDocument/2006/relationships/customXmlProps" Target="itemProps209.xml"/></Relationships>
</file>

<file path=customXml/_rels/item210.xml.rels><?xml version="1.0" encoding="UTF-8" standalone="yes"?>
<Relationships xmlns="http://schemas.openxmlformats.org/package/2006/relationships"><Relationship Id="rId1" Type="http://schemas.openxmlformats.org/officeDocument/2006/relationships/customXmlProps" Target="itemProps210.xml"/></Relationships>
</file>

<file path=customXml/_rels/item211.xml.rels><?xml version="1.0" encoding="UTF-8" standalone="yes"?>
<Relationships xmlns="http://schemas.openxmlformats.org/package/2006/relationships"><Relationship Id="rId1" Type="http://schemas.openxmlformats.org/officeDocument/2006/relationships/customXmlProps" Target="itemProps211.xml"/></Relationships>
</file>

<file path=customXml/_rels/item212.xml.rels><?xml version="1.0" encoding="UTF-8" standalone="yes"?>
<Relationships xmlns="http://schemas.openxmlformats.org/package/2006/relationships"><Relationship Id="rId1" Type="http://schemas.openxmlformats.org/officeDocument/2006/relationships/customXmlProps" Target="itemProps212.xml"/></Relationships>
</file>

<file path=customXml/_rels/item213.xml.rels><?xml version="1.0" encoding="UTF-8" standalone="yes"?>
<Relationships xmlns="http://schemas.openxmlformats.org/package/2006/relationships"><Relationship Id="rId1" Type="http://schemas.openxmlformats.org/officeDocument/2006/relationships/customXmlProps" Target="itemProps213.xml"/></Relationships>
</file>

<file path=customXml/_rels/item214.xml.rels><?xml version="1.0" encoding="UTF-8" standalone="yes"?>
<Relationships xmlns="http://schemas.openxmlformats.org/package/2006/relationships"><Relationship Id="rId1" Type="http://schemas.openxmlformats.org/officeDocument/2006/relationships/customXmlProps" Target="itemProps214.xml"/></Relationships>
</file>

<file path=customXml/_rels/item215.xml.rels><?xml version="1.0" encoding="UTF-8" standalone="yes"?>
<Relationships xmlns="http://schemas.openxmlformats.org/package/2006/relationships"><Relationship Id="rId1" Type="http://schemas.openxmlformats.org/officeDocument/2006/relationships/customXmlProps" Target="itemProps215.xml"/></Relationships>
</file>

<file path=customXml/_rels/item216.xml.rels><?xml version="1.0" encoding="UTF-8" standalone="yes"?>
<Relationships xmlns="http://schemas.openxmlformats.org/package/2006/relationships"><Relationship Id="rId1" Type="http://schemas.openxmlformats.org/officeDocument/2006/relationships/customXmlProps" Target="itemProps216.xml"/></Relationships>
</file>

<file path=customXml/_rels/item217.xml.rels><?xml version="1.0" encoding="UTF-8" standalone="yes"?>
<Relationships xmlns="http://schemas.openxmlformats.org/package/2006/relationships"><Relationship Id="rId1" Type="http://schemas.openxmlformats.org/officeDocument/2006/relationships/customXmlProps" Target="itemProps217.xml"/></Relationships>
</file>

<file path=customXml/_rels/item218.xml.rels><?xml version="1.0" encoding="UTF-8" standalone="yes"?>
<Relationships xmlns="http://schemas.openxmlformats.org/package/2006/relationships"><Relationship Id="rId1" Type="http://schemas.openxmlformats.org/officeDocument/2006/relationships/customXmlProps" Target="itemProps218.xml"/></Relationships>
</file>

<file path=customXml/_rels/item219.xml.rels><?xml version="1.0" encoding="UTF-8" standalone="yes"?>
<Relationships xmlns="http://schemas.openxmlformats.org/package/2006/relationships"><Relationship Id="rId1" Type="http://schemas.openxmlformats.org/officeDocument/2006/relationships/customXmlProps" Target="itemProps219.xml"/></Relationships>
</file>

<file path=customXml/_rels/item220.xml.rels><?xml version="1.0" encoding="UTF-8" standalone="yes"?>
<Relationships xmlns="http://schemas.openxmlformats.org/package/2006/relationships"><Relationship Id="rId1" Type="http://schemas.openxmlformats.org/officeDocument/2006/relationships/customXmlProps" Target="itemProps220.xml"/></Relationships>
</file>

<file path=customXml/_rels/item221.xml.rels><?xml version="1.0" encoding="UTF-8" standalone="yes"?>
<Relationships xmlns="http://schemas.openxmlformats.org/package/2006/relationships"><Relationship Id="rId1" Type="http://schemas.openxmlformats.org/officeDocument/2006/relationships/customXmlProps" Target="itemProps221.xml"/></Relationships>
</file>

<file path=customXml/_rels/item222.xml.rels><?xml version="1.0" encoding="UTF-8" standalone="yes"?>
<Relationships xmlns="http://schemas.openxmlformats.org/package/2006/relationships"><Relationship Id="rId1" Type="http://schemas.openxmlformats.org/officeDocument/2006/relationships/customXmlProps" Target="itemProps222.xml"/></Relationships>
</file>

<file path=customXml/_rels/item223.xml.rels><?xml version="1.0" encoding="UTF-8" standalone="yes"?>
<Relationships xmlns="http://schemas.openxmlformats.org/package/2006/relationships"><Relationship Id="rId1" Type="http://schemas.openxmlformats.org/officeDocument/2006/relationships/customXmlProps" Target="itemProps223.xml"/></Relationships>
</file>

<file path=customXml/_rels/item224.xml.rels><?xml version="1.0" encoding="UTF-8" standalone="yes"?>
<Relationships xmlns="http://schemas.openxmlformats.org/package/2006/relationships"><Relationship Id="rId1" Type="http://schemas.openxmlformats.org/officeDocument/2006/relationships/customXmlProps" Target="itemProps22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4" ma:contentTypeDescription="Create a new document." ma:contentTypeScope="" ma:versionID="d6458b059dbca9816b91ad0a6e57230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deb7608bc644ba2d4e95da7c175a7487"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xml version="1.0" encoding="utf-8"?>
<?mso-contentType ?>
<FormTemplates xmlns="http://schemas.microsoft.com/sharepoint/v3/contenttype/forms">
  <Display>DocumentLibraryForm</Display>
  <Edit>DocumentLibraryForm</Edit>
  <New>DocumentLibraryForm</New>
</FormTemplates>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193.xml>��
</file>

<file path=customXml/item194.xml>��
</file>

<file path=customXml/item195.xml>��
</file>

<file path=customXml/item196.xml>��
</file>

<file path=customXml/item197.xml>��
</file>

<file path=customXml/item198.xml>��
</file>

<file path=customXml/item199.xml>��
</file>

<file path=customXml/item200.xml>��
</file>

<file path=customXml/item201.xml>��
</file>

<file path=customXml/item202.xml>��
</file>

<file path=customXml/item203.xml>��
</file>

<file path=customXml/item204.xml>��
</file>

<file path=customXml/item205.xml>��
</file>

<file path=customXml/item206.xml>��
</file>

<file path=customXml/item207.xml>��
</file>

<file path=customXml/item208.xml>��
</file>

<file path=customXml/item209.xml>��
</file>

<file path=customXml/item210.xml>��
</file>

<file path=customXml/item211.xml>��
</file>

<file path=customXml/item212.xml>��
</file>

<file path=customXml/item213.xml>��
</file>

<file path=customXml/item214.xml>��
</file>

<file path=customXml/item215.xml>��
</file>

<file path=customXml/item216.xml>��
</file>

<file path=customXml/item217.xml>��
</file>

<file path=customXml/item218.xml>��
</file>

<file path=customXml/item219.xml>��
</file>

<file path=customXml/item220.xml>��
</file>

<file path=customXml/item221.xml>��
</file>

<file path=customXml/item222.xml>��
</file>

<file path=customXml/item223.xml>��
</file>

<file path=customXml/item224.xml>��
</file>

<file path=customXml/itemProps1.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2.xml><?xml version="1.0" encoding="utf-8"?>
<ds:datastoreItem xmlns:ds="http://schemas.openxmlformats.org/officeDocument/2006/customXml" ds:itemID="{D22D11B3-7B04-49EE-85E1-C4493C68FCEA}">
  <ds:schemaRefs>
    <ds:schemaRef ds:uri="http://schemas.microsoft.com/office/2006/documentManagement/types"/>
    <ds:schemaRef ds:uri="http://schemas.microsoft.com/office/infopath/2007/PartnerControls"/>
    <ds:schemaRef ds:uri="http://purl.org/dc/terms/"/>
    <ds:schemaRef ds:uri="0d1267e8-2087-4430-8898-7e1d16711490"/>
    <ds:schemaRef ds:uri="http://purl.org/dc/elements/1.1/"/>
    <ds:schemaRef ds:uri="16457750-3f8d-456e-a162-25cda7a13520"/>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4.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5.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6.xml><?xml version="1.0" encoding="utf-8"?>
<ds:datastoreItem xmlns:ds="http://schemas.openxmlformats.org/officeDocument/2006/customXml" ds:itemID="{D643A717-1BA3-4F56-8445-434A65D83A50}">
  <ds:schemaRefs/>
</ds:datastoreItem>
</file>

<file path=customXml/itemProps7.xml><?xml version="1.0" encoding="utf-8"?>
<ds:datastoreItem xmlns:ds="http://schemas.openxmlformats.org/officeDocument/2006/customXml" ds:itemID="{DF14F631-97EB-4A51-AC08-1C509CE84D7B}">
  <ds:schemaRefs/>
</ds:datastoreItem>
</file>

<file path=customXml/itemProps8.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9.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customXml/itemProps10.xml><?xml version="1.0" encoding="utf-8"?>
<ds:datastoreItem xmlns:ds="http://schemas.openxmlformats.org/officeDocument/2006/customXml" ds:itemID="{59FD5C7D-0457-4B5D-A30B-F0F864E9F600}">
  <ds:schemaRefs/>
</ds:datastoreItem>
</file>

<file path=customXml/itemProps11.xml><?xml version="1.0" encoding="utf-8"?>
<ds:datastoreItem xmlns:ds="http://schemas.openxmlformats.org/officeDocument/2006/customXml" ds:itemID="{F792DAED-09B0-443C-BC4F-D394B91FDC2E}">
  <ds:schemaRefs/>
</ds:datastoreItem>
</file>

<file path=customXml/itemProps12.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13.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14.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15.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6.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17.xml><?xml version="1.0" encoding="utf-8"?>
<ds:datastoreItem xmlns:ds="http://schemas.openxmlformats.org/officeDocument/2006/customXml" ds:itemID="{5EF606BE-592B-4661-9E7E-E6097AA13320}">
  <ds:schemaRefs/>
</ds:datastoreItem>
</file>

<file path=customXml/itemProps18.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9.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20.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21.xml><?xml version="1.0" encoding="utf-8"?>
<ds:datastoreItem xmlns:ds="http://schemas.openxmlformats.org/officeDocument/2006/customXml" ds:itemID="{442B8979-2F0B-4CBB-8754-BFE3D0CE122C}">
  <ds:schemaRefs/>
</ds:datastoreItem>
</file>

<file path=customXml/itemProps22.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23.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24.xml><?xml version="1.0" encoding="utf-8"?>
<ds:datastoreItem xmlns:ds="http://schemas.openxmlformats.org/officeDocument/2006/customXml" ds:itemID="{8A0CEE62-117E-41CA-A9F3-B8AAE7A52BEE}">
  <ds:schemaRefs>
    <ds:schemaRef ds:uri="http://gemini/pivotcustomization/f7277403-0e66-4c3a-8be7-6ebaec9c1267"/>
  </ds:schemaRefs>
</ds:datastoreItem>
</file>

<file path=customXml/itemProps25.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26.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27.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28.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29.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30.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31.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customXml/itemProps32.xml><?xml version="1.0" encoding="utf-8"?>
<ds:datastoreItem xmlns:ds="http://schemas.openxmlformats.org/officeDocument/2006/customXml" ds:itemID="{FF7C7EF4-40F3-4B37-A3FE-D0CF1AE2DFB8}">
  <ds:schemaRefs/>
</ds:datastoreItem>
</file>

<file path=customXml/itemProps33.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34.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35.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36.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37.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38.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39.xml><?xml version="1.0" encoding="utf-8"?>
<ds:datastoreItem xmlns:ds="http://schemas.openxmlformats.org/officeDocument/2006/customXml" ds:itemID="{859F0FFA-3FE1-426A-930D-A627B0D20105}">
  <ds:schemaRefs/>
</ds:datastoreItem>
</file>

<file path=customXml/itemProps40.xml><?xml version="1.0" encoding="utf-8"?>
<ds:datastoreItem xmlns:ds="http://schemas.openxmlformats.org/officeDocument/2006/customXml" ds:itemID="{5E3F6F07-850E-4440-A562-370F86CED525}">
  <ds:schemaRefs/>
</ds:datastoreItem>
</file>

<file path=customXml/itemProps41.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42.xml><?xml version="1.0" encoding="utf-8"?>
<ds:datastoreItem xmlns:ds="http://schemas.openxmlformats.org/officeDocument/2006/customXml" ds:itemID="{2A9DE62E-E9BE-4911-8B4C-A6C6CA5B982E}">
  <ds:schemaRefs>
    <ds:schemaRef ds:uri="http://gemini/pivotcustomization/aec97850-f685-4152-8549-d81eb858ae8d"/>
  </ds:schemaRefs>
</ds:datastoreItem>
</file>

<file path=customXml/itemProps43.xml><?xml version="1.0" encoding="utf-8"?>
<ds:datastoreItem xmlns:ds="http://schemas.openxmlformats.org/officeDocument/2006/customXml" ds:itemID="{EA6369BF-2B52-4E63-91D7-E3CEDA502B06}">
  <ds:schemaRefs/>
</ds:datastoreItem>
</file>

<file path=customXml/itemProps44.xml><?xml version="1.0" encoding="utf-8"?>
<ds:datastoreItem xmlns:ds="http://schemas.openxmlformats.org/officeDocument/2006/customXml" ds:itemID="{D9392B48-7694-4692-B153-656559E6AC33}">
  <ds:schemaRefs/>
</ds:datastoreItem>
</file>

<file path=customXml/itemProps45.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46.xml><?xml version="1.0" encoding="utf-8"?>
<ds:datastoreItem xmlns:ds="http://schemas.openxmlformats.org/officeDocument/2006/customXml" ds:itemID="{C15825CE-25F3-4809-BB34-F9AB171E1642}">
  <ds:schemaRefs/>
</ds:datastoreItem>
</file>

<file path=customXml/itemProps47.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48.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49.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50.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51.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52.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53.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54.xml><?xml version="1.0" encoding="utf-8"?>
<ds:datastoreItem xmlns:ds="http://schemas.openxmlformats.org/officeDocument/2006/customXml" ds:itemID="{FA5CE0CD-21ED-4C02-8868-DF884418A24B}">
  <ds:schemaRefs/>
</ds:datastoreItem>
</file>

<file path=customXml/itemProps55.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56.xml><?xml version="1.0" encoding="utf-8"?>
<ds:datastoreItem xmlns:ds="http://schemas.openxmlformats.org/officeDocument/2006/customXml" ds:itemID="{9BAB1F53-B63B-4A71-8532-03FB5EC90A78}">
  <ds:schemaRefs/>
</ds:datastoreItem>
</file>

<file path=customXml/itemProps57.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58.xml><?xml version="1.0" encoding="utf-8"?>
<ds:datastoreItem xmlns:ds="http://schemas.openxmlformats.org/officeDocument/2006/customXml" ds:itemID="{64F0B250-7050-457D-925D-3DF8C7431FD5}">
  <ds:schemaRefs/>
</ds:datastoreItem>
</file>

<file path=customXml/itemProps59.xml><?xml version="1.0" encoding="utf-8"?>
<ds:datastoreItem xmlns:ds="http://schemas.openxmlformats.org/officeDocument/2006/customXml" ds:itemID="{69966F9D-CCDB-451A-A14E-A704859D63B5}">
  <ds:schemaRefs/>
</ds:datastoreItem>
</file>

<file path=customXml/itemProps60.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61.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62.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63.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64.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customXml/itemProps65.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66.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67.xml><?xml version="1.0" encoding="utf-8"?>
<ds:datastoreItem xmlns:ds="http://schemas.openxmlformats.org/officeDocument/2006/customXml" ds:itemID="{324EEA66-DD6E-43D3-B9F2-09C064077F10}">
  <ds:schemaRefs/>
</ds:datastoreItem>
</file>

<file path=customXml/itemProps68.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69.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70.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71.xml><?xml version="1.0" encoding="utf-8"?>
<ds:datastoreItem xmlns:ds="http://schemas.openxmlformats.org/officeDocument/2006/customXml" ds:itemID="{11570366-12D1-41FD-A477-E36A96A5BC1B}">
  <ds:schemaRefs/>
</ds:datastoreItem>
</file>

<file path=customXml/itemProps72.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73.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74.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75.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76.xml><?xml version="1.0" encoding="utf-8"?>
<ds:datastoreItem xmlns:ds="http://schemas.openxmlformats.org/officeDocument/2006/customXml" ds:itemID="{C75CFB10-2457-4D6E-B459-8F73ECA90A4E}">
  <ds:schemaRefs/>
</ds:datastoreItem>
</file>

<file path=customXml/itemProps77.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78.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79.xml><?xml version="1.0" encoding="utf-8"?>
<ds:datastoreItem xmlns:ds="http://schemas.openxmlformats.org/officeDocument/2006/customXml" ds:itemID="{1DEE0B93-DF60-4AE3-B5B5-32EC48AF76DE}">
  <ds:schemaRefs/>
</ds:datastoreItem>
</file>

<file path=customXml/itemProps80.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81.xml><?xml version="1.0" encoding="utf-8"?>
<ds:datastoreItem xmlns:ds="http://schemas.openxmlformats.org/officeDocument/2006/customXml" ds:itemID="{1AE19A91-FE46-4CF5-AE83-7DFB0DC8B924}">
  <ds:schemaRefs/>
</ds:datastoreItem>
</file>

<file path=customXml/itemProps82.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83.xml><?xml version="1.0" encoding="utf-8"?>
<ds:datastoreItem xmlns:ds="http://schemas.openxmlformats.org/officeDocument/2006/customXml" ds:itemID="{96E5AEF9-B7B1-4306-A00A-A022008B43E4}">
  <ds:schemaRefs/>
</ds:datastoreItem>
</file>

<file path=customXml/itemProps84.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85.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86.xml><?xml version="1.0" encoding="utf-8"?>
<ds:datastoreItem xmlns:ds="http://schemas.openxmlformats.org/officeDocument/2006/customXml" ds:itemID="{03E05EF3-7AEE-4D3A-9FAB-6DD370F93B10}">
  <ds:schemaRefs/>
</ds:datastoreItem>
</file>

<file path=customXml/itemProps87.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88.xml><?xml version="1.0" encoding="utf-8"?>
<ds:datastoreItem xmlns:ds="http://schemas.openxmlformats.org/officeDocument/2006/customXml" ds:itemID="{221F5257-2342-49CA-8030-3594CB59B9A7}">
  <ds:schemaRefs/>
</ds:datastoreItem>
</file>

<file path=customXml/itemProps89.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90.xml><?xml version="1.0" encoding="utf-8"?>
<ds:datastoreItem xmlns:ds="http://schemas.openxmlformats.org/officeDocument/2006/customXml" ds:itemID="{29935851-23FA-4952-83E7-06DE9E4779B7}">
  <ds:schemaRefs/>
</ds:datastoreItem>
</file>

<file path=customXml/itemProps91.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92.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93.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94.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95.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96.xml><?xml version="1.0" encoding="utf-8"?>
<ds:datastoreItem xmlns:ds="http://schemas.openxmlformats.org/officeDocument/2006/customXml" ds:itemID="{4B6D3EB4-CA08-4D07-A881-6F7A6D8FC333}">
  <ds:schemaRefs/>
</ds:datastoreItem>
</file>

<file path=customXml/itemProps97.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98.xml><?xml version="1.0" encoding="utf-8"?>
<ds:datastoreItem xmlns:ds="http://schemas.openxmlformats.org/officeDocument/2006/customXml" ds:itemID="{5E4C31E5-3936-41A5-BA9A-C3806E8CBE99}">
  <ds:schemaRefs/>
</ds:datastoreItem>
</file>

<file path=customXml/itemProps99.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100.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101.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102.xml><?xml version="1.0" encoding="utf-8"?>
<ds:datastoreItem xmlns:ds="http://schemas.openxmlformats.org/officeDocument/2006/customXml" ds:itemID="{6D59ADF0-A818-4569-87FE-CE1E8DF496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03.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104.xml><?xml version="1.0" encoding="utf-8"?>
<ds:datastoreItem xmlns:ds="http://schemas.openxmlformats.org/officeDocument/2006/customXml" ds:itemID="{F1B203A9-3578-4285-863A-37F673B8B9CB}">
  <ds:schemaRefs/>
</ds:datastoreItem>
</file>

<file path=customXml/itemProps105.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106.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107.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108.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109.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110.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111.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112.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113.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114.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115.xml><?xml version="1.0" encoding="utf-8"?>
<ds:datastoreItem xmlns:ds="http://schemas.openxmlformats.org/officeDocument/2006/customXml" ds:itemID="{7E91179C-DA4D-4299-ACD4-EF4CBD5A2ABA}">
  <ds:schemaRefs/>
</ds:datastoreItem>
</file>

<file path=customXml/itemProps116.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117.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118.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119.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120.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121.xml><?xml version="1.0" encoding="utf-8"?>
<ds:datastoreItem xmlns:ds="http://schemas.openxmlformats.org/officeDocument/2006/customXml" ds:itemID="{78003378-4034-4028-95A4-79D5A6DED78E}">
  <ds:schemaRefs/>
</ds:datastoreItem>
</file>

<file path=customXml/itemProps122.xml><?xml version="1.0" encoding="utf-8"?>
<ds:datastoreItem xmlns:ds="http://schemas.openxmlformats.org/officeDocument/2006/customXml" ds:itemID="{DA3A71A3-4159-4BFE-9E2D-4A210BCB83B8}">
  <ds:schemaRefs/>
</ds:datastoreItem>
</file>

<file path=customXml/itemProps123.xml><?xml version="1.0" encoding="utf-8"?>
<ds:datastoreItem xmlns:ds="http://schemas.openxmlformats.org/officeDocument/2006/customXml" ds:itemID="{0C8D3FEA-1708-4B11-B2F1-80807CB667DA}">
  <ds:schemaRefs/>
</ds:datastoreItem>
</file>

<file path=customXml/itemProps124.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125.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126.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127.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128.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129.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130.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131.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132.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customXml/itemProps133.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134.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135.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36.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137.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138.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139.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140.xml><?xml version="1.0" encoding="utf-8"?>
<ds:datastoreItem xmlns:ds="http://schemas.openxmlformats.org/officeDocument/2006/customXml" ds:itemID="{EFCB62F2-F8CD-4EEE-995D-1E5DE1DAAB9F}">
  <ds:schemaRefs/>
</ds:datastoreItem>
</file>

<file path=customXml/itemProps141.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142.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143.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144.xml><?xml version="1.0" encoding="utf-8"?>
<ds:datastoreItem xmlns:ds="http://schemas.openxmlformats.org/officeDocument/2006/customXml" ds:itemID="{6C3F922A-823E-4B90-83B8-9BDC48903C56}">
  <ds:schemaRefs/>
</ds:datastoreItem>
</file>

<file path=customXml/itemProps145.xml><?xml version="1.0" encoding="utf-8"?>
<ds:datastoreItem xmlns:ds="http://schemas.openxmlformats.org/officeDocument/2006/customXml" ds:itemID="{F83B8F6E-1A1C-4E31-90C3-D569A4A8026D}">
  <ds:schemaRefs/>
</ds:datastoreItem>
</file>

<file path=customXml/itemProps146.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147.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148.xml><?xml version="1.0" encoding="utf-8"?>
<ds:datastoreItem xmlns:ds="http://schemas.openxmlformats.org/officeDocument/2006/customXml" ds:itemID="{19A036DF-BEA2-4C58-B39C-E3C888E3F00E}">
  <ds:schemaRefs>
    <ds:schemaRef ds:uri="http://gemini/pivotcustomization/a812b2fa-4435-4478-879d-ecfbe708aa72"/>
  </ds:schemaRefs>
</ds:datastoreItem>
</file>

<file path=customXml/itemProps149.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150.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51.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52.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53.xml><?xml version="1.0" encoding="utf-8"?>
<ds:datastoreItem xmlns:ds="http://schemas.openxmlformats.org/officeDocument/2006/customXml" ds:itemID="{A51EDEF3-7714-47F3-B814-CAD4BFD86E9D}">
  <ds:schemaRefs/>
</ds:datastoreItem>
</file>

<file path=customXml/itemProps154.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155.xml><?xml version="1.0" encoding="utf-8"?>
<ds:datastoreItem xmlns:ds="http://schemas.openxmlformats.org/officeDocument/2006/customXml" ds:itemID="{FD62EA4A-5BFA-4EF8-BFAF-7E966822E153}">
  <ds:schemaRefs/>
</ds:datastoreItem>
</file>

<file path=customXml/itemProps156.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157.xml><?xml version="1.0" encoding="utf-8"?>
<ds:datastoreItem xmlns:ds="http://schemas.openxmlformats.org/officeDocument/2006/customXml" ds:itemID="{0B53434A-CAC7-4BF3-9F46-FE848DCDDF1B}">
  <ds:schemaRefs/>
</ds:datastoreItem>
</file>

<file path=customXml/itemProps158.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159.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160.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customXml/itemProps161.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162.xml><?xml version="1.0" encoding="utf-8"?>
<ds:datastoreItem xmlns:ds="http://schemas.openxmlformats.org/officeDocument/2006/customXml" ds:itemID="{EE88FF03-7928-4E10-8F8D-1C6D8C7CC65D}">
  <ds:schemaRefs>
    <ds:schemaRef ds:uri="http://gemini/pivotcustomization/8cf195a4-900e-44eb-bbe9-aa3bd3cdb07a"/>
  </ds:schemaRefs>
</ds:datastoreItem>
</file>

<file path=customXml/itemProps163.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164.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165.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66.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167.xml><?xml version="1.0" encoding="utf-8"?>
<ds:datastoreItem xmlns:ds="http://schemas.openxmlformats.org/officeDocument/2006/customXml" ds:itemID="{F656C069-4687-4294-8954-BF6CBC5124C2}">
  <ds:schemaRefs/>
</ds:datastoreItem>
</file>

<file path=customXml/itemProps168.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169.xml><?xml version="1.0" encoding="utf-8"?>
<ds:datastoreItem xmlns:ds="http://schemas.openxmlformats.org/officeDocument/2006/customXml" ds:itemID="{1B484F26-E7EC-4509-A132-61083F656CA8}">
  <ds:schemaRefs/>
</ds:datastoreItem>
</file>

<file path=customXml/itemProps170.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171.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172.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173.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174.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175.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176.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177.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178.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179.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180.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181.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182.xml><?xml version="1.0" encoding="utf-8"?>
<ds:datastoreItem xmlns:ds="http://schemas.openxmlformats.org/officeDocument/2006/customXml" ds:itemID="{D7D8F738-B50D-4045-97B3-F8F7D6BF0AB9}">
  <ds:schemaRefs/>
</ds:datastoreItem>
</file>

<file path=customXml/itemProps183.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184.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185.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186.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187.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188.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189.xml><?xml version="1.0" encoding="utf-8"?>
<ds:datastoreItem xmlns:ds="http://schemas.openxmlformats.org/officeDocument/2006/customXml" ds:itemID="{4535D867-75AB-4211-B31D-1F98E243E865}">
  <ds:schemaRefs/>
</ds:datastoreItem>
</file>

<file path=customXml/itemProps190.xml><?xml version="1.0" encoding="utf-8"?>
<ds:datastoreItem xmlns:ds="http://schemas.openxmlformats.org/officeDocument/2006/customXml" ds:itemID="{8F5EC6F5-9F84-4D88-8F2D-971336F7CAAD}">
  <ds:schemaRefs/>
</ds:datastoreItem>
</file>

<file path=customXml/itemProps191.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192.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193.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194.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195.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196.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197.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198.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199.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200.xml><?xml version="1.0" encoding="utf-8"?>
<ds:datastoreItem xmlns:ds="http://schemas.openxmlformats.org/officeDocument/2006/customXml" ds:itemID="{6B815B3F-8553-47B0-9134-ABFCDFAB4491}">
  <ds:schemaRefs/>
</ds:datastoreItem>
</file>

<file path=customXml/itemProps201.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202.xml><?xml version="1.0" encoding="utf-8"?>
<ds:datastoreItem xmlns:ds="http://schemas.openxmlformats.org/officeDocument/2006/customXml" ds:itemID="{A23165C2-7CEB-4D8B-84D9-F61BBD0DDA35}">
  <ds:schemaRefs/>
</ds:datastoreItem>
</file>

<file path=customXml/itemProps203.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204.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205.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206.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207.xml><?xml version="1.0" encoding="utf-8"?>
<ds:datastoreItem xmlns:ds="http://schemas.openxmlformats.org/officeDocument/2006/customXml" ds:itemID="{8EFDB7CA-1159-4189-80E8-AF468241105B}">
  <ds:schemaRefs/>
</ds:datastoreItem>
</file>

<file path=customXml/itemProps208.xml><?xml version="1.0" encoding="utf-8"?>
<ds:datastoreItem xmlns:ds="http://schemas.openxmlformats.org/officeDocument/2006/customXml" ds:itemID="{A8610209-B98D-4345-AD8D-172CC8AC1FA6}">
  <ds:schemaRefs>
    <ds:schemaRef ds:uri="http://gemini/pivotcustomization/9944123b-d4f3-4a03-9394-8a2ac423be46"/>
  </ds:schemaRefs>
</ds:datastoreItem>
</file>

<file path=customXml/itemProps209.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210.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211.xml><?xml version="1.0" encoding="utf-8"?>
<ds:datastoreItem xmlns:ds="http://schemas.openxmlformats.org/officeDocument/2006/customXml" ds:itemID="{85CB4E41-6924-4BDF-8EBC-C215F9B6CC69}">
  <ds:schemaRefs/>
</ds:datastoreItem>
</file>

<file path=customXml/itemProps212.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213.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214.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215.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216.xml><?xml version="1.0" encoding="utf-8"?>
<ds:datastoreItem xmlns:ds="http://schemas.openxmlformats.org/officeDocument/2006/customXml" ds:itemID="{D77137A8-EE68-4AAE-85A1-42E15F15BF3D}">
  <ds:schemaRefs/>
</ds:datastoreItem>
</file>

<file path=customXml/itemProps217.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218.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219.xml><?xml version="1.0" encoding="utf-8"?>
<ds:datastoreItem xmlns:ds="http://schemas.openxmlformats.org/officeDocument/2006/customXml" ds:itemID="{49B4D419-6EF7-459A-B2D0-ADB82E02C093}">
  <ds:schemaRefs/>
</ds:datastoreItem>
</file>

<file path=customXml/itemProps220.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221.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222.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223.xml><?xml version="1.0" encoding="utf-8"?>
<ds:datastoreItem xmlns:ds="http://schemas.openxmlformats.org/officeDocument/2006/customXml" ds:itemID="{44E356DE-C6A2-43F5-BE34-24A0B6E58D0F}">
  <ds:schemaRefs/>
</ds:datastoreItem>
</file>

<file path=customXml/itemProps224.xml><?xml version="1.0" encoding="utf-8"?>
<ds:datastoreItem xmlns:ds="http://schemas.openxmlformats.org/officeDocument/2006/customXml" ds:itemID="{FD8F4406-7536-4D35-9924-8B75950394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vt:lpstr>
      <vt:lpstr>CurrentMonth</vt:lpstr>
      <vt:lpstr>'G&amp;A'!GA</vt:lpstr>
      <vt:lpstr>'G&amp;A_Budget'!GA_B</vt:lpstr>
      <vt:lpstr>'R&amp;D'!RD</vt:lpstr>
      <vt:lpstr>'R&amp;D_Budget'!RD_B</vt:lpstr>
      <vt:lpstr>'S&amp;M'!SM</vt:lpstr>
      <vt:lpstr>'S&amp;M_Budget'!SM_B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Sherly Ackermann</cp:lastModifiedBy>
  <cp:revision/>
  <dcterms:created xsi:type="dcterms:W3CDTF">2024-08-09T21:14:56Z</dcterms:created>
  <dcterms:modified xsi:type="dcterms:W3CDTF">2025-05-12T16:47:56Z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