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SherryT/Documents/Projects/A:B_Testing-FreeTrialScreener/"/>
    </mc:Choice>
  </mc:AlternateContent>
  <bookViews>
    <workbookView xWindow="240" yWindow="780" windowWidth="24080" windowHeight="13960" activeTab="4"/>
  </bookViews>
  <sheets>
    <sheet name="SD_Eval_Metric" sheetId="1" r:id="rId1"/>
    <sheet name="Power" sheetId="2" r:id="rId2"/>
    <sheet name="Sanity Checks" sheetId="3" r:id="rId3"/>
    <sheet name="Result Analysis" sheetId="4" r:id="rId4"/>
    <sheet name="Sign Test" sheetId="6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4" l="1"/>
  <c r="O4" i="6"/>
  <c r="H4" i="6"/>
  <c r="R4" i="6"/>
  <c r="O5" i="6"/>
  <c r="H5" i="6"/>
  <c r="R5" i="6"/>
  <c r="O6" i="6"/>
  <c r="H6" i="6"/>
  <c r="R6" i="6"/>
  <c r="O7" i="6"/>
  <c r="H7" i="6"/>
  <c r="R7" i="6"/>
  <c r="O8" i="6"/>
  <c r="H8" i="6"/>
  <c r="R8" i="6"/>
  <c r="O9" i="6"/>
  <c r="H9" i="6"/>
  <c r="R9" i="6"/>
  <c r="O10" i="6"/>
  <c r="H10" i="6"/>
  <c r="R10" i="6"/>
  <c r="O11" i="6"/>
  <c r="H11" i="6"/>
  <c r="R11" i="6"/>
  <c r="O12" i="6"/>
  <c r="H12" i="6"/>
  <c r="R12" i="6"/>
  <c r="O13" i="6"/>
  <c r="H13" i="6"/>
  <c r="R13" i="6"/>
  <c r="O14" i="6"/>
  <c r="H14" i="6"/>
  <c r="R14" i="6"/>
  <c r="O15" i="6"/>
  <c r="H15" i="6"/>
  <c r="R15" i="6"/>
  <c r="O16" i="6"/>
  <c r="H16" i="6"/>
  <c r="R16" i="6"/>
  <c r="O17" i="6"/>
  <c r="H17" i="6"/>
  <c r="R17" i="6"/>
  <c r="O18" i="6"/>
  <c r="H18" i="6"/>
  <c r="R18" i="6"/>
  <c r="O19" i="6"/>
  <c r="H19" i="6"/>
  <c r="R19" i="6"/>
  <c r="O20" i="6"/>
  <c r="H20" i="6"/>
  <c r="R20" i="6"/>
  <c r="O21" i="6"/>
  <c r="H21" i="6"/>
  <c r="R21" i="6"/>
  <c r="O22" i="6"/>
  <c r="H22" i="6"/>
  <c r="R22" i="6"/>
  <c r="O23" i="6"/>
  <c r="H23" i="6"/>
  <c r="R23" i="6"/>
  <c r="O24" i="6"/>
  <c r="H24" i="6"/>
  <c r="R24" i="6"/>
  <c r="O25" i="6"/>
  <c r="H25" i="6"/>
  <c r="R25" i="6"/>
  <c r="O26" i="6"/>
  <c r="H26" i="6"/>
  <c r="R26" i="6"/>
  <c r="N4" i="6"/>
  <c r="G4" i="6"/>
  <c r="Q4" i="6"/>
  <c r="N5" i="6"/>
  <c r="G5" i="6"/>
  <c r="Q5" i="6"/>
  <c r="N6" i="6"/>
  <c r="G6" i="6"/>
  <c r="Q6" i="6"/>
  <c r="N7" i="6"/>
  <c r="G7" i="6"/>
  <c r="Q7" i="6"/>
  <c r="N8" i="6"/>
  <c r="G8" i="6"/>
  <c r="Q8" i="6"/>
  <c r="N9" i="6"/>
  <c r="G9" i="6"/>
  <c r="Q9" i="6"/>
  <c r="N10" i="6"/>
  <c r="G10" i="6"/>
  <c r="Q10" i="6"/>
  <c r="N11" i="6"/>
  <c r="G11" i="6"/>
  <c r="Q11" i="6"/>
  <c r="N12" i="6"/>
  <c r="G12" i="6"/>
  <c r="Q12" i="6"/>
  <c r="N13" i="6"/>
  <c r="G13" i="6"/>
  <c r="Q13" i="6"/>
  <c r="N14" i="6"/>
  <c r="G14" i="6"/>
  <c r="Q14" i="6"/>
  <c r="N15" i="6"/>
  <c r="G15" i="6"/>
  <c r="Q15" i="6"/>
  <c r="N16" i="6"/>
  <c r="G16" i="6"/>
  <c r="Q16" i="6"/>
  <c r="N17" i="6"/>
  <c r="G17" i="6"/>
  <c r="Q17" i="6"/>
  <c r="N18" i="6"/>
  <c r="G18" i="6"/>
  <c r="Q18" i="6"/>
  <c r="N19" i="6"/>
  <c r="G19" i="6"/>
  <c r="Q19" i="6"/>
  <c r="N20" i="6"/>
  <c r="G20" i="6"/>
  <c r="Q20" i="6"/>
  <c r="N21" i="6"/>
  <c r="G21" i="6"/>
  <c r="Q21" i="6"/>
  <c r="N22" i="6"/>
  <c r="G22" i="6"/>
  <c r="Q22" i="6"/>
  <c r="N23" i="6"/>
  <c r="G23" i="6"/>
  <c r="Q23" i="6"/>
  <c r="N24" i="6"/>
  <c r="G24" i="6"/>
  <c r="Q24" i="6"/>
  <c r="N25" i="6"/>
  <c r="G25" i="6"/>
  <c r="Q25" i="6"/>
  <c r="N26" i="6"/>
  <c r="G26" i="6"/>
  <c r="Q26" i="6"/>
  <c r="M4" i="6"/>
  <c r="F4" i="6"/>
  <c r="P4" i="6"/>
  <c r="M5" i="6"/>
  <c r="F5" i="6"/>
  <c r="P5" i="6"/>
  <c r="M6" i="6"/>
  <c r="F6" i="6"/>
  <c r="P6" i="6"/>
  <c r="M7" i="6"/>
  <c r="F7" i="6"/>
  <c r="P7" i="6"/>
  <c r="M8" i="6"/>
  <c r="F8" i="6"/>
  <c r="P8" i="6"/>
  <c r="M9" i="6"/>
  <c r="F9" i="6"/>
  <c r="P9" i="6"/>
  <c r="M10" i="6"/>
  <c r="F10" i="6"/>
  <c r="P10" i="6"/>
  <c r="M11" i="6"/>
  <c r="F11" i="6"/>
  <c r="P11" i="6"/>
  <c r="M12" i="6"/>
  <c r="F12" i="6"/>
  <c r="P12" i="6"/>
  <c r="M13" i="6"/>
  <c r="F13" i="6"/>
  <c r="P13" i="6"/>
  <c r="M14" i="6"/>
  <c r="F14" i="6"/>
  <c r="P14" i="6"/>
  <c r="M15" i="6"/>
  <c r="F15" i="6"/>
  <c r="P15" i="6"/>
  <c r="M16" i="6"/>
  <c r="F16" i="6"/>
  <c r="P16" i="6"/>
  <c r="M17" i="6"/>
  <c r="F17" i="6"/>
  <c r="P17" i="6"/>
  <c r="M18" i="6"/>
  <c r="F18" i="6"/>
  <c r="P18" i="6"/>
  <c r="M19" i="6"/>
  <c r="F19" i="6"/>
  <c r="P19" i="6"/>
  <c r="M20" i="6"/>
  <c r="F20" i="6"/>
  <c r="P20" i="6"/>
  <c r="M21" i="6"/>
  <c r="F21" i="6"/>
  <c r="P21" i="6"/>
  <c r="M22" i="6"/>
  <c r="F22" i="6"/>
  <c r="P22" i="6"/>
  <c r="M23" i="6"/>
  <c r="F23" i="6"/>
  <c r="P23" i="6"/>
  <c r="M24" i="6"/>
  <c r="F24" i="6"/>
  <c r="P24" i="6"/>
  <c r="M25" i="6"/>
  <c r="F25" i="6"/>
  <c r="P25" i="6"/>
  <c r="M26" i="6"/>
  <c r="F26" i="6"/>
  <c r="P26" i="6"/>
  <c r="P28" i="6"/>
  <c r="G4" i="4"/>
  <c r="F4" i="4"/>
  <c r="F2" i="4"/>
  <c r="E4" i="4"/>
  <c r="E2" i="4"/>
  <c r="V10" i="4"/>
  <c r="T10" i="4"/>
  <c r="P11" i="4"/>
  <c r="G48" i="3"/>
  <c r="G47" i="3"/>
  <c r="C48" i="3"/>
  <c r="C47" i="3"/>
  <c r="G41" i="3"/>
  <c r="E52" i="3"/>
  <c r="F52" i="3"/>
  <c r="G52" i="3"/>
  <c r="E48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7" i="3"/>
  <c r="E47" i="3"/>
  <c r="B40" i="3"/>
  <c r="G26" i="2"/>
  <c r="G24" i="2"/>
  <c r="F26" i="2"/>
  <c r="Q28" i="6"/>
  <c r="R28" i="6"/>
  <c r="Q27" i="6"/>
  <c r="P27" i="6"/>
  <c r="R27" i="6"/>
  <c r="H11" i="4"/>
  <c r="G11" i="4"/>
  <c r="F11" i="4"/>
  <c r="L10" i="4"/>
  <c r="K10" i="4"/>
  <c r="J10" i="4"/>
  <c r="I10" i="4"/>
  <c r="E10" i="4"/>
  <c r="D10" i="4"/>
  <c r="C10" i="4"/>
  <c r="B10" i="4"/>
  <c r="S33" i="4"/>
  <c r="R33" i="4"/>
  <c r="Q33" i="4"/>
  <c r="P33" i="4"/>
  <c r="O33" i="4"/>
  <c r="N33" i="4"/>
  <c r="M33" i="4"/>
  <c r="H33" i="4"/>
  <c r="G33" i="4"/>
  <c r="F33" i="4"/>
  <c r="S32" i="4"/>
  <c r="R32" i="4"/>
  <c r="Q32" i="4"/>
  <c r="P32" i="4"/>
  <c r="O32" i="4"/>
  <c r="N32" i="4"/>
  <c r="M32" i="4"/>
  <c r="H32" i="4"/>
  <c r="G32" i="4"/>
  <c r="F32" i="4"/>
  <c r="S31" i="4"/>
  <c r="R31" i="4"/>
  <c r="Q31" i="4"/>
  <c r="P31" i="4"/>
  <c r="O31" i="4"/>
  <c r="N31" i="4"/>
  <c r="M31" i="4"/>
  <c r="H31" i="4"/>
  <c r="G31" i="4"/>
  <c r="F31" i="4"/>
  <c r="S30" i="4"/>
  <c r="R30" i="4"/>
  <c r="Q30" i="4"/>
  <c r="P30" i="4"/>
  <c r="O30" i="4"/>
  <c r="N30" i="4"/>
  <c r="M30" i="4"/>
  <c r="H30" i="4"/>
  <c r="G30" i="4"/>
  <c r="F30" i="4"/>
  <c r="S29" i="4"/>
  <c r="R29" i="4"/>
  <c r="Q29" i="4"/>
  <c r="P29" i="4"/>
  <c r="O29" i="4"/>
  <c r="N29" i="4"/>
  <c r="M29" i="4"/>
  <c r="H29" i="4"/>
  <c r="G29" i="4"/>
  <c r="F29" i="4"/>
  <c r="S28" i="4"/>
  <c r="R28" i="4"/>
  <c r="Q28" i="4"/>
  <c r="P28" i="4"/>
  <c r="O28" i="4"/>
  <c r="N28" i="4"/>
  <c r="M28" i="4"/>
  <c r="H28" i="4"/>
  <c r="G28" i="4"/>
  <c r="F28" i="4"/>
  <c r="S27" i="4"/>
  <c r="R27" i="4"/>
  <c r="Q27" i="4"/>
  <c r="P27" i="4"/>
  <c r="O27" i="4"/>
  <c r="N27" i="4"/>
  <c r="M27" i="4"/>
  <c r="H27" i="4"/>
  <c r="G27" i="4"/>
  <c r="F27" i="4"/>
  <c r="S26" i="4"/>
  <c r="R26" i="4"/>
  <c r="Q26" i="4"/>
  <c r="P26" i="4"/>
  <c r="O26" i="4"/>
  <c r="N26" i="4"/>
  <c r="M26" i="4"/>
  <c r="H26" i="4"/>
  <c r="G26" i="4"/>
  <c r="F26" i="4"/>
  <c r="S25" i="4"/>
  <c r="R25" i="4"/>
  <c r="Q25" i="4"/>
  <c r="P25" i="4"/>
  <c r="O25" i="4"/>
  <c r="N25" i="4"/>
  <c r="M25" i="4"/>
  <c r="H25" i="4"/>
  <c r="G25" i="4"/>
  <c r="F25" i="4"/>
  <c r="S24" i="4"/>
  <c r="R24" i="4"/>
  <c r="Q24" i="4"/>
  <c r="P24" i="4"/>
  <c r="O24" i="4"/>
  <c r="N24" i="4"/>
  <c r="M24" i="4"/>
  <c r="H24" i="4"/>
  <c r="G24" i="4"/>
  <c r="F24" i="4"/>
  <c r="S23" i="4"/>
  <c r="R23" i="4"/>
  <c r="Q23" i="4"/>
  <c r="P23" i="4"/>
  <c r="O23" i="4"/>
  <c r="N23" i="4"/>
  <c r="M23" i="4"/>
  <c r="H23" i="4"/>
  <c r="G23" i="4"/>
  <c r="F23" i="4"/>
  <c r="S22" i="4"/>
  <c r="R22" i="4"/>
  <c r="Q22" i="4"/>
  <c r="P22" i="4"/>
  <c r="O22" i="4"/>
  <c r="N22" i="4"/>
  <c r="M22" i="4"/>
  <c r="H22" i="4"/>
  <c r="G22" i="4"/>
  <c r="F22" i="4"/>
  <c r="S21" i="4"/>
  <c r="R21" i="4"/>
  <c r="Q21" i="4"/>
  <c r="P21" i="4"/>
  <c r="O21" i="4"/>
  <c r="N21" i="4"/>
  <c r="M21" i="4"/>
  <c r="H21" i="4"/>
  <c r="G21" i="4"/>
  <c r="F21" i="4"/>
  <c r="S20" i="4"/>
  <c r="R20" i="4"/>
  <c r="Q20" i="4"/>
  <c r="P20" i="4"/>
  <c r="O20" i="4"/>
  <c r="N20" i="4"/>
  <c r="M20" i="4"/>
  <c r="H20" i="4"/>
  <c r="G20" i="4"/>
  <c r="F20" i="4"/>
  <c r="S19" i="4"/>
  <c r="R19" i="4"/>
  <c r="Q19" i="4"/>
  <c r="P19" i="4"/>
  <c r="O19" i="4"/>
  <c r="N19" i="4"/>
  <c r="M19" i="4"/>
  <c r="H19" i="4"/>
  <c r="G19" i="4"/>
  <c r="F19" i="4"/>
  <c r="S18" i="4"/>
  <c r="R18" i="4"/>
  <c r="Q18" i="4"/>
  <c r="P18" i="4"/>
  <c r="O18" i="4"/>
  <c r="N18" i="4"/>
  <c r="M18" i="4"/>
  <c r="H18" i="4"/>
  <c r="G18" i="4"/>
  <c r="F18" i="4"/>
  <c r="S17" i="4"/>
  <c r="R17" i="4"/>
  <c r="Q17" i="4"/>
  <c r="P17" i="4"/>
  <c r="O17" i="4"/>
  <c r="N17" i="4"/>
  <c r="M17" i="4"/>
  <c r="H17" i="4"/>
  <c r="G17" i="4"/>
  <c r="F17" i="4"/>
  <c r="S16" i="4"/>
  <c r="R16" i="4"/>
  <c r="Q16" i="4"/>
  <c r="P16" i="4"/>
  <c r="O16" i="4"/>
  <c r="N16" i="4"/>
  <c r="M16" i="4"/>
  <c r="H16" i="4"/>
  <c r="G16" i="4"/>
  <c r="F16" i="4"/>
  <c r="S15" i="4"/>
  <c r="R15" i="4"/>
  <c r="Q15" i="4"/>
  <c r="P15" i="4"/>
  <c r="O15" i="4"/>
  <c r="N15" i="4"/>
  <c r="M15" i="4"/>
  <c r="H15" i="4"/>
  <c r="G15" i="4"/>
  <c r="F15" i="4"/>
  <c r="S14" i="4"/>
  <c r="R14" i="4"/>
  <c r="Q14" i="4"/>
  <c r="P14" i="4"/>
  <c r="O14" i="4"/>
  <c r="N14" i="4"/>
  <c r="M14" i="4"/>
  <c r="H14" i="4"/>
  <c r="G14" i="4"/>
  <c r="F14" i="4"/>
  <c r="S13" i="4"/>
  <c r="R13" i="4"/>
  <c r="Q13" i="4"/>
  <c r="P13" i="4"/>
  <c r="O13" i="4"/>
  <c r="N13" i="4"/>
  <c r="M13" i="4"/>
  <c r="H13" i="4"/>
  <c r="G13" i="4"/>
  <c r="F13" i="4"/>
  <c r="S12" i="4"/>
  <c r="R12" i="4"/>
  <c r="Q12" i="4"/>
  <c r="P12" i="4"/>
  <c r="O12" i="4"/>
  <c r="N12" i="4"/>
  <c r="M12" i="4"/>
  <c r="H12" i="4"/>
  <c r="G12" i="4"/>
  <c r="F12" i="4"/>
  <c r="S11" i="4"/>
  <c r="R11" i="4"/>
  <c r="Q11" i="4"/>
  <c r="O11" i="4"/>
  <c r="N11" i="4"/>
  <c r="M11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E40" i="3"/>
  <c r="D40" i="3"/>
  <c r="C40" i="3"/>
  <c r="B1" i="2"/>
  <c r="F17" i="2"/>
  <c r="F18" i="2"/>
  <c r="F19" i="2"/>
  <c r="F24" i="2"/>
  <c r="B5" i="2"/>
  <c r="B7" i="2"/>
  <c r="B4" i="2"/>
  <c r="B11" i="1"/>
  <c r="B5" i="1"/>
  <c r="B10" i="1"/>
  <c r="B7" i="1"/>
  <c r="B12" i="1"/>
  <c r="B1" i="1"/>
  <c r="C2" i="1"/>
  <c r="H10" i="4"/>
  <c r="O10" i="4"/>
  <c r="M10" i="4"/>
  <c r="N10" i="4"/>
  <c r="G10" i="4"/>
  <c r="Q10" i="4"/>
  <c r="P10" i="4"/>
  <c r="S10" i="4"/>
  <c r="R10" i="4"/>
  <c r="E41" i="3"/>
  <c r="C41" i="3"/>
  <c r="G40" i="3"/>
  <c r="C12" i="1"/>
  <c r="C3" i="1"/>
  <c r="C11" i="1"/>
  <c r="C10" i="1"/>
  <c r="B4" i="1"/>
  <c r="E3" i="4"/>
  <c r="B2" i="4"/>
  <c r="C2" i="4"/>
  <c r="B4" i="4"/>
  <c r="C4" i="4"/>
  <c r="U10" i="4"/>
  <c r="B3" i="4"/>
  <c r="C3" i="4"/>
  <c r="G3" i="4"/>
  <c r="B52" i="3"/>
  <c r="C52" i="3"/>
  <c r="G2" i="4"/>
  <c r="F3" i="4"/>
  <c r="F48" i="3"/>
</calcChain>
</file>

<file path=xl/sharedStrings.xml><?xml version="1.0" encoding="utf-8"?>
<sst xmlns="http://schemas.openxmlformats.org/spreadsheetml/2006/main" count="231" uniqueCount="95">
  <si>
    <t>Unique cookies to view page per day:</t>
  </si>
  <si>
    <t>Unique cookies to click "Start free trial" per day:</t>
  </si>
  <si>
    <t>Enrollments per day:</t>
  </si>
  <si>
    <t>Click-through-probability on "Start free trial":</t>
  </si>
  <si>
    <t>Probability of enrolling, given click:</t>
  </si>
  <si>
    <t>Probability of payment, given enroll:</t>
  </si>
  <si>
    <t>Probability of payment, given click</t>
  </si>
  <si>
    <t>Gross Conversion</t>
  </si>
  <si>
    <t>Retention</t>
  </si>
  <si>
    <t>Net Conversion</t>
  </si>
  <si>
    <t>SD</t>
  </si>
  <si>
    <t>SE(5000 clicks)</t>
  </si>
  <si>
    <t>Baseline</t>
  </si>
  <si>
    <t>dmin</t>
  </si>
  <si>
    <t>-</t>
  </si>
  <si>
    <t>Min Pageviews Per Group</t>
  </si>
  <si>
    <t>Minimum Pageviews across 2 groups</t>
  </si>
  <si>
    <t>Min Clicks Per Group*</t>
  </si>
  <si>
    <t>Min Enrolments Per Group*</t>
  </si>
  <si>
    <t>*Using http://www.evanmiller.org/ab-testing/sample-size.html</t>
  </si>
  <si>
    <t>Control</t>
  </si>
  <si>
    <t>Experiment</t>
  </si>
  <si>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</si>
  <si>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</si>
  <si>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</si>
  <si>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</si>
  <si>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</si>
  <si>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</si>
  <si>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</si>
  <si>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</si>
  <si>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</si>
  <si>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</si>
  <si>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</si>
  <si>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</si>
  <si>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</si>
  <si>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</si>
  <si>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</si>
  <si>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</si>
  <si>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</si>
  <si>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</si>
  <si>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</si>
  <si>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</si>
  <si>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</si>
  <si>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</si>
  <si>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</si>
  <si>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</si>
  <si>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</si>
  <si>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</si>
  <si>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</si>
  <si>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</si>
  <si>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</si>
  <si>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</si>
  <si>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</si>
  <si>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</si>
  <si>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</si>
  <si>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</si>
  <si>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</si>
  <si>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</si>
  <si>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</si>
  <si>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</si>
  <si>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</si>
  <si>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</si>
  <si>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</si>
  <si>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</si>
  <si>
    <t>TOTAL</t>
  </si>
  <si>
    <t>Total</t>
  </si>
  <si>
    <t>Metric</t>
  </si>
  <si>
    <t>p</t>
  </si>
  <si>
    <t>SE</t>
  </si>
  <si>
    <t>Confidence</t>
  </si>
  <si>
    <t>LowerBound</t>
  </si>
  <si>
    <t>UpperBound</t>
  </si>
  <si>
    <t>Sanity Check Passed?</t>
  </si>
  <si>
    <t>Yes</t>
  </si>
  <si>
    <t>Click through probability</t>
  </si>
  <si>
    <t>p(pooled)</t>
  </si>
  <si>
    <t>diff(actual)</t>
  </si>
  <si>
    <t>p(actual)</t>
  </si>
  <si>
    <t>Statistically Signficant?</t>
  </si>
  <si>
    <t>Practically
Signficant?</t>
  </si>
  <si>
    <t>Observed Difference</t>
  </si>
  <si>
    <t>No</t>
  </si>
  <si>
    <t>Total '+'</t>
  </si>
  <si>
    <t>Statistically significant</t>
  </si>
  <si>
    <t>Number of days</t>
  </si>
  <si>
    <t>Daily traffic</t>
  </si>
  <si>
    <t>Use 3 evaluation metrics</t>
  </si>
  <si>
    <t xml:space="preserve">Use Gross Conversion and Net Conversion </t>
  </si>
  <si>
    <t>p-value from sign test*</t>
  </si>
  <si>
    <t>*</t>
  </si>
  <si>
    <t>http://graphpad.com/quickcalcs/binomial1.cfm</t>
  </si>
  <si>
    <t>Sign Test (+ if experiment - control &gt; 0)</t>
  </si>
  <si>
    <t>0.0026 </t>
  </si>
  <si>
    <t> 0.6776 </t>
  </si>
  <si>
    <t>Cookies (Pageviews)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</si>
</sst>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name val="Arial"/>
      <family val="2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494949"/>
      <name val="Helvetica"/>
    </font>
    <font>
      <b/>
      <sz val="10"/>
      <color rgb="FF494949"/>
      <name val="Arial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1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164" fontId="0" fillId="0" borderId="0" xfId="0" applyNumberFormat="1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0" borderId="0" xfId="1" applyFont="1" applyAlignment="1">
      <alignment horizontal="center" wrapText="1"/>
    </xf>
    <xf numFmtId="0" fontId="5" fillId="0" borderId="0" xfId="1" applyFont="1" applyAlignment="1">
      <alignment horizontal="center" vertical="center" wrapText="1"/>
    </xf>
    <xf numFmtId="0" fontId="5" fillId="4" borderId="0" xfId="1" applyFont="1" applyFill="1" applyAlignment="1">
      <alignment horizontal="center" vertical="center" wrapText="1"/>
    </xf>
    <xf numFmtId="164" fontId="3" fillId="4" borderId="0" xfId="1" applyNumberFormat="1" applyFont="1" applyFill="1" applyAlignment="1">
      <alignment horizontal="center" wrapText="1"/>
    </xf>
    <xf numFmtId="0" fontId="5" fillId="5" borderId="0" xfId="1" applyFont="1" applyFill="1" applyAlignment="1">
      <alignment horizontal="center" vertical="center" wrapText="1"/>
    </xf>
    <xf numFmtId="0" fontId="3" fillId="5" borderId="0" xfId="1" applyFont="1" applyFill="1" applyAlignment="1">
      <alignment horizontal="center" wrapText="1"/>
    </xf>
    <xf numFmtId="0" fontId="3" fillId="6" borderId="0" xfId="1" applyFont="1" applyFill="1" applyAlignment="1">
      <alignment horizontal="center" wrapText="1"/>
    </xf>
    <xf numFmtId="0" fontId="1" fillId="3" borderId="0" xfId="1" applyFont="1" applyFill="1" applyAlignment="1"/>
    <xf numFmtId="0" fontId="1" fillId="3" borderId="0" xfId="1" applyFont="1" applyFill="1" applyAlignment="1">
      <alignment horizontal="right"/>
    </xf>
    <xf numFmtId="164" fontId="1" fillId="3" borderId="0" xfId="1" applyNumberFormat="1" applyFont="1" applyFill="1" applyAlignment="1">
      <alignment horizontal="right"/>
    </xf>
    <xf numFmtId="164" fontId="2" fillId="3" borderId="0" xfId="1" applyNumberFormat="1" applyFont="1" applyFill="1" applyAlignment="1"/>
    <xf numFmtId="0" fontId="2" fillId="3" borderId="0" xfId="1" applyFont="1" applyFill="1" applyAlignment="1"/>
    <xf numFmtId="0" fontId="1" fillId="3" borderId="0" xfId="1" applyFont="1" applyFill="1"/>
    <xf numFmtId="0" fontId="3" fillId="3" borderId="0" xfId="1" applyFont="1" applyFill="1" applyAlignment="1"/>
    <xf numFmtId="164" fontId="1" fillId="3" borderId="0" xfId="1" applyNumberFormat="1" applyFont="1" applyFill="1"/>
    <xf numFmtId="0" fontId="2" fillId="0" borderId="0" xfId="1" applyFont="1" applyAlignment="1"/>
    <xf numFmtId="164" fontId="2" fillId="0" borderId="0" xfId="1" applyNumberFormat="1" applyFont="1" applyAlignment="1"/>
    <xf numFmtId="0" fontId="2" fillId="3" borderId="0" xfId="1" applyNumberFormat="1" applyFont="1" applyFill="1" applyAlignment="1"/>
    <xf numFmtId="0" fontId="5" fillId="4" borderId="5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5" fillId="6" borderId="6" xfId="1" applyFont="1" applyFill="1" applyBorder="1" applyAlignment="1">
      <alignment horizontal="center" vertical="center" wrapText="1"/>
    </xf>
    <xf numFmtId="0" fontId="3" fillId="0" borderId="0" xfId="1" applyFont="1" applyAlignment="1"/>
    <xf numFmtId="0" fontId="2" fillId="0" borderId="0" xfId="1" applyFont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1" applyFont="1" applyFill="1" applyAlignment="1"/>
    <xf numFmtId="0" fontId="5" fillId="0" borderId="0" xfId="1" applyFont="1" applyFill="1" applyAlignment="1">
      <alignment horizontal="right"/>
    </xf>
    <xf numFmtId="164" fontId="5" fillId="0" borderId="0" xfId="1" applyNumberFormat="1" applyFont="1" applyFill="1" applyAlignment="1">
      <alignment horizontal="right"/>
    </xf>
    <xf numFmtId="0" fontId="3" fillId="0" borderId="0" xfId="1" applyFont="1" applyFill="1" applyAlignment="1"/>
    <xf numFmtId="0" fontId="2" fillId="0" borderId="0" xfId="1" applyFont="1" applyFill="1" applyAlignment="1"/>
    <xf numFmtId="164" fontId="3" fillId="0" borderId="0" xfId="1" applyNumberFormat="1" applyFont="1" applyFill="1" applyAlignment="1">
      <alignment horizontal="left" wrapText="1"/>
    </xf>
    <xf numFmtId="0" fontId="2" fillId="0" borderId="0" xfId="1" applyFont="1" applyFill="1" applyAlignment="1">
      <alignment horizontal="left"/>
    </xf>
    <xf numFmtId="164" fontId="3" fillId="0" borderId="0" xfId="1" applyNumberFormat="1" applyFont="1" applyFill="1" applyAlignment="1"/>
    <xf numFmtId="0" fontId="2" fillId="0" borderId="1" xfId="1" applyFont="1" applyFill="1" applyBorder="1" applyAlignment="1">
      <alignment horizontal="left"/>
    </xf>
    <xf numFmtId="9" fontId="2" fillId="0" borderId="1" xfId="1" applyNumberFormat="1" applyFont="1" applyFill="1" applyBorder="1" applyAlignment="1">
      <alignment horizontal="left"/>
    </xf>
    <xf numFmtId="164" fontId="2" fillId="0" borderId="1" xfId="1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7" xfId="1" applyFont="1" applyFill="1" applyBorder="1" applyAlignment="1">
      <alignment horizontal="left"/>
    </xf>
    <xf numFmtId="9" fontId="2" fillId="0" borderId="7" xfId="1" applyNumberFormat="1" applyFont="1" applyFill="1" applyBorder="1" applyAlignment="1">
      <alignment horizontal="left"/>
    </xf>
    <xf numFmtId="164" fontId="2" fillId="0" borderId="7" xfId="1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5" fillId="7" borderId="4" xfId="1" applyFont="1" applyFill="1" applyBorder="1" applyAlignment="1"/>
    <xf numFmtId="164" fontId="3" fillId="7" borderId="8" xfId="1" applyNumberFormat="1" applyFont="1" applyFill="1" applyBorder="1" applyAlignment="1">
      <alignment horizontal="left" wrapText="1"/>
    </xf>
    <xf numFmtId="164" fontId="3" fillId="0" borderId="9" xfId="1" applyNumberFormat="1" applyFont="1" applyFill="1" applyBorder="1" applyAlignment="1">
      <alignment horizontal="left" wrapText="1"/>
    </xf>
    <xf numFmtId="164" fontId="3" fillId="0" borderId="10" xfId="1" applyNumberFormat="1" applyFont="1" applyFill="1" applyBorder="1" applyAlignment="1">
      <alignment horizontal="left" wrapText="1"/>
    </xf>
    <xf numFmtId="0" fontId="3" fillId="0" borderId="9" xfId="1" applyFont="1" applyBorder="1" applyAlignment="1">
      <alignment horizontal="left"/>
    </xf>
    <xf numFmtId="1" fontId="5" fillId="6" borderId="0" xfId="1" applyNumberFormat="1" applyFont="1" applyFill="1" applyAlignment="1">
      <alignment horizontal="center" vertical="center" wrapText="1"/>
    </xf>
    <xf numFmtId="1" fontId="2" fillId="3" borderId="0" xfId="1" applyNumberFormat="1" applyFont="1" applyFill="1" applyAlignment="1"/>
    <xf numFmtId="1" fontId="2" fillId="0" borderId="0" xfId="1" applyNumberFormat="1" applyFont="1" applyAlignment="1"/>
    <xf numFmtId="164" fontId="2" fillId="0" borderId="1" xfId="1" applyNumberFormat="1" applyFont="1" applyBorder="1" applyAlignment="1">
      <alignment horizontal="left"/>
    </xf>
    <xf numFmtId="0" fontId="5" fillId="7" borderId="1" xfId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0" xfId="1" applyFont="1" applyAlignment="1">
      <alignment vertical="center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horizontal="center"/>
    </xf>
    <xf numFmtId="0" fontId="3" fillId="3" borderId="0" xfId="1" applyFont="1" applyFill="1" applyAlignment="1">
      <alignment horizontal="center"/>
    </xf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0" fontId="2" fillId="0" borderId="9" xfId="1" applyFont="1" applyBorder="1" applyAlignment="1">
      <alignment vertical="center" wrapText="1"/>
    </xf>
    <xf numFmtId="0" fontId="5" fillId="0" borderId="9" xfId="1" applyFont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164" fontId="3" fillId="4" borderId="9" xfId="1" applyNumberFormat="1" applyFont="1" applyFill="1" applyBorder="1" applyAlignment="1">
      <alignment horizontal="center" wrapText="1"/>
    </xf>
    <xf numFmtId="0" fontId="5" fillId="5" borderId="9" xfId="1" applyFont="1" applyFill="1" applyBorder="1" applyAlignment="1">
      <alignment horizontal="center" vertical="center" wrapText="1"/>
    </xf>
    <xf numFmtId="0" fontId="3" fillId="5" borderId="9" xfId="1" applyFont="1" applyFill="1" applyBorder="1" applyAlignment="1">
      <alignment horizontal="center" wrapText="1"/>
    </xf>
    <xf numFmtId="0" fontId="3" fillId="8" borderId="9" xfId="1" applyFont="1" applyFill="1" applyBorder="1" applyAlignment="1">
      <alignment horizontal="center" wrapText="1"/>
    </xf>
    <xf numFmtId="0" fontId="5" fillId="4" borderId="2" xfId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6" borderId="3" xfId="1" applyFont="1" applyFill="1" applyBorder="1" applyAlignment="1">
      <alignment horizontal="center" vertical="center" wrapText="1"/>
    </xf>
    <xf numFmtId="0" fontId="3" fillId="4" borderId="0" xfId="1" applyFont="1" applyFill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5" borderId="0" xfId="1" applyFont="1" applyFill="1" applyAlignment="1">
      <alignment vertical="center" wrapText="1"/>
    </xf>
    <xf numFmtId="0" fontId="2" fillId="5" borderId="0" xfId="1" applyFont="1" applyFill="1" applyAlignment="1">
      <alignment wrapText="1"/>
    </xf>
    <xf numFmtId="0" fontId="3" fillId="4" borderId="9" xfId="1" applyFont="1" applyFill="1" applyBorder="1" applyAlignment="1">
      <alignment horizontal="center" vertical="center" wrapText="1"/>
    </xf>
    <xf numFmtId="0" fontId="2" fillId="0" borderId="9" xfId="1" applyFont="1" applyBorder="1" applyAlignment="1">
      <alignment horizontal="center" wrapText="1"/>
    </xf>
    <xf numFmtId="0" fontId="3" fillId="5" borderId="9" xfId="1" applyFont="1" applyFill="1" applyBorder="1" applyAlignment="1">
      <alignment horizontal="center" vertical="center" wrapText="1"/>
    </xf>
    <xf numFmtId="0" fontId="2" fillId="5" borderId="9" xfId="1" applyFont="1" applyFill="1" applyBorder="1" applyAlignment="1">
      <alignment horizontal="center" wrapText="1"/>
    </xf>
    <xf numFmtId="0" fontId="3" fillId="8" borderId="9" xfId="1" applyFont="1" applyFill="1" applyBorder="1" applyAlignment="1">
      <alignment horizontal="center" wrapText="1"/>
    </xf>
    <xf numFmtId="0" fontId="0" fillId="8" borderId="9" xfId="0" applyFont="1" applyFill="1" applyBorder="1" applyAlignment="1">
      <alignment horizontal="center" wrapText="1"/>
    </xf>
    <xf numFmtId="0" fontId="2" fillId="0" borderId="0" xfId="1" applyFont="1" applyAlignment="1">
      <alignment wrapText="1"/>
    </xf>
    <xf numFmtId="0" fontId="0" fillId="0" borderId="0" xfId="0" applyFont="1" applyAlignment="1"/>
    <xf numFmtId="1" fontId="0" fillId="0" borderId="1" xfId="0" applyNumberFormat="1" applyFont="1" applyBorder="1" applyAlignment="1">
      <alignment horizontal="center"/>
    </xf>
    <xf numFmtId="0" fontId="3" fillId="6" borderId="0" xfId="1" applyFont="1" applyFill="1" applyAlignment="1">
      <alignment horizontal="center" vertical="center" wrapText="1"/>
    </xf>
    <xf numFmtId="0" fontId="2" fillId="6" borderId="0" xfId="1" applyFont="1" applyFill="1" applyAlignment="1">
      <alignment horizontal="center" wrapText="1"/>
    </xf>
    <xf numFmtId="0" fontId="3" fillId="0" borderId="0" xfId="1" applyFont="1" applyFill="1" applyAlignment="1">
      <alignment wrapText="1"/>
    </xf>
    <xf numFmtId="0" fontId="3" fillId="0" borderId="0" xfId="1" applyFont="1" applyFill="1" applyAlignment="1">
      <alignment horizontal="center" wrapText="1"/>
    </xf>
    <xf numFmtId="0" fontId="0" fillId="0" borderId="0" xfId="1" applyFont="1" applyAlignment="1"/>
    <xf numFmtId="0" fontId="8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left" wrapText="1" shrinkToFit="1"/>
    </xf>
    <xf numFmtId="0" fontId="3" fillId="7" borderId="8" xfId="1" applyFont="1" applyFill="1" applyBorder="1" applyAlignment="1">
      <alignment horizontal="left" wrapText="1"/>
    </xf>
    <xf numFmtId="164" fontId="2" fillId="0" borderId="9" xfId="1" applyNumberFormat="1" applyFont="1" applyFill="1" applyBorder="1" applyAlignment="1">
      <alignment horizontal="left"/>
    </xf>
    <xf numFmtId="9" fontId="2" fillId="0" borderId="9" xfId="1" applyNumberFormat="1" applyFont="1" applyFill="1" applyBorder="1" applyAlignment="1">
      <alignment horizontal="left"/>
    </xf>
    <xf numFmtId="164" fontId="2" fillId="0" borderId="10" xfId="0" applyNumberFormat="1" applyFont="1" applyFill="1" applyBorder="1" applyAlignment="1">
      <alignment horizontal="left"/>
    </xf>
    <xf numFmtId="0" fontId="5" fillId="9" borderId="0" xfId="1" applyFont="1" applyFill="1" applyAlignment="1"/>
    <xf numFmtId="0" fontId="5" fillId="9" borderId="0" xfId="1" applyFont="1" applyFill="1" applyAlignment="1">
      <alignment horizontal="right"/>
    </xf>
    <xf numFmtId="164" fontId="5" fillId="9" borderId="0" xfId="1" applyNumberFormat="1" applyFont="1" applyFill="1" applyAlignment="1">
      <alignment horizontal="right"/>
    </xf>
    <xf numFmtId="1" fontId="5" fillId="9" borderId="0" xfId="1" applyNumberFormat="1" applyFont="1" applyFill="1" applyAlignment="1">
      <alignment horizontal="right"/>
    </xf>
    <xf numFmtId="164" fontId="3" fillId="9" borderId="0" xfId="1" applyNumberFormat="1" applyFont="1" applyFill="1" applyAlignment="1"/>
    <xf numFmtId="0" fontId="3" fillId="9" borderId="0" xfId="1" applyFont="1" applyFill="1" applyAlignme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25" sqref="D25"/>
    </sheetView>
  </sheetViews>
  <sheetFormatPr baseColWidth="10" defaultColWidth="14.5" defaultRowHeight="15.75" customHeight="1" x14ac:dyDescent="0.15"/>
  <cols>
    <col min="1" max="1" width="40.1640625" customWidth="1"/>
    <col min="3" max="3" width="17.5" customWidth="1"/>
  </cols>
  <sheetData>
    <row r="1" spans="1:3" s="5" customFormat="1" ht="15.75" customHeight="1" x14ac:dyDescent="0.15">
      <c r="A1" s="4" t="s">
        <v>0</v>
      </c>
      <c r="B1" s="5">
        <f>40000</f>
        <v>40000</v>
      </c>
      <c r="C1" s="5">
        <v>5000</v>
      </c>
    </row>
    <row r="2" spans="1:3" s="5" customFormat="1" ht="15.75" customHeight="1" x14ac:dyDescent="0.15">
      <c r="A2" s="4" t="s">
        <v>1</v>
      </c>
      <c r="B2" s="4">
        <v>3200</v>
      </c>
      <c r="C2" s="5">
        <f>$C$1*B2/$B$1</f>
        <v>400</v>
      </c>
    </row>
    <row r="3" spans="1:3" s="5" customFormat="1" ht="15.75" customHeight="1" x14ac:dyDescent="0.15">
      <c r="A3" s="4" t="s">
        <v>2</v>
      </c>
      <c r="B3" s="4">
        <v>660</v>
      </c>
      <c r="C3" s="5">
        <f>$C$1*B3/$B$1</f>
        <v>82.5</v>
      </c>
    </row>
    <row r="4" spans="1:3" s="5" customFormat="1" ht="15.75" customHeight="1" x14ac:dyDescent="0.15">
      <c r="A4" s="4" t="s">
        <v>3</v>
      </c>
      <c r="B4" s="5">
        <f t="shared" ref="B4:B5" si="0">B2/B1</f>
        <v>0.08</v>
      </c>
    </row>
    <row r="5" spans="1:3" s="5" customFormat="1" ht="15.75" customHeight="1" x14ac:dyDescent="0.15">
      <c r="A5" s="4" t="s">
        <v>4</v>
      </c>
      <c r="B5" s="5">
        <f t="shared" si="0"/>
        <v>0.20624999999999999</v>
      </c>
    </row>
    <row r="6" spans="1:3" s="5" customFormat="1" ht="15.75" customHeight="1" x14ac:dyDescent="0.15">
      <c r="A6" s="4" t="s">
        <v>5</v>
      </c>
      <c r="B6" s="4">
        <v>0.53</v>
      </c>
    </row>
    <row r="7" spans="1:3" s="5" customFormat="1" ht="15.75" customHeight="1" x14ac:dyDescent="0.15">
      <c r="A7" s="4" t="s">
        <v>6</v>
      </c>
      <c r="B7" s="5">
        <f>B5*B6</f>
        <v>0.10931249999999999</v>
      </c>
    </row>
    <row r="9" spans="1:3" ht="15.75" customHeight="1" x14ac:dyDescent="0.15">
      <c r="B9" s="2" t="s">
        <v>10</v>
      </c>
      <c r="C9" s="2" t="s">
        <v>11</v>
      </c>
    </row>
    <row r="10" spans="1:3" ht="15.75" customHeight="1" x14ac:dyDescent="0.15">
      <c r="A10" s="1" t="s">
        <v>7</v>
      </c>
      <c r="B10" s="3">
        <f>SQRT(B5*(1-B5)/B2)</f>
        <v>7.1525986864041241E-3</v>
      </c>
      <c r="C10" s="3">
        <f>B10*SQRT(B2/C2)</f>
        <v>2.0230604137049395E-2</v>
      </c>
    </row>
    <row r="11" spans="1:3" ht="15.75" customHeight="1" x14ac:dyDescent="0.15">
      <c r="A11" s="1" t="s">
        <v>8</v>
      </c>
      <c r="B11" s="3">
        <f>SQRT(B6*(1-B6)/B3)</f>
        <v>1.9427409565462978E-2</v>
      </c>
      <c r="C11" s="3">
        <f>B11*SQRT(B3/C3)</f>
        <v>5.4949012178509088E-2</v>
      </c>
    </row>
    <row r="12" spans="1:3" ht="15.75" customHeight="1" x14ac:dyDescent="0.15">
      <c r="A12" s="1" t="s">
        <v>9</v>
      </c>
      <c r="B12" s="3">
        <f>SQRT(B7*(1-B7)/B2)</f>
        <v>5.5159789856309158E-3</v>
      </c>
      <c r="C12" s="3">
        <f>B12*SQRT(B2/C2)</f>
        <v>1.5601544582488459E-2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30" sqref="F30"/>
    </sheetView>
  </sheetViews>
  <sheetFormatPr baseColWidth="10" defaultColWidth="8.83203125" defaultRowHeight="13" x14ac:dyDescent="0.15"/>
  <cols>
    <col min="1" max="1" width="26.6640625" style="8" customWidth="1"/>
    <col min="2" max="2" width="12" style="8" customWidth="1"/>
    <col min="3" max="3" width="8.83203125" style="8"/>
    <col min="4" max="4" width="21.33203125" style="8" customWidth="1"/>
    <col min="5" max="5" width="31.6640625" style="8" customWidth="1"/>
    <col min="6" max="6" width="23.5" style="8" customWidth="1"/>
    <col min="7" max="7" width="37.83203125" style="8" customWidth="1"/>
    <col min="8" max="16384" width="8.83203125" style="8"/>
  </cols>
  <sheetData>
    <row r="1" spans="1:6" x14ac:dyDescent="0.15">
      <c r="A1" s="15" t="s">
        <v>0</v>
      </c>
      <c r="B1" s="16">
        <f>40000</f>
        <v>40000</v>
      </c>
      <c r="C1" s="16"/>
    </row>
    <row r="2" spans="1:6" x14ac:dyDescent="0.15">
      <c r="A2" s="15" t="s">
        <v>1</v>
      </c>
      <c r="B2" s="15">
        <v>3200</v>
      </c>
      <c r="C2" s="16"/>
    </row>
    <row r="3" spans="1:6" x14ac:dyDescent="0.15">
      <c r="A3" s="15" t="s">
        <v>2</v>
      </c>
      <c r="B3" s="15">
        <v>660</v>
      </c>
      <c r="C3" s="16"/>
    </row>
    <row r="4" spans="1:6" x14ac:dyDescent="0.15">
      <c r="A4" s="15" t="s">
        <v>3</v>
      </c>
      <c r="B4" s="16">
        <f t="shared" ref="B4:B5" si="0">B2/B1</f>
        <v>0.08</v>
      </c>
      <c r="C4" s="16"/>
    </row>
    <row r="5" spans="1:6" x14ac:dyDescent="0.15">
      <c r="A5" s="15" t="s">
        <v>4</v>
      </c>
      <c r="B5" s="16">
        <f t="shared" si="0"/>
        <v>0.20624999999999999</v>
      </c>
      <c r="C5" s="16"/>
    </row>
    <row r="6" spans="1:6" x14ac:dyDescent="0.15">
      <c r="A6" s="15" t="s">
        <v>5</v>
      </c>
      <c r="B6" s="15">
        <v>0.53</v>
      </c>
      <c r="C6" s="16"/>
    </row>
    <row r="7" spans="1:6" x14ac:dyDescent="0.15">
      <c r="A7" s="15" t="s">
        <v>6</v>
      </c>
      <c r="B7" s="16">
        <f>B5*B6</f>
        <v>0.10931249999999999</v>
      </c>
      <c r="C7" s="16"/>
    </row>
    <row r="8" spans="1:6" x14ac:dyDescent="0.15">
      <c r="A8" s="15"/>
      <c r="B8" s="16"/>
      <c r="C8" s="16"/>
    </row>
    <row r="9" spans="1:6" x14ac:dyDescent="0.15">
      <c r="A9" s="6"/>
      <c r="B9" s="7"/>
      <c r="C9" s="7"/>
    </row>
    <row r="10" spans="1:6" x14ac:dyDescent="0.15">
      <c r="A10" s="6"/>
      <c r="B10" s="7"/>
      <c r="C10" s="7"/>
    </row>
    <row r="11" spans="1:6" x14ac:dyDescent="0.15">
      <c r="A11" s="6"/>
      <c r="B11" s="7"/>
      <c r="C11" s="7"/>
    </row>
    <row r="12" spans="1:6" x14ac:dyDescent="0.15">
      <c r="A12" s="6"/>
      <c r="B12" s="7"/>
      <c r="C12" s="7"/>
    </row>
    <row r="13" spans="1:6" x14ac:dyDescent="0.15">
      <c r="A13" s="6"/>
      <c r="B13" s="7"/>
      <c r="C13" s="7"/>
    </row>
    <row r="14" spans="1:6" x14ac:dyDescent="0.15">
      <c r="A14" s="6"/>
      <c r="B14" s="7"/>
      <c r="C14" s="7"/>
    </row>
    <row r="15" spans="1:6" x14ac:dyDescent="0.15">
      <c r="A15" s="17" t="s">
        <v>19</v>
      </c>
      <c r="B15" s="7"/>
      <c r="C15" s="7"/>
      <c r="D15" s="9"/>
    </row>
    <row r="16" spans="1:6" x14ac:dyDescent="0.15">
      <c r="A16" s="18"/>
      <c r="B16" s="18" t="s">
        <v>12</v>
      </c>
      <c r="C16" s="18" t="s">
        <v>13</v>
      </c>
      <c r="D16" s="18" t="s">
        <v>17</v>
      </c>
      <c r="E16" s="18" t="s">
        <v>18</v>
      </c>
      <c r="F16" s="18" t="s">
        <v>15</v>
      </c>
    </row>
    <row r="17" spans="1:7" x14ac:dyDescent="0.15">
      <c r="A17" s="12" t="s">
        <v>7</v>
      </c>
      <c r="B17" s="13">
        <v>0.20624999999999999</v>
      </c>
      <c r="C17" s="10">
        <v>0.01</v>
      </c>
      <c r="D17" s="10">
        <v>25835</v>
      </c>
      <c r="E17" s="11" t="s">
        <v>14</v>
      </c>
      <c r="F17" s="100">
        <f>D17*B1/B2</f>
        <v>322937.5</v>
      </c>
    </row>
    <row r="18" spans="1:7" x14ac:dyDescent="0.15">
      <c r="A18" s="12" t="s">
        <v>8</v>
      </c>
      <c r="B18" s="12">
        <v>0.53</v>
      </c>
      <c r="C18" s="10">
        <v>0.01</v>
      </c>
      <c r="D18" s="11" t="s">
        <v>14</v>
      </c>
      <c r="E18" s="14">
        <v>39115</v>
      </c>
      <c r="F18" s="100">
        <f>E18*B1/B3</f>
        <v>2370606.0606060605</v>
      </c>
    </row>
    <row r="19" spans="1:7" x14ac:dyDescent="0.15">
      <c r="A19" s="12" t="s">
        <v>9</v>
      </c>
      <c r="B19" s="13">
        <v>0.10931249999999999</v>
      </c>
      <c r="C19" s="10">
        <v>7.4999999999999997E-2</v>
      </c>
      <c r="D19" s="14">
        <v>27411</v>
      </c>
      <c r="E19" s="11" t="s">
        <v>14</v>
      </c>
      <c r="F19" s="100">
        <f>D19*B1/B2</f>
        <v>342637.5</v>
      </c>
    </row>
    <row r="23" spans="1:7" x14ac:dyDescent="0.15">
      <c r="E23" s="10"/>
      <c r="F23" s="109" t="s">
        <v>86</v>
      </c>
      <c r="G23" s="109" t="s">
        <v>87</v>
      </c>
    </row>
    <row r="24" spans="1:7" ht="16" customHeight="1" x14ac:dyDescent="0.15">
      <c r="E24" s="110" t="s">
        <v>16</v>
      </c>
      <c r="F24" s="10">
        <f>2*MAX(F17:F19)</f>
        <v>4741212.1212121211</v>
      </c>
      <c r="G24" s="10">
        <f>2*MAX(F17,F19)</f>
        <v>685275</v>
      </c>
    </row>
    <row r="25" spans="1:7" x14ac:dyDescent="0.15">
      <c r="E25" s="109" t="s">
        <v>85</v>
      </c>
      <c r="F25" s="10">
        <v>40000</v>
      </c>
      <c r="G25" s="10">
        <v>40000</v>
      </c>
    </row>
    <row r="26" spans="1:7" x14ac:dyDescent="0.15">
      <c r="E26" s="109" t="s">
        <v>84</v>
      </c>
      <c r="F26" s="10">
        <f>F24/F25</f>
        <v>118.53030303030303</v>
      </c>
      <c r="G26" s="10">
        <f>G24/G25</f>
        <v>17.131875000000001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pane ySplit="2" topLeftCell="A40" activePane="bottomLeft" state="frozen"/>
      <selection pane="bottomLeft" activeCell="A58" sqref="A58"/>
    </sheetView>
  </sheetViews>
  <sheetFormatPr baseColWidth="10" defaultColWidth="14.5" defaultRowHeight="15.75" customHeight="1" x14ac:dyDescent="0.15"/>
  <cols>
    <col min="1" max="1" width="30" style="34" customWidth="1"/>
    <col min="2" max="5" width="14.5" style="34" customWidth="1"/>
    <col min="6" max="7" width="14.5" style="34"/>
    <col min="8" max="8" width="20.33203125" customWidth="1"/>
    <col min="9" max="16384" width="14.5" style="34"/>
  </cols>
  <sheetData>
    <row r="1" spans="1:7" ht="15.75" customHeight="1" x14ac:dyDescent="0.15">
      <c r="A1" s="41"/>
      <c r="B1" s="84" t="s">
        <v>20</v>
      </c>
      <c r="C1" s="85"/>
      <c r="D1" s="86" t="s">
        <v>21</v>
      </c>
      <c r="E1" s="85"/>
      <c r="F1" s="87" t="s">
        <v>65</v>
      </c>
      <c r="G1" s="85"/>
    </row>
    <row r="2" spans="1:7" s="19" customFormat="1" ht="31.75" customHeight="1" x14ac:dyDescent="0.15">
      <c r="A2" s="20" t="s">
        <v>22</v>
      </c>
      <c r="B2" s="37" t="s">
        <v>23</v>
      </c>
      <c r="C2" s="38" t="s">
        <v>24</v>
      </c>
      <c r="D2" s="39" t="s">
        <v>23</v>
      </c>
      <c r="E2" s="39" t="s">
        <v>24</v>
      </c>
      <c r="F2" s="40" t="s">
        <v>23</v>
      </c>
      <c r="G2" s="40" t="s">
        <v>24</v>
      </c>
    </row>
    <row r="3" spans="1:7" s="30" customFormat="1" ht="15.75" hidden="1" customHeight="1" x14ac:dyDescent="0.15">
      <c r="A3" s="26" t="s">
        <v>27</v>
      </c>
      <c r="B3" s="27">
        <v>7723</v>
      </c>
      <c r="C3" s="27">
        <v>687</v>
      </c>
      <c r="D3" s="27">
        <v>7716</v>
      </c>
      <c r="E3" s="27">
        <v>686</v>
      </c>
      <c r="F3" s="36">
        <f t="shared" ref="F3:F39" si="0">D3+B3</f>
        <v>15439</v>
      </c>
      <c r="G3" s="36">
        <f t="shared" ref="G3:G39" si="1">E3+C3</f>
        <v>1373</v>
      </c>
    </row>
    <row r="4" spans="1:7" s="30" customFormat="1" ht="15.75" hidden="1" customHeight="1" x14ac:dyDescent="0.15">
      <c r="A4" s="26" t="s">
        <v>28</v>
      </c>
      <c r="B4" s="27">
        <v>9102</v>
      </c>
      <c r="C4" s="27">
        <v>779</v>
      </c>
      <c r="D4" s="27">
        <v>9288</v>
      </c>
      <c r="E4" s="27">
        <v>785</v>
      </c>
      <c r="F4" s="36">
        <f t="shared" si="0"/>
        <v>18390</v>
      </c>
      <c r="G4" s="36">
        <f t="shared" si="1"/>
        <v>1564</v>
      </c>
    </row>
    <row r="5" spans="1:7" s="30" customFormat="1" ht="15.75" hidden="1" customHeight="1" x14ac:dyDescent="0.15">
      <c r="A5" s="26" t="s">
        <v>29</v>
      </c>
      <c r="B5" s="27">
        <v>10511</v>
      </c>
      <c r="C5" s="27">
        <v>909</v>
      </c>
      <c r="D5" s="27">
        <v>10480</v>
      </c>
      <c r="E5" s="27">
        <v>884</v>
      </c>
      <c r="F5" s="36">
        <f t="shared" si="0"/>
        <v>20991</v>
      </c>
      <c r="G5" s="36">
        <f t="shared" si="1"/>
        <v>1793</v>
      </c>
    </row>
    <row r="6" spans="1:7" s="30" customFormat="1" ht="15.75" hidden="1" customHeight="1" x14ac:dyDescent="0.15">
      <c r="A6" s="26" t="s">
        <v>30</v>
      </c>
      <c r="B6" s="27">
        <v>9871</v>
      </c>
      <c r="C6" s="27">
        <v>836</v>
      </c>
      <c r="D6" s="27">
        <v>9867</v>
      </c>
      <c r="E6" s="27">
        <v>827</v>
      </c>
      <c r="F6" s="36">
        <f t="shared" si="0"/>
        <v>19738</v>
      </c>
      <c r="G6" s="36">
        <f t="shared" si="1"/>
        <v>1663</v>
      </c>
    </row>
    <row r="7" spans="1:7" s="30" customFormat="1" ht="15.75" hidden="1" customHeight="1" x14ac:dyDescent="0.15">
      <c r="A7" s="26" t="s">
        <v>31</v>
      </c>
      <c r="B7" s="27">
        <v>10014</v>
      </c>
      <c r="C7" s="27">
        <v>837</v>
      </c>
      <c r="D7" s="27">
        <v>9793</v>
      </c>
      <c r="E7" s="27">
        <v>832</v>
      </c>
      <c r="F7" s="36">
        <f t="shared" si="0"/>
        <v>19807</v>
      </c>
      <c r="G7" s="36">
        <f t="shared" si="1"/>
        <v>1669</v>
      </c>
    </row>
    <row r="8" spans="1:7" s="30" customFormat="1" ht="15.75" hidden="1" customHeight="1" x14ac:dyDescent="0.15">
      <c r="A8" s="26" t="s">
        <v>32</v>
      </c>
      <c r="B8" s="27">
        <v>9670</v>
      </c>
      <c r="C8" s="27">
        <v>823</v>
      </c>
      <c r="D8" s="27">
        <v>9500</v>
      </c>
      <c r="E8" s="27">
        <v>788</v>
      </c>
      <c r="F8" s="36">
        <f t="shared" si="0"/>
        <v>19170</v>
      </c>
      <c r="G8" s="36">
        <f t="shared" si="1"/>
        <v>1611</v>
      </c>
    </row>
    <row r="9" spans="1:7" s="30" customFormat="1" ht="15.75" hidden="1" customHeight="1" x14ac:dyDescent="0.15">
      <c r="A9" s="26" t="s">
        <v>33</v>
      </c>
      <c r="B9" s="27">
        <v>9008</v>
      </c>
      <c r="C9" s="27">
        <v>748</v>
      </c>
      <c r="D9" s="27">
        <v>9088</v>
      </c>
      <c r="E9" s="27">
        <v>780</v>
      </c>
      <c r="F9" s="36">
        <f t="shared" si="0"/>
        <v>18096</v>
      </c>
      <c r="G9" s="36">
        <f t="shared" si="1"/>
        <v>1528</v>
      </c>
    </row>
    <row r="10" spans="1:7" s="30" customFormat="1" ht="15.75" hidden="1" customHeight="1" x14ac:dyDescent="0.15">
      <c r="A10" s="26" t="s">
        <v>34</v>
      </c>
      <c r="B10" s="27">
        <v>7434</v>
      </c>
      <c r="C10" s="27">
        <v>632</v>
      </c>
      <c r="D10" s="27">
        <v>7664</v>
      </c>
      <c r="E10" s="27">
        <v>652</v>
      </c>
      <c r="F10" s="36">
        <f t="shared" si="0"/>
        <v>15098</v>
      </c>
      <c r="G10" s="36">
        <f t="shared" si="1"/>
        <v>1284</v>
      </c>
    </row>
    <row r="11" spans="1:7" s="30" customFormat="1" ht="15.75" hidden="1" customHeight="1" x14ac:dyDescent="0.15">
      <c r="A11" s="26" t="s">
        <v>35</v>
      </c>
      <c r="B11" s="27">
        <v>8459</v>
      </c>
      <c r="C11" s="27">
        <v>691</v>
      </c>
      <c r="D11" s="27">
        <v>8434</v>
      </c>
      <c r="E11" s="27">
        <v>697</v>
      </c>
      <c r="F11" s="36">
        <f t="shared" si="0"/>
        <v>16893</v>
      </c>
      <c r="G11" s="36">
        <f t="shared" si="1"/>
        <v>1388</v>
      </c>
    </row>
    <row r="12" spans="1:7" s="30" customFormat="1" ht="15.75" hidden="1" customHeight="1" x14ac:dyDescent="0.15">
      <c r="A12" s="26" t="s">
        <v>36</v>
      </c>
      <c r="B12" s="27">
        <v>10667</v>
      </c>
      <c r="C12" s="27">
        <v>861</v>
      </c>
      <c r="D12" s="27">
        <v>10496</v>
      </c>
      <c r="E12" s="27">
        <v>860</v>
      </c>
      <c r="F12" s="36">
        <f t="shared" si="0"/>
        <v>21163</v>
      </c>
      <c r="G12" s="36">
        <f t="shared" si="1"/>
        <v>1721</v>
      </c>
    </row>
    <row r="13" spans="1:7" s="30" customFormat="1" ht="15.75" hidden="1" customHeight="1" x14ac:dyDescent="0.15">
      <c r="A13" s="26" t="s">
        <v>37</v>
      </c>
      <c r="B13" s="27">
        <v>10660</v>
      </c>
      <c r="C13" s="27">
        <v>867</v>
      </c>
      <c r="D13" s="27">
        <v>10551</v>
      </c>
      <c r="E13" s="27">
        <v>864</v>
      </c>
      <c r="F13" s="36">
        <f t="shared" si="0"/>
        <v>21211</v>
      </c>
      <c r="G13" s="36">
        <f t="shared" si="1"/>
        <v>1731</v>
      </c>
    </row>
    <row r="14" spans="1:7" s="30" customFormat="1" ht="15.75" hidden="1" customHeight="1" x14ac:dyDescent="0.15">
      <c r="A14" s="26" t="s">
        <v>38</v>
      </c>
      <c r="B14" s="27">
        <v>9947</v>
      </c>
      <c r="C14" s="27">
        <v>838</v>
      </c>
      <c r="D14" s="27">
        <v>9737</v>
      </c>
      <c r="E14" s="27">
        <v>801</v>
      </c>
      <c r="F14" s="36">
        <f t="shared" si="0"/>
        <v>19684</v>
      </c>
      <c r="G14" s="36">
        <f t="shared" si="1"/>
        <v>1639</v>
      </c>
    </row>
    <row r="15" spans="1:7" s="30" customFormat="1" ht="15.75" hidden="1" customHeight="1" x14ac:dyDescent="0.15">
      <c r="A15" s="26" t="s">
        <v>39</v>
      </c>
      <c r="B15" s="27">
        <v>8324</v>
      </c>
      <c r="C15" s="27">
        <v>665</v>
      </c>
      <c r="D15" s="27">
        <v>8176</v>
      </c>
      <c r="E15" s="27">
        <v>642</v>
      </c>
      <c r="F15" s="36">
        <f t="shared" si="0"/>
        <v>16500</v>
      </c>
      <c r="G15" s="36">
        <f t="shared" si="1"/>
        <v>1307</v>
      </c>
    </row>
    <row r="16" spans="1:7" s="30" customFormat="1" ht="15.75" hidden="1" customHeight="1" x14ac:dyDescent="0.15">
      <c r="A16" s="26" t="s">
        <v>40</v>
      </c>
      <c r="B16" s="27">
        <v>9434</v>
      </c>
      <c r="C16" s="27">
        <v>673</v>
      </c>
      <c r="D16" s="27">
        <v>9402</v>
      </c>
      <c r="E16" s="27">
        <v>697</v>
      </c>
      <c r="F16" s="36">
        <f t="shared" si="0"/>
        <v>18836</v>
      </c>
      <c r="G16" s="36">
        <f t="shared" si="1"/>
        <v>1370</v>
      </c>
    </row>
    <row r="17" spans="1:7" s="30" customFormat="1" ht="15.75" hidden="1" customHeight="1" x14ac:dyDescent="0.15">
      <c r="A17" s="26" t="s">
        <v>41</v>
      </c>
      <c r="B17" s="27">
        <v>8687</v>
      </c>
      <c r="C17" s="27">
        <v>691</v>
      </c>
      <c r="D17" s="27">
        <v>8669</v>
      </c>
      <c r="E17" s="27">
        <v>669</v>
      </c>
      <c r="F17" s="36">
        <f t="shared" si="0"/>
        <v>17356</v>
      </c>
      <c r="G17" s="36">
        <f t="shared" si="1"/>
        <v>1360</v>
      </c>
    </row>
    <row r="18" spans="1:7" s="30" customFormat="1" ht="15.75" hidden="1" customHeight="1" x14ac:dyDescent="0.15">
      <c r="A18" s="26" t="s">
        <v>42</v>
      </c>
      <c r="B18" s="27">
        <v>8896</v>
      </c>
      <c r="C18" s="27">
        <v>708</v>
      </c>
      <c r="D18" s="27">
        <v>8881</v>
      </c>
      <c r="E18" s="27">
        <v>693</v>
      </c>
      <c r="F18" s="36">
        <f t="shared" si="0"/>
        <v>17777</v>
      </c>
      <c r="G18" s="36">
        <f t="shared" si="1"/>
        <v>1401</v>
      </c>
    </row>
    <row r="19" spans="1:7" s="30" customFormat="1" ht="15.75" hidden="1" customHeight="1" x14ac:dyDescent="0.15">
      <c r="A19" s="26" t="s">
        <v>43</v>
      </c>
      <c r="B19" s="27">
        <v>9535</v>
      </c>
      <c r="C19" s="27">
        <v>759</v>
      </c>
      <c r="D19" s="27">
        <v>9655</v>
      </c>
      <c r="E19" s="27">
        <v>771</v>
      </c>
      <c r="F19" s="36">
        <f t="shared" si="0"/>
        <v>19190</v>
      </c>
      <c r="G19" s="36">
        <f t="shared" si="1"/>
        <v>1530</v>
      </c>
    </row>
    <row r="20" spans="1:7" s="30" customFormat="1" ht="13" hidden="1" x14ac:dyDescent="0.15">
      <c r="A20" s="26" t="s">
        <v>44</v>
      </c>
      <c r="B20" s="27">
        <v>9363</v>
      </c>
      <c r="C20" s="27">
        <v>736</v>
      </c>
      <c r="D20" s="27">
        <v>9396</v>
      </c>
      <c r="E20" s="27">
        <v>736</v>
      </c>
      <c r="F20" s="36">
        <f t="shared" si="0"/>
        <v>18759</v>
      </c>
      <c r="G20" s="36">
        <f t="shared" si="1"/>
        <v>1472</v>
      </c>
    </row>
    <row r="21" spans="1:7" s="30" customFormat="1" ht="13" hidden="1" x14ac:dyDescent="0.15">
      <c r="A21" s="26" t="s">
        <v>45</v>
      </c>
      <c r="B21" s="27">
        <v>9327</v>
      </c>
      <c r="C21" s="27">
        <v>739</v>
      </c>
      <c r="D21" s="27">
        <v>9262</v>
      </c>
      <c r="E21" s="27">
        <v>727</v>
      </c>
      <c r="F21" s="36">
        <f t="shared" si="0"/>
        <v>18589</v>
      </c>
      <c r="G21" s="36">
        <f t="shared" si="1"/>
        <v>1466</v>
      </c>
    </row>
    <row r="22" spans="1:7" s="30" customFormat="1" ht="13" hidden="1" x14ac:dyDescent="0.15">
      <c r="A22" s="26" t="s">
        <v>46</v>
      </c>
      <c r="B22" s="27">
        <v>9345</v>
      </c>
      <c r="C22" s="27">
        <v>734</v>
      </c>
      <c r="D22" s="27">
        <v>9308</v>
      </c>
      <c r="E22" s="27">
        <v>728</v>
      </c>
      <c r="F22" s="36">
        <f t="shared" si="0"/>
        <v>18653</v>
      </c>
      <c r="G22" s="36">
        <f t="shared" si="1"/>
        <v>1462</v>
      </c>
    </row>
    <row r="23" spans="1:7" s="30" customFormat="1" ht="13" hidden="1" x14ac:dyDescent="0.15">
      <c r="A23" s="26" t="s">
        <v>47</v>
      </c>
      <c r="B23" s="27">
        <v>8890</v>
      </c>
      <c r="C23" s="27">
        <v>706</v>
      </c>
      <c r="D23" s="27">
        <v>8715</v>
      </c>
      <c r="E23" s="27">
        <v>722</v>
      </c>
      <c r="F23" s="36">
        <f t="shared" si="0"/>
        <v>17605</v>
      </c>
      <c r="G23" s="36">
        <f t="shared" si="1"/>
        <v>1428</v>
      </c>
    </row>
    <row r="24" spans="1:7" s="30" customFormat="1" ht="13" hidden="1" x14ac:dyDescent="0.15">
      <c r="A24" s="26" t="s">
        <v>48</v>
      </c>
      <c r="B24" s="27">
        <v>8460</v>
      </c>
      <c r="C24" s="27">
        <v>681</v>
      </c>
      <c r="D24" s="27">
        <v>8448</v>
      </c>
      <c r="E24" s="27">
        <v>695</v>
      </c>
      <c r="F24" s="36">
        <f t="shared" si="0"/>
        <v>16908</v>
      </c>
      <c r="G24" s="36">
        <f t="shared" si="1"/>
        <v>1376</v>
      </c>
    </row>
    <row r="25" spans="1:7" s="30" customFormat="1" ht="13" hidden="1" x14ac:dyDescent="0.15">
      <c r="A25" s="26" t="s">
        <v>49</v>
      </c>
      <c r="B25" s="27">
        <v>8836</v>
      </c>
      <c r="C25" s="27">
        <v>693</v>
      </c>
      <c r="D25" s="27">
        <v>8836</v>
      </c>
      <c r="E25" s="27">
        <v>724</v>
      </c>
      <c r="F25" s="36">
        <f t="shared" si="0"/>
        <v>17672</v>
      </c>
      <c r="G25" s="36">
        <f t="shared" si="1"/>
        <v>1417</v>
      </c>
    </row>
    <row r="26" spans="1:7" s="30" customFormat="1" ht="13" hidden="1" x14ac:dyDescent="0.15">
      <c r="A26" s="26" t="s">
        <v>50</v>
      </c>
      <c r="B26" s="27">
        <v>9437</v>
      </c>
      <c r="C26" s="27">
        <v>788</v>
      </c>
      <c r="D26" s="27">
        <v>9359</v>
      </c>
      <c r="E26" s="27">
        <v>789</v>
      </c>
      <c r="F26" s="36">
        <f t="shared" si="0"/>
        <v>18796</v>
      </c>
      <c r="G26" s="36">
        <f t="shared" si="1"/>
        <v>1577</v>
      </c>
    </row>
    <row r="27" spans="1:7" s="30" customFormat="1" ht="13" hidden="1" x14ac:dyDescent="0.15">
      <c r="A27" s="26" t="s">
        <v>51</v>
      </c>
      <c r="B27" s="27">
        <v>9420</v>
      </c>
      <c r="C27" s="27">
        <v>781</v>
      </c>
      <c r="D27" s="27">
        <v>9427</v>
      </c>
      <c r="E27" s="27">
        <v>743</v>
      </c>
      <c r="F27" s="36">
        <f t="shared" si="0"/>
        <v>18847</v>
      </c>
      <c r="G27" s="36">
        <f t="shared" si="1"/>
        <v>1524</v>
      </c>
    </row>
    <row r="28" spans="1:7" s="30" customFormat="1" ht="13" hidden="1" x14ac:dyDescent="0.15">
      <c r="A28" s="26" t="s">
        <v>52</v>
      </c>
      <c r="B28" s="27">
        <v>9570</v>
      </c>
      <c r="C28" s="27">
        <v>805</v>
      </c>
      <c r="D28" s="27">
        <v>9633</v>
      </c>
      <c r="E28" s="27">
        <v>808</v>
      </c>
      <c r="F28" s="36">
        <f t="shared" si="0"/>
        <v>19203</v>
      </c>
      <c r="G28" s="36">
        <f t="shared" si="1"/>
        <v>1613</v>
      </c>
    </row>
    <row r="29" spans="1:7" s="30" customFormat="1" ht="13" hidden="1" x14ac:dyDescent="0.15">
      <c r="A29" s="26" t="s">
        <v>53</v>
      </c>
      <c r="B29" s="27">
        <v>9921</v>
      </c>
      <c r="C29" s="27">
        <v>830</v>
      </c>
      <c r="D29" s="27">
        <v>9842</v>
      </c>
      <c r="E29" s="27">
        <v>831</v>
      </c>
      <c r="F29" s="36">
        <f t="shared" si="0"/>
        <v>19763</v>
      </c>
      <c r="G29" s="36">
        <f t="shared" si="1"/>
        <v>1661</v>
      </c>
    </row>
    <row r="30" spans="1:7" s="30" customFormat="1" ht="13" hidden="1" x14ac:dyDescent="0.15">
      <c r="A30" s="26" t="s">
        <v>54</v>
      </c>
      <c r="B30" s="27">
        <v>9424</v>
      </c>
      <c r="C30" s="27">
        <v>781</v>
      </c>
      <c r="D30" s="27">
        <v>9272</v>
      </c>
      <c r="E30" s="27">
        <v>767</v>
      </c>
      <c r="F30" s="36">
        <f t="shared" si="0"/>
        <v>18696</v>
      </c>
      <c r="G30" s="36">
        <f t="shared" si="1"/>
        <v>1548</v>
      </c>
    </row>
    <row r="31" spans="1:7" s="30" customFormat="1" ht="13" hidden="1" x14ac:dyDescent="0.15">
      <c r="A31" s="26" t="s">
        <v>55</v>
      </c>
      <c r="B31" s="27">
        <v>9010</v>
      </c>
      <c r="C31" s="27">
        <v>756</v>
      </c>
      <c r="D31" s="27">
        <v>8969</v>
      </c>
      <c r="E31" s="27">
        <v>760</v>
      </c>
      <c r="F31" s="36">
        <f t="shared" si="0"/>
        <v>17979</v>
      </c>
      <c r="G31" s="36">
        <f t="shared" si="1"/>
        <v>1516</v>
      </c>
    </row>
    <row r="32" spans="1:7" s="30" customFormat="1" ht="13" hidden="1" x14ac:dyDescent="0.15">
      <c r="A32" s="26" t="s">
        <v>56</v>
      </c>
      <c r="B32" s="27">
        <v>9656</v>
      </c>
      <c r="C32" s="27">
        <v>825</v>
      </c>
      <c r="D32" s="27">
        <v>9697</v>
      </c>
      <c r="E32" s="27">
        <v>850</v>
      </c>
      <c r="F32" s="36">
        <f t="shared" si="0"/>
        <v>19353</v>
      </c>
      <c r="G32" s="36">
        <f t="shared" si="1"/>
        <v>1675</v>
      </c>
    </row>
    <row r="33" spans="1:8" s="30" customFormat="1" ht="13" hidden="1" x14ac:dyDescent="0.15">
      <c r="A33" s="26" t="s">
        <v>57</v>
      </c>
      <c r="B33" s="27">
        <v>10419</v>
      </c>
      <c r="C33" s="27">
        <v>874</v>
      </c>
      <c r="D33" s="27">
        <v>10445</v>
      </c>
      <c r="E33" s="27">
        <v>851</v>
      </c>
      <c r="F33" s="36">
        <f t="shared" si="0"/>
        <v>20864</v>
      </c>
      <c r="G33" s="36">
        <f t="shared" si="1"/>
        <v>1725</v>
      </c>
    </row>
    <row r="34" spans="1:8" s="30" customFormat="1" ht="13" hidden="1" x14ac:dyDescent="0.15">
      <c r="A34" s="26" t="s">
        <v>58</v>
      </c>
      <c r="B34" s="27">
        <v>9880</v>
      </c>
      <c r="C34" s="27">
        <v>830</v>
      </c>
      <c r="D34" s="27">
        <v>9931</v>
      </c>
      <c r="E34" s="27">
        <v>831</v>
      </c>
      <c r="F34" s="36">
        <f t="shared" si="0"/>
        <v>19811</v>
      </c>
      <c r="G34" s="36">
        <f t="shared" si="1"/>
        <v>1661</v>
      </c>
    </row>
    <row r="35" spans="1:8" s="30" customFormat="1" ht="13" hidden="1" x14ac:dyDescent="0.15">
      <c r="A35" s="26" t="s">
        <v>59</v>
      </c>
      <c r="B35" s="27">
        <v>10134</v>
      </c>
      <c r="C35" s="27">
        <v>801</v>
      </c>
      <c r="D35" s="27">
        <v>10042</v>
      </c>
      <c r="E35" s="27">
        <v>802</v>
      </c>
      <c r="F35" s="36">
        <f t="shared" si="0"/>
        <v>20176</v>
      </c>
      <c r="G35" s="36">
        <f t="shared" si="1"/>
        <v>1603</v>
      </c>
    </row>
    <row r="36" spans="1:8" s="30" customFormat="1" ht="13" hidden="1" x14ac:dyDescent="0.15">
      <c r="A36" s="26" t="s">
        <v>60</v>
      </c>
      <c r="B36" s="27">
        <v>9717</v>
      </c>
      <c r="C36" s="27">
        <v>814</v>
      </c>
      <c r="D36" s="27">
        <v>9721</v>
      </c>
      <c r="E36" s="27">
        <v>829</v>
      </c>
      <c r="F36" s="36">
        <f t="shared" si="0"/>
        <v>19438</v>
      </c>
      <c r="G36" s="36">
        <f t="shared" si="1"/>
        <v>1643</v>
      </c>
    </row>
    <row r="37" spans="1:8" s="30" customFormat="1" ht="13" hidden="1" x14ac:dyDescent="0.15">
      <c r="A37" s="26" t="s">
        <v>61</v>
      </c>
      <c r="B37" s="27">
        <v>9192</v>
      </c>
      <c r="C37" s="27">
        <v>735</v>
      </c>
      <c r="D37" s="27">
        <v>9304</v>
      </c>
      <c r="E37" s="27">
        <v>770</v>
      </c>
      <c r="F37" s="36">
        <f t="shared" si="0"/>
        <v>18496</v>
      </c>
      <c r="G37" s="36">
        <f t="shared" si="1"/>
        <v>1505</v>
      </c>
    </row>
    <row r="38" spans="1:8" s="30" customFormat="1" ht="13" hidden="1" x14ac:dyDescent="0.15">
      <c r="A38" s="26" t="s">
        <v>62</v>
      </c>
      <c r="B38" s="27">
        <v>8630</v>
      </c>
      <c r="C38" s="27">
        <v>743</v>
      </c>
      <c r="D38" s="27">
        <v>8668</v>
      </c>
      <c r="E38" s="27">
        <v>724</v>
      </c>
      <c r="F38" s="36">
        <f t="shared" si="0"/>
        <v>17298</v>
      </c>
      <c r="G38" s="36">
        <f t="shared" si="1"/>
        <v>1467</v>
      </c>
    </row>
    <row r="39" spans="1:8" s="30" customFormat="1" ht="13" hidden="1" x14ac:dyDescent="0.15">
      <c r="A39" s="26" t="s">
        <v>63</v>
      </c>
      <c r="B39" s="27">
        <v>8970</v>
      </c>
      <c r="C39" s="27">
        <v>722</v>
      </c>
      <c r="D39" s="27">
        <v>8988</v>
      </c>
      <c r="E39" s="27">
        <v>710</v>
      </c>
      <c r="F39" s="36">
        <f t="shared" si="0"/>
        <v>17958</v>
      </c>
      <c r="G39" s="36">
        <f t="shared" si="1"/>
        <v>1432</v>
      </c>
    </row>
    <row r="40" spans="1:8" s="47" customFormat="1" ht="13" x14ac:dyDescent="0.15">
      <c r="A40" s="44" t="s">
        <v>64</v>
      </c>
      <c r="B40" s="45">
        <f>SUM(B3:B39)</f>
        <v>345543</v>
      </c>
      <c r="C40" s="45">
        <f t="shared" ref="C40" si="2">SUM(C3:C39)</f>
        <v>28378</v>
      </c>
      <c r="D40" s="45">
        <f>SUM(D3:D39)</f>
        <v>344660</v>
      </c>
      <c r="E40" s="45">
        <f>SUM(E3:E39)</f>
        <v>28325</v>
      </c>
      <c r="F40" s="45">
        <f>SUM(F3:F39)</f>
        <v>690203</v>
      </c>
      <c r="G40" s="45">
        <f>SUM(G3:G39)</f>
        <v>56703</v>
      </c>
    </row>
    <row r="41" spans="1:8" s="47" customFormat="1" ht="13" x14ac:dyDescent="0.15">
      <c r="A41" s="44" t="s">
        <v>74</v>
      </c>
      <c r="B41" s="45"/>
      <c r="C41" s="46">
        <f>C40/B40</f>
        <v>8.2125813574576823E-2</v>
      </c>
      <c r="D41" s="51"/>
      <c r="E41" s="51">
        <f>E40/D40</f>
        <v>8.2182440666163759E-2</v>
      </c>
      <c r="F41" s="51"/>
      <c r="G41" s="51">
        <f>G40/F40</f>
        <v>8.2154090897895257E-2</v>
      </c>
    </row>
    <row r="42" spans="1:8" s="48" customFormat="1" ht="15.75" customHeight="1" x14ac:dyDescent="0.15"/>
    <row r="43" spans="1:8" s="48" customFormat="1" ht="15.75" customHeight="1" x14ac:dyDescent="0.15"/>
    <row r="44" spans="1:8" s="48" customFormat="1" ht="15.75" customHeight="1" x14ac:dyDescent="0.15"/>
    <row r="45" spans="1:8" s="48" customFormat="1" ht="15.75" customHeight="1" x14ac:dyDescent="0.15"/>
    <row r="46" spans="1:8" s="49" customFormat="1" ht="20" customHeight="1" x14ac:dyDescent="0.15">
      <c r="A46" s="61" t="s">
        <v>66</v>
      </c>
      <c r="B46" s="62" t="s">
        <v>67</v>
      </c>
      <c r="C46" s="62" t="s">
        <v>68</v>
      </c>
      <c r="D46" s="62" t="s">
        <v>69</v>
      </c>
      <c r="E46" s="62" t="s">
        <v>70</v>
      </c>
      <c r="F46" s="62" t="s">
        <v>71</v>
      </c>
      <c r="G46" s="62" t="s">
        <v>77</v>
      </c>
      <c r="H46" s="63" t="s">
        <v>72</v>
      </c>
    </row>
    <row r="47" spans="1:8" s="50" customFormat="1" ht="24" customHeight="1" x14ac:dyDescent="0.15">
      <c r="A47" s="111" t="s">
        <v>94</v>
      </c>
      <c r="B47" s="112">
        <v>0.5</v>
      </c>
      <c r="C47" s="112">
        <f>SQRT(0.5*0.5/F40)</f>
        <v>6.0184074029432473E-4</v>
      </c>
      <c r="D47" s="113">
        <v>0.95</v>
      </c>
      <c r="E47" s="112">
        <f>B47-(1.96*C47)</f>
        <v>0.49882039214902313</v>
      </c>
      <c r="F47" s="112">
        <f>B47+(1.96*C47)</f>
        <v>0.50117960785097693</v>
      </c>
      <c r="G47" s="112">
        <f>B40/F40</f>
        <v>0.50063966688061334</v>
      </c>
      <c r="H47" s="114" t="s">
        <v>73</v>
      </c>
    </row>
    <row r="48" spans="1:8" s="50" customFormat="1" ht="15.75" customHeight="1" x14ac:dyDescent="0.15">
      <c r="A48" s="111" t="s">
        <v>24</v>
      </c>
      <c r="B48" s="112">
        <v>0.5</v>
      </c>
      <c r="C48" s="112">
        <f>SQRT(0.5*0.5/G40)</f>
        <v>2.0997470796992519E-3</v>
      </c>
      <c r="D48" s="113">
        <v>0.95</v>
      </c>
      <c r="E48" s="112">
        <f>B48-(1.96*C48)</f>
        <v>0.49588449572378945</v>
      </c>
      <c r="F48" s="112">
        <f>B48+(1.96*C48)</f>
        <v>0.50411550427621055</v>
      </c>
      <c r="G48" s="112">
        <f>C40/G40</f>
        <v>0.50046734740666277</v>
      </c>
      <c r="H48" s="114" t="s">
        <v>73</v>
      </c>
    </row>
    <row r="49" spans="1:8" ht="15.75" customHeight="1" x14ac:dyDescent="0.15">
      <c r="A49" s="48"/>
    </row>
    <row r="50" spans="1:8" s="50" customFormat="1" ht="15.75" customHeight="1" x14ac:dyDescent="0.15">
      <c r="H50" s="16"/>
    </row>
    <row r="51" spans="1:8" s="42" customFormat="1" ht="22" customHeight="1" x14ac:dyDescent="0.15">
      <c r="A51" s="61" t="s">
        <v>66</v>
      </c>
      <c r="B51" s="64" t="s">
        <v>75</v>
      </c>
      <c r="C51" s="64" t="s">
        <v>68</v>
      </c>
      <c r="D51" s="62" t="s">
        <v>69</v>
      </c>
      <c r="E51" s="62" t="s">
        <v>70</v>
      </c>
      <c r="F51" s="62" t="s">
        <v>71</v>
      </c>
      <c r="G51" s="64" t="s">
        <v>76</v>
      </c>
      <c r="H51" s="63" t="s">
        <v>72</v>
      </c>
    </row>
    <row r="52" spans="1:8" s="50" customFormat="1" ht="15.75" customHeight="1" x14ac:dyDescent="0.15">
      <c r="A52" s="60" t="s">
        <v>74</v>
      </c>
      <c r="B52" s="58">
        <f>G41</f>
        <v>8.2154090897895257E-2</v>
      </c>
      <c r="C52" s="56">
        <f>SQRT(B52*(1-B52))*SQRT((1/B40)+(1/D40))</f>
        <v>6.6106081563872213E-4</v>
      </c>
      <c r="D52" s="57">
        <v>0.95</v>
      </c>
      <c r="E52" s="58">
        <f>-1.96*C52</f>
        <v>-1.2956791986518954E-3</v>
      </c>
      <c r="F52" s="58">
        <f>1.96*C52</f>
        <v>1.2956791986518954E-3</v>
      </c>
      <c r="G52" s="58">
        <f>E41-C41</f>
        <v>5.6627091586936018E-5</v>
      </c>
      <c r="H52" s="59" t="s">
        <v>73</v>
      </c>
    </row>
    <row r="53" spans="1:8" s="42" customFormat="1" ht="15.75" customHeight="1" x14ac:dyDescent="0.15">
      <c r="H53" s="43"/>
    </row>
    <row r="54" spans="1:8" s="42" customFormat="1" ht="15.75" customHeight="1" x14ac:dyDescent="0.15">
      <c r="H54" s="43"/>
    </row>
    <row r="55" spans="1:8" s="42" customFormat="1" ht="15.75" customHeight="1" x14ac:dyDescent="0.15">
      <c r="D55" s="57"/>
      <c r="H55" s="43"/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selection activeCell="H10" sqref="H10"/>
    </sheetView>
  </sheetViews>
  <sheetFormatPr baseColWidth="10" defaultColWidth="14.5" defaultRowHeight="15.75" customHeight="1" x14ac:dyDescent="0.15"/>
  <cols>
    <col min="1" max="1" width="18.1640625" style="34" customWidth="1"/>
    <col min="2" max="2" width="12.5" style="34" customWidth="1"/>
    <col min="3" max="5" width="14.5" style="34" customWidth="1"/>
    <col min="6" max="8" width="14.5" style="35" customWidth="1"/>
    <col min="9" max="15" width="14.5" style="34" customWidth="1"/>
    <col min="16" max="19" width="14.5" style="67"/>
    <col min="20" max="16384" width="14.5" style="34"/>
  </cols>
  <sheetData>
    <row r="1" spans="1:22" s="42" customFormat="1" ht="28.25" customHeight="1" x14ac:dyDescent="0.15">
      <c r="A1" s="61" t="s">
        <v>66</v>
      </c>
      <c r="B1" s="64" t="s">
        <v>75</v>
      </c>
      <c r="C1" s="64" t="s">
        <v>68</v>
      </c>
      <c r="D1" s="62" t="s">
        <v>69</v>
      </c>
      <c r="E1" s="63" t="s">
        <v>80</v>
      </c>
      <c r="F1" s="62" t="s">
        <v>70</v>
      </c>
      <c r="G1" s="62" t="s">
        <v>71</v>
      </c>
      <c r="H1" s="63" t="s">
        <v>78</v>
      </c>
      <c r="I1" s="63" t="s">
        <v>79</v>
      </c>
      <c r="J1" s="63" t="s">
        <v>13</v>
      </c>
    </row>
    <row r="2" spans="1:22" s="50" customFormat="1" ht="15.75" customHeight="1" x14ac:dyDescent="0.15">
      <c r="A2" s="69" t="s">
        <v>7</v>
      </c>
      <c r="B2" s="54">
        <f>T10</f>
        <v>0.20860706740369866</v>
      </c>
      <c r="C2" s="54">
        <f>SQRT(B2*(1-B2))*SQRT((1/C10)+(1/J10))</f>
        <v>4.3716753852259373E-3</v>
      </c>
      <c r="D2" s="53">
        <v>0.95</v>
      </c>
      <c r="E2" s="54">
        <f>M10-F10</f>
        <v>-2.0554874580361565E-2</v>
      </c>
      <c r="F2" s="54">
        <f>E2-1.96*C2</f>
        <v>-2.9123358335404401E-2</v>
      </c>
      <c r="G2" s="54">
        <f>E2+1.96*C2</f>
        <v>-1.1986390825318728E-2</v>
      </c>
      <c r="H2" s="55" t="s">
        <v>73</v>
      </c>
      <c r="I2" s="55" t="s">
        <v>73</v>
      </c>
      <c r="J2" s="52">
        <v>0.01</v>
      </c>
    </row>
    <row r="3" spans="1:22" ht="15.75" customHeight="1" x14ac:dyDescent="0.15">
      <c r="A3" s="69" t="s">
        <v>8</v>
      </c>
      <c r="B3" s="54">
        <f>U10</f>
        <v>0.55188679245283023</v>
      </c>
      <c r="C3" s="54">
        <f>SQRT(B3*(1-B3))*SQRT((1/D10)+(1/K10))</f>
        <v>1.1729780091389183E-2</v>
      </c>
      <c r="D3" s="53">
        <v>0.95</v>
      </c>
      <c r="E3" s="68">
        <f>N10-G10</f>
        <v>3.1094804707142765E-2</v>
      </c>
      <c r="F3" s="54">
        <f>E3-1.96*C3</f>
        <v>8.1044357280199673E-3</v>
      </c>
      <c r="G3" s="54">
        <f>C3+1.96*C3</f>
        <v>3.4720149070511977E-2</v>
      </c>
      <c r="H3" s="55" t="s">
        <v>73</v>
      </c>
      <c r="I3" s="70" t="s">
        <v>81</v>
      </c>
      <c r="J3" s="70">
        <v>0.01</v>
      </c>
    </row>
    <row r="4" spans="1:22" ht="15.75" customHeight="1" x14ac:dyDescent="0.15">
      <c r="A4" s="69" t="s">
        <v>9</v>
      </c>
      <c r="B4" s="54">
        <f>V10</f>
        <v>0.11512748531241861</v>
      </c>
      <c r="C4" s="54">
        <f>SQRT(B4*(1-B4))*SQRT((1/C10)+(1/J10))</f>
        <v>3.4341335129324242E-3</v>
      </c>
      <c r="D4" s="53">
        <v>0.95</v>
      </c>
      <c r="E4" s="68">
        <f>O10-H10</f>
        <v>-4.8737226745441675E-3</v>
      </c>
      <c r="F4" s="54">
        <f>E4-1.96*C4</f>
        <v>-1.1604624359891718E-2</v>
      </c>
      <c r="G4" s="54">
        <f>E4+1.96*C4</f>
        <v>1.8571790108033838E-3</v>
      </c>
      <c r="H4" s="55" t="s">
        <v>81</v>
      </c>
      <c r="I4" s="70" t="s">
        <v>81</v>
      </c>
      <c r="J4" s="70">
        <v>7.4999999999999997E-3</v>
      </c>
    </row>
    <row r="8" spans="1:22" s="72" customFormat="1" ht="15.75" customHeight="1" x14ac:dyDescent="0.15">
      <c r="A8" s="71"/>
      <c r="B8" s="88" t="s">
        <v>20</v>
      </c>
      <c r="C8" s="88"/>
      <c r="D8" s="88"/>
      <c r="E8" s="88"/>
      <c r="F8" s="89"/>
      <c r="G8" s="89"/>
      <c r="H8" s="89"/>
      <c r="I8" s="90" t="s">
        <v>21</v>
      </c>
      <c r="J8" s="90"/>
      <c r="K8" s="90"/>
      <c r="L8" s="90"/>
      <c r="M8" s="91"/>
      <c r="N8" s="91"/>
      <c r="O8" s="91"/>
      <c r="P8" s="101" t="s">
        <v>65</v>
      </c>
      <c r="Q8" s="101"/>
      <c r="R8" s="101"/>
      <c r="S8" s="101"/>
      <c r="T8" s="102"/>
      <c r="U8" s="102"/>
      <c r="V8" s="102"/>
    </row>
    <row r="9" spans="1:22" s="19" customFormat="1" ht="31.75" customHeight="1" x14ac:dyDescent="0.15">
      <c r="A9" s="20" t="s">
        <v>22</v>
      </c>
      <c r="B9" s="21" t="s">
        <v>23</v>
      </c>
      <c r="C9" s="21" t="s">
        <v>24</v>
      </c>
      <c r="D9" s="21" t="s">
        <v>25</v>
      </c>
      <c r="E9" s="21" t="s">
        <v>26</v>
      </c>
      <c r="F9" s="22" t="s">
        <v>7</v>
      </c>
      <c r="G9" s="22" t="s">
        <v>8</v>
      </c>
      <c r="H9" s="22" t="s">
        <v>9</v>
      </c>
      <c r="I9" s="23" t="s">
        <v>23</v>
      </c>
      <c r="J9" s="23" t="s">
        <v>24</v>
      </c>
      <c r="K9" s="23" t="s">
        <v>25</v>
      </c>
      <c r="L9" s="23" t="s">
        <v>26</v>
      </c>
      <c r="M9" s="24" t="s">
        <v>7</v>
      </c>
      <c r="N9" s="24" t="s">
        <v>8</v>
      </c>
      <c r="O9" s="24" t="s">
        <v>9</v>
      </c>
      <c r="P9" s="65" t="s">
        <v>23</v>
      </c>
      <c r="Q9" s="65" t="s">
        <v>24</v>
      </c>
      <c r="R9" s="65" t="s">
        <v>25</v>
      </c>
      <c r="S9" s="65" t="s">
        <v>26</v>
      </c>
      <c r="T9" s="25" t="s">
        <v>7</v>
      </c>
      <c r="U9" s="25" t="s">
        <v>8</v>
      </c>
      <c r="V9" s="25" t="s">
        <v>9</v>
      </c>
    </row>
    <row r="10" spans="1:22" s="120" customFormat="1" ht="13" x14ac:dyDescent="0.15">
      <c r="A10" s="115" t="s">
        <v>64</v>
      </c>
      <c r="B10" s="116">
        <f>SUM(B11:B33)</f>
        <v>212163</v>
      </c>
      <c r="C10" s="116">
        <f>SUM(C11:C33)</f>
        <v>17293</v>
      </c>
      <c r="D10" s="116">
        <f>SUM(D11:D33)</f>
        <v>3785</v>
      </c>
      <c r="E10" s="116">
        <f>SUM(E11:E33)</f>
        <v>2033</v>
      </c>
      <c r="F10" s="117">
        <f>D10/C10</f>
        <v>0.2188746891805933</v>
      </c>
      <c r="G10" s="117">
        <f>E10/D10</f>
        <v>0.53712021136063404</v>
      </c>
      <c r="H10" s="117">
        <f>E10/C10</f>
        <v>0.11756201931417337</v>
      </c>
      <c r="I10" s="116">
        <f>SUM(I11:I33)</f>
        <v>211362</v>
      </c>
      <c r="J10" s="116">
        <f>SUM(J11:J33)</f>
        <v>17260</v>
      </c>
      <c r="K10" s="116">
        <f>SUM(K11:K33)</f>
        <v>3423</v>
      </c>
      <c r="L10" s="116">
        <f>SUM(L11:L33)</f>
        <v>1945</v>
      </c>
      <c r="M10" s="117">
        <f>K10/J10</f>
        <v>0.19831981460023174</v>
      </c>
      <c r="N10" s="117">
        <f>L10/K10</f>
        <v>0.5682150160677768</v>
      </c>
      <c r="O10" s="117">
        <f>L10/J10</f>
        <v>0.1126882966396292</v>
      </c>
      <c r="P10" s="118">
        <f>SUM(P11:P33)</f>
        <v>423525</v>
      </c>
      <c r="Q10" s="118">
        <f>SUM(Q11:Q33)</f>
        <v>34553</v>
      </c>
      <c r="R10" s="118">
        <f>SUM(R11:R33)</f>
        <v>7208</v>
      </c>
      <c r="S10" s="118">
        <f>SUM(S11:S33)</f>
        <v>3978</v>
      </c>
      <c r="T10" s="119">
        <f>R10/Q10</f>
        <v>0.20860706740369866</v>
      </c>
      <c r="U10" s="119">
        <f>S10/R10</f>
        <v>0.55188679245283023</v>
      </c>
      <c r="V10" s="119">
        <f>S10/Q10</f>
        <v>0.11512748531241861</v>
      </c>
    </row>
    <row r="11" spans="1:22" s="30" customFormat="1" ht="15.75" customHeight="1" x14ac:dyDescent="0.15">
      <c r="A11" s="26" t="s">
        <v>27</v>
      </c>
      <c r="B11" s="27">
        <v>7723</v>
      </c>
      <c r="C11" s="27">
        <v>687</v>
      </c>
      <c r="D11" s="27">
        <v>134</v>
      </c>
      <c r="E11" s="27">
        <v>70</v>
      </c>
      <c r="F11" s="28">
        <f>D11/C11</f>
        <v>0.1950509461426492</v>
      </c>
      <c r="G11" s="28">
        <f>E11/D11</f>
        <v>0.52238805970149249</v>
      </c>
      <c r="H11" s="28">
        <f>E11/C11</f>
        <v>0.10189228529839883</v>
      </c>
      <c r="I11" s="27">
        <v>7716</v>
      </c>
      <c r="J11" s="27">
        <v>686</v>
      </c>
      <c r="K11" s="27">
        <v>105</v>
      </c>
      <c r="L11" s="27">
        <v>34</v>
      </c>
      <c r="M11" s="29">
        <f>K11/J11</f>
        <v>0.15306122448979592</v>
      </c>
      <c r="N11" s="29">
        <f>L11/K11</f>
        <v>0.32380952380952382</v>
      </c>
      <c r="O11" s="29">
        <f>L11/J11</f>
        <v>4.9562682215743441E-2</v>
      </c>
      <c r="P11" s="66">
        <f>I11+B11</f>
        <v>15439</v>
      </c>
      <c r="Q11" s="66">
        <f t="shared" ref="Q11:S26" si="0">J11+C11</f>
        <v>1373</v>
      </c>
      <c r="R11" s="66">
        <f t="shared" si="0"/>
        <v>239</v>
      </c>
      <c r="S11" s="66">
        <f t="shared" si="0"/>
        <v>104</v>
      </c>
    </row>
    <row r="12" spans="1:22" s="30" customFormat="1" ht="15.75" customHeight="1" x14ac:dyDescent="0.15">
      <c r="A12" s="26" t="s">
        <v>28</v>
      </c>
      <c r="B12" s="27">
        <v>9102</v>
      </c>
      <c r="C12" s="27">
        <v>779</v>
      </c>
      <c r="D12" s="27">
        <v>147</v>
      </c>
      <c r="E12" s="27">
        <v>70</v>
      </c>
      <c r="F12" s="28">
        <f t="shared" ref="F12:G33" si="1">D12/C12</f>
        <v>0.18870346598202825</v>
      </c>
      <c r="G12" s="28">
        <f t="shared" si="1"/>
        <v>0.47619047619047616</v>
      </c>
      <c r="H12" s="28">
        <f t="shared" ref="H12:H33" si="2">E12/C12</f>
        <v>8.9858793324775352E-2</v>
      </c>
      <c r="I12" s="27">
        <v>9288</v>
      </c>
      <c r="J12" s="27">
        <v>785</v>
      </c>
      <c r="K12" s="27">
        <v>116</v>
      </c>
      <c r="L12" s="27">
        <v>91</v>
      </c>
      <c r="M12" s="29">
        <f t="shared" ref="M12:N33" si="3">K12/J12</f>
        <v>0.14777070063694267</v>
      </c>
      <c r="N12" s="29">
        <f t="shared" si="3"/>
        <v>0.78448275862068961</v>
      </c>
      <c r="O12" s="29">
        <f t="shared" ref="O12:O33" si="4">L12/J12</f>
        <v>0.11592356687898089</v>
      </c>
      <c r="P12" s="66">
        <f t="shared" ref="P12:S33" si="5">I12+B12</f>
        <v>18390</v>
      </c>
      <c r="Q12" s="66">
        <f t="shared" si="0"/>
        <v>1564</v>
      </c>
      <c r="R12" s="66">
        <f t="shared" si="0"/>
        <v>263</v>
      </c>
      <c r="S12" s="66">
        <f t="shared" si="0"/>
        <v>161</v>
      </c>
    </row>
    <row r="13" spans="1:22" s="30" customFormat="1" ht="15.75" customHeight="1" x14ac:dyDescent="0.15">
      <c r="A13" s="26" t="s">
        <v>29</v>
      </c>
      <c r="B13" s="27">
        <v>10511</v>
      </c>
      <c r="C13" s="27">
        <v>909</v>
      </c>
      <c r="D13" s="27">
        <v>167</v>
      </c>
      <c r="E13" s="27">
        <v>95</v>
      </c>
      <c r="F13" s="28">
        <f t="shared" si="1"/>
        <v>0.18371837183718373</v>
      </c>
      <c r="G13" s="28">
        <f t="shared" si="1"/>
        <v>0.56886227544910184</v>
      </c>
      <c r="H13" s="28">
        <f t="shared" si="2"/>
        <v>0.10451045104510451</v>
      </c>
      <c r="I13" s="27">
        <v>10480</v>
      </c>
      <c r="J13" s="27">
        <v>884</v>
      </c>
      <c r="K13" s="27">
        <v>145</v>
      </c>
      <c r="L13" s="27">
        <v>79</v>
      </c>
      <c r="M13" s="29">
        <f t="shared" si="3"/>
        <v>0.16402714932126697</v>
      </c>
      <c r="N13" s="29">
        <f t="shared" si="3"/>
        <v>0.54482758620689653</v>
      </c>
      <c r="O13" s="29">
        <f t="shared" si="4"/>
        <v>8.9366515837104074E-2</v>
      </c>
      <c r="P13" s="66">
        <f t="shared" si="5"/>
        <v>20991</v>
      </c>
      <c r="Q13" s="66">
        <f t="shared" si="0"/>
        <v>1793</v>
      </c>
      <c r="R13" s="66">
        <f t="shared" si="0"/>
        <v>312</v>
      </c>
      <c r="S13" s="66">
        <f t="shared" si="0"/>
        <v>174</v>
      </c>
    </row>
    <row r="14" spans="1:22" s="30" customFormat="1" ht="15.75" customHeight="1" x14ac:dyDescent="0.15">
      <c r="A14" s="26" t="s">
        <v>30</v>
      </c>
      <c r="B14" s="27">
        <v>9871</v>
      </c>
      <c r="C14" s="27">
        <v>836</v>
      </c>
      <c r="D14" s="27">
        <v>156</v>
      </c>
      <c r="E14" s="27">
        <v>105</v>
      </c>
      <c r="F14" s="28">
        <f t="shared" si="1"/>
        <v>0.18660287081339713</v>
      </c>
      <c r="G14" s="28">
        <f t="shared" si="1"/>
        <v>0.67307692307692313</v>
      </c>
      <c r="H14" s="28">
        <f t="shared" si="2"/>
        <v>0.1255980861244019</v>
      </c>
      <c r="I14" s="27">
        <v>9867</v>
      </c>
      <c r="J14" s="27">
        <v>827</v>
      </c>
      <c r="K14" s="27">
        <v>138</v>
      </c>
      <c r="L14" s="27">
        <v>92</v>
      </c>
      <c r="M14" s="29">
        <f t="shared" si="3"/>
        <v>0.16686819830713423</v>
      </c>
      <c r="N14" s="29">
        <f t="shared" si="3"/>
        <v>0.66666666666666663</v>
      </c>
      <c r="O14" s="29">
        <f t="shared" si="4"/>
        <v>0.11124546553808948</v>
      </c>
      <c r="P14" s="66">
        <f t="shared" si="5"/>
        <v>19738</v>
      </c>
      <c r="Q14" s="66">
        <f t="shared" si="0"/>
        <v>1663</v>
      </c>
      <c r="R14" s="66">
        <f t="shared" si="0"/>
        <v>294</v>
      </c>
      <c r="S14" s="66">
        <f t="shared" si="0"/>
        <v>197</v>
      </c>
    </row>
    <row r="15" spans="1:22" s="30" customFormat="1" ht="15.75" customHeight="1" x14ac:dyDescent="0.15">
      <c r="A15" s="26" t="s">
        <v>31</v>
      </c>
      <c r="B15" s="27">
        <v>10014</v>
      </c>
      <c r="C15" s="27">
        <v>837</v>
      </c>
      <c r="D15" s="27">
        <v>163</v>
      </c>
      <c r="E15" s="27">
        <v>64</v>
      </c>
      <c r="F15" s="28">
        <f t="shared" si="1"/>
        <v>0.19474313022700118</v>
      </c>
      <c r="G15" s="28">
        <f t="shared" si="1"/>
        <v>0.39263803680981596</v>
      </c>
      <c r="H15" s="28">
        <f t="shared" si="2"/>
        <v>7.6463560334528072E-2</v>
      </c>
      <c r="I15" s="27">
        <v>9793</v>
      </c>
      <c r="J15" s="27">
        <v>832</v>
      </c>
      <c r="K15" s="27">
        <v>140</v>
      </c>
      <c r="L15" s="27">
        <v>94</v>
      </c>
      <c r="M15" s="29">
        <f t="shared" si="3"/>
        <v>0.16826923076923078</v>
      </c>
      <c r="N15" s="29">
        <f t="shared" si="3"/>
        <v>0.67142857142857137</v>
      </c>
      <c r="O15" s="29">
        <f t="shared" si="4"/>
        <v>0.11298076923076923</v>
      </c>
      <c r="P15" s="66">
        <f t="shared" si="5"/>
        <v>19807</v>
      </c>
      <c r="Q15" s="66">
        <f t="shared" si="0"/>
        <v>1669</v>
      </c>
      <c r="R15" s="66">
        <f t="shared" si="0"/>
        <v>303</v>
      </c>
      <c r="S15" s="66">
        <f t="shared" si="0"/>
        <v>158</v>
      </c>
    </row>
    <row r="16" spans="1:22" s="30" customFormat="1" ht="15.75" customHeight="1" x14ac:dyDescent="0.15">
      <c r="A16" s="26" t="s">
        <v>32</v>
      </c>
      <c r="B16" s="27">
        <v>9670</v>
      </c>
      <c r="C16" s="27">
        <v>823</v>
      </c>
      <c r="D16" s="27">
        <v>138</v>
      </c>
      <c r="E16" s="27">
        <v>82</v>
      </c>
      <c r="F16" s="28">
        <f t="shared" si="1"/>
        <v>0.16767922235722965</v>
      </c>
      <c r="G16" s="28">
        <f t="shared" si="1"/>
        <v>0.59420289855072461</v>
      </c>
      <c r="H16" s="28">
        <f t="shared" si="2"/>
        <v>9.9635479951397321E-2</v>
      </c>
      <c r="I16" s="27">
        <v>9500</v>
      </c>
      <c r="J16" s="27">
        <v>788</v>
      </c>
      <c r="K16" s="27">
        <v>129</v>
      </c>
      <c r="L16" s="27">
        <v>61</v>
      </c>
      <c r="M16" s="29">
        <f t="shared" si="3"/>
        <v>0.16370558375634517</v>
      </c>
      <c r="N16" s="29">
        <f t="shared" si="3"/>
        <v>0.47286821705426357</v>
      </c>
      <c r="O16" s="29">
        <f t="shared" si="4"/>
        <v>7.7411167512690351E-2</v>
      </c>
      <c r="P16" s="66">
        <f t="shared" si="5"/>
        <v>19170</v>
      </c>
      <c r="Q16" s="66">
        <f t="shared" si="0"/>
        <v>1611</v>
      </c>
      <c r="R16" s="66">
        <f t="shared" si="0"/>
        <v>267</v>
      </c>
      <c r="S16" s="66">
        <f t="shared" si="0"/>
        <v>143</v>
      </c>
    </row>
    <row r="17" spans="1:19" s="30" customFormat="1" ht="15.75" customHeight="1" x14ac:dyDescent="0.15">
      <c r="A17" s="26" t="s">
        <v>33</v>
      </c>
      <c r="B17" s="27">
        <v>9008</v>
      </c>
      <c r="C17" s="27">
        <v>748</v>
      </c>
      <c r="D17" s="27">
        <v>146</v>
      </c>
      <c r="E17" s="27">
        <v>76</v>
      </c>
      <c r="F17" s="28">
        <f t="shared" si="1"/>
        <v>0.19518716577540107</v>
      </c>
      <c r="G17" s="28">
        <f t="shared" si="1"/>
        <v>0.52054794520547942</v>
      </c>
      <c r="H17" s="28">
        <f t="shared" si="2"/>
        <v>0.10160427807486631</v>
      </c>
      <c r="I17" s="27">
        <v>9088</v>
      </c>
      <c r="J17" s="27">
        <v>780</v>
      </c>
      <c r="K17" s="27">
        <v>127</v>
      </c>
      <c r="L17" s="27">
        <v>44</v>
      </c>
      <c r="M17" s="29">
        <f t="shared" si="3"/>
        <v>0.16282051282051282</v>
      </c>
      <c r="N17" s="29">
        <f t="shared" si="3"/>
        <v>0.34645669291338582</v>
      </c>
      <c r="O17" s="29">
        <f t="shared" si="4"/>
        <v>5.6410256410256411E-2</v>
      </c>
      <c r="P17" s="66">
        <f t="shared" si="5"/>
        <v>18096</v>
      </c>
      <c r="Q17" s="66">
        <f t="shared" si="0"/>
        <v>1528</v>
      </c>
      <c r="R17" s="66">
        <f t="shared" si="0"/>
        <v>273</v>
      </c>
      <c r="S17" s="66">
        <f t="shared" si="0"/>
        <v>120</v>
      </c>
    </row>
    <row r="18" spans="1:19" s="30" customFormat="1" ht="15.75" customHeight="1" x14ac:dyDescent="0.15">
      <c r="A18" s="26" t="s">
        <v>34</v>
      </c>
      <c r="B18" s="27">
        <v>7434</v>
      </c>
      <c r="C18" s="27">
        <v>632</v>
      </c>
      <c r="D18" s="27">
        <v>110</v>
      </c>
      <c r="E18" s="27">
        <v>70</v>
      </c>
      <c r="F18" s="28">
        <f t="shared" si="1"/>
        <v>0.17405063291139242</v>
      </c>
      <c r="G18" s="28">
        <f t="shared" si="1"/>
        <v>0.63636363636363635</v>
      </c>
      <c r="H18" s="28">
        <f t="shared" si="2"/>
        <v>0.11075949367088607</v>
      </c>
      <c r="I18" s="27">
        <v>7664</v>
      </c>
      <c r="J18" s="27">
        <v>652</v>
      </c>
      <c r="K18" s="27">
        <v>94</v>
      </c>
      <c r="L18" s="27">
        <v>62</v>
      </c>
      <c r="M18" s="29">
        <f t="shared" si="3"/>
        <v>0.14417177914110429</v>
      </c>
      <c r="N18" s="29">
        <f t="shared" si="3"/>
        <v>0.65957446808510634</v>
      </c>
      <c r="O18" s="29">
        <f t="shared" si="4"/>
        <v>9.5092024539877307E-2</v>
      </c>
      <c r="P18" s="66">
        <f t="shared" si="5"/>
        <v>15098</v>
      </c>
      <c r="Q18" s="66">
        <f t="shared" si="0"/>
        <v>1284</v>
      </c>
      <c r="R18" s="66">
        <f t="shared" si="0"/>
        <v>204</v>
      </c>
      <c r="S18" s="66">
        <f t="shared" si="0"/>
        <v>132</v>
      </c>
    </row>
    <row r="19" spans="1:19" s="30" customFormat="1" ht="15.75" customHeight="1" x14ac:dyDescent="0.15">
      <c r="A19" s="26" t="s">
        <v>35</v>
      </c>
      <c r="B19" s="27">
        <v>8459</v>
      </c>
      <c r="C19" s="27">
        <v>691</v>
      </c>
      <c r="D19" s="27">
        <v>131</v>
      </c>
      <c r="E19" s="27">
        <v>60</v>
      </c>
      <c r="F19" s="28">
        <f t="shared" si="1"/>
        <v>0.18958031837916064</v>
      </c>
      <c r="G19" s="28">
        <f t="shared" si="1"/>
        <v>0.4580152671755725</v>
      </c>
      <c r="H19" s="28">
        <f t="shared" si="2"/>
        <v>8.6830680173661356E-2</v>
      </c>
      <c r="I19" s="27">
        <v>8434</v>
      </c>
      <c r="J19" s="27">
        <v>697</v>
      </c>
      <c r="K19" s="27">
        <v>120</v>
      </c>
      <c r="L19" s="27">
        <v>77</v>
      </c>
      <c r="M19" s="29">
        <f t="shared" si="3"/>
        <v>0.17216642754662842</v>
      </c>
      <c r="N19" s="29">
        <f t="shared" si="3"/>
        <v>0.64166666666666672</v>
      </c>
      <c r="O19" s="29">
        <f t="shared" si="4"/>
        <v>0.11047345767575323</v>
      </c>
      <c r="P19" s="66">
        <f t="shared" si="5"/>
        <v>16893</v>
      </c>
      <c r="Q19" s="66">
        <f t="shared" si="0"/>
        <v>1388</v>
      </c>
      <c r="R19" s="66">
        <f t="shared" si="0"/>
        <v>251</v>
      </c>
      <c r="S19" s="66">
        <f t="shared" si="0"/>
        <v>137</v>
      </c>
    </row>
    <row r="20" spans="1:19" s="30" customFormat="1" ht="15.75" customHeight="1" x14ac:dyDescent="0.15">
      <c r="A20" s="26" t="s">
        <v>36</v>
      </c>
      <c r="B20" s="27">
        <v>10667</v>
      </c>
      <c r="C20" s="27">
        <v>861</v>
      </c>
      <c r="D20" s="27">
        <v>165</v>
      </c>
      <c r="E20" s="27">
        <v>97</v>
      </c>
      <c r="F20" s="28">
        <f t="shared" si="1"/>
        <v>0.19163763066202091</v>
      </c>
      <c r="G20" s="28">
        <f t="shared" si="1"/>
        <v>0.58787878787878789</v>
      </c>
      <c r="H20" s="28">
        <f t="shared" si="2"/>
        <v>0.11265969802555169</v>
      </c>
      <c r="I20" s="27">
        <v>10496</v>
      </c>
      <c r="J20" s="27">
        <v>860</v>
      </c>
      <c r="K20" s="27">
        <v>153</v>
      </c>
      <c r="L20" s="27">
        <v>98</v>
      </c>
      <c r="M20" s="29">
        <f t="shared" si="3"/>
        <v>0.17790697674418604</v>
      </c>
      <c r="N20" s="29">
        <f t="shared" si="3"/>
        <v>0.64052287581699341</v>
      </c>
      <c r="O20" s="29">
        <f t="shared" si="4"/>
        <v>0.11395348837209303</v>
      </c>
      <c r="P20" s="66">
        <f t="shared" si="5"/>
        <v>21163</v>
      </c>
      <c r="Q20" s="66">
        <f t="shared" si="0"/>
        <v>1721</v>
      </c>
      <c r="R20" s="66">
        <f t="shared" si="0"/>
        <v>318</v>
      </c>
      <c r="S20" s="66">
        <f t="shared" si="0"/>
        <v>195</v>
      </c>
    </row>
    <row r="21" spans="1:19" s="30" customFormat="1" ht="15.75" customHeight="1" x14ac:dyDescent="0.15">
      <c r="A21" s="26" t="s">
        <v>37</v>
      </c>
      <c r="B21" s="27">
        <v>10660</v>
      </c>
      <c r="C21" s="27">
        <v>867</v>
      </c>
      <c r="D21" s="27">
        <v>196</v>
      </c>
      <c r="E21" s="27">
        <v>105</v>
      </c>
      <c r="F21" s="28">
        <f t="shared" si="1"/>
        <v>0.22606689734717417</v>
      </c>
      <c r="G21" s="28">
        <f t="shared" si="1"/>
        <v>0.5357142857142857</v>
      </c>
      <c r="H21" s="28">
        <f t="shared" si="2"/>
        <v>0.12110726643598616</v>
      </c>
      <c r="I21" s="27">
        <v>10551</v>
      </c>
      <c r="J21" s="27">
        <v>864</v>
      </c>
      <c r="K21" s="27">
        <v>143</v>
      </c>
      <c r="L21" s="27">
        <v>71</v>
      </c>
      <c r="M21" s="29">
        <f t="shared" si="3"/>
        <v>0.16550925925925927</v>
      </c>
      <c r="N21" s="29">
        <f t="shared" si="3"/>
        <v>0.49650349650349651</v>
      </c>
      <c r="O21" s="29">
        <f t="shared" si="4"/>
        <v>8.217592592592593E-2</v>
      </c>
      <c r="P21" s="66">
        <f t="shared" si="5"/>
        <v>21211</v>
      </c>
      <c r="Q21" s="66">
        <f t="shared" si="0"/>
        <v>1731</v>
      </c>
      <c r="R21" s="66">
        <f t="shared" si="0"/>
        <v>339</v>
      </c>
      <c r="S21" s="66">
        <f t="shared" si="0"/>
        <v>176</v>
      </c>
    </row>
    <row r="22" spans="1:19" s="30" customFormat="1" ht="15.75" customHeight="1" x14ac:dyDescent="0.15">
      <c r="A22" s="26" t="s">
        <v>38</v>
      </c>
      <c r="B22" s="27">
        <v>9947</v>
      </c>
      <c r="C22" s="27">
        <v>838</v>
      </c>
      <c r="D22" s="27">
        <v>162</v>
      </c>
      <c r="E22" s="27">
        <v>92</v>
      </c>
      <c r="F22" s="28">
        <f t="shared" si="1"/>
        <v>0.19331742243436753</v>
      </c>
      <c r="G22" s="28">
        <f t="shared" si="1"/>
        <v>0.5679012345679012</v>
      </c>
      <c r="H22" s="28">
        <f t="shared" si="2"/>
        <v>0.10978520286396182</v>
      </c>
      <c r="I22" s="27">
        <v>9737</v>
      </c>
      <c r="J22" s="27">
        <v>801</v>
      </c>
      <c r="K22" s="27">
        <v>128</v>
      </c>
      <c r="L22" s="27">
        <v>70</v>
      </c>
      <c r="M22" s="29">
        <f t="shared" si="3"/>
        <v>0.15980024968789014</v>
      </c>
      <c r="N22" s="29">
        <f t="shared" si="3"/>
        <v>0.546875</v>
      </c>
      <c r="O22" s="29">
        <f t="shared" si="4"/>
        <v>8.7390761548064924E-2</v>
      </c>
      <c r="P22" s="66">
        <f t="shared" si="5"/>
        <v>19684</v>
      </c>
      <c r="Q22" s="66">
        <f t="shared" si="0"/>
        <v>1639</v>
      </c>
      <c r="R22" s="66">
        <f t="shared" si="0"/>
        <v>290</v>
      </c>
      <c r="S22" s="66">
        <f t="shared" si="0"/>
        <v>162</v>
      </c>
    </row>
    <row r="23" spans="1:19" s="30" customFormat="1" ht="15.75" customHeight="1" x14ac:dyDescent="0.15">
      <c r="A23" s="26" t="s">
        <v>39</v>
      </c>
      <c r="B23" s="27">
        <v>8324</v>
      </c>
      <c r="C23" s="27">
        <v>665</v>
      </c>
      <c r="D23" s="27">
        <v>127</v>
      </c>
      <c r="E23" s="27">
        <v>56</v>
      </c>
      <c r="F23" s="28">
        <f t="shared" si="1"/>
        <v>0.19097744360902255</v>
      </c>
      <c r="G23" s="28">
        <f t="shared" si="1"/>
        <v>0.44094488188976377</v>
      </c>
      <c r="H23" s="28">
        <f t="shared" si="2"/>
        <v>8.4210526315789472E-2</v>
      </c>
      <c r="I23" s="27">
        <v>8176</v>
      </c>
      <c r="J23" s="27">
        <v>642</v>
      </c>
      <c r="K23" s="27">
        <v>122</v>
      </c>
      <c r="L23" s="27">
        <v>68</v>
      </c>
      <c r="M23" s="29">
        <f t="shared" si="3"/>
        <v>0.19003115264797507</v>
      </c>
      <c r="N23" s="29">
        <f t="shared" si="3"/>
        <v>0.55737704918032782</v>
      </c>
      <c r="O23" s="29">
        <f t="shared" si="4"/>
        <v>0.1059190031152648</v>
      </c>
      <c r="P23" s="66">
        <f t="shared" si="5"/>
        <v>16500</v>
      </c>
      <c r="Q23" s="66">
        <f t="shared" si="0"/>
        <v>1307</v>
      </c>
      <c r="R23" s="66">
        <f t="shared" si="0"/>
        <v>249</v>
      </c>
      <c r="S23" s="66">
        <f t="shared" si="0"/>
        <v>124</v>
      </c>
    </row>
    <row r="24" spans="1:19" s="30" customFormat="1" ht="15.75" customHeight="1" x14ac:dyDescent="0.15">
      <c r="A24" s="26" t="s">
        <v>40</v>
      </c>
      <c r="B24" s="27">
        <v>9434</v>
      </c>
      <c r="C24" s="27">
        <v>673</v>
      </c>
      <c r="D24" s="27">
        <v>220</v>
      </c>
      <c r="E24" s="27">
        <v>122</v>
      </c>
      <c r="F24" s="28">
        <f t="shared" si="1"/>
        <v>0.32689450222882616</v>
      </c>
      <c r="G24" s="28">
        <f t="shared" si="1"/>
        <v>0.55454545454545456</v>
      </c>
      <c r="H24" s="28">
        <f t="shared" si="2"/>
        <v>0.1812778603268945</v>
      </c>
      <c r="I24" s="27">
        <v>9402</v>
      </c>
      <c r="J24" s="27">
        <v>697</v>
      </c>
      <c r="K24" s="27">
        <v>194</v>
      </c>
      <c r="L24" s="27">
        <v>94</v>
      </c>
      <c r="M24" s="29">
        <f t="shared" si="3"/>
        <v>0.27833572453371591</v>
      </c>
      <c r="N24" s="29">
        <f t="shared" si="3"/>
        <v>0.4845360824742268</v>
      </c>
      <c r="O24" s="29">
        <f t="shared" si="4"/>
        <v>0.13486370157819225</v>
      </c>
      <c r="P24" s="66">
        <f t="shared" si="5"/>
        <v>18836</v>
      </c>
      <c r="Q24" s="66">
        <f t="shared" si="0"/>
        <v>1370</v>
      </c>
      <c r="R24" s="66">
        <f t="shared" si="0"/>
        <v>414</v>
      </c>
      <c r="S24" s="66">
        <f t="shared" si="0"/>
        <v>216</v>
      </c>
    </row>
    <row r="25" spans="1:19" s="30" customFormat="1" ht="15.75" customHeight="1" x14ac:dyDescent="0.15">
      <c r="A25" s="26" t="s">
        <v>41</v>
      </c>
      <c r="B25" s="27">
        <v>8687</v>
      </c>
      <c r="C25" s="27">
        <v>691</v>
      </c>
      <c r="D25" s="27">
        <v>176</v>
      </c>
      <c r="E25" s="27">
        <v>128</v>
      </c>
      <c r="F25" s="28">
        <f t="shared" si="1"/>
        <v>0.25470332850940663</v>
      </c>
      <c r="G25" s="28">
        <f t="shared" si="1"/>
        <v>0.72727272727272729</v>
      </c>
      <c r="H25" s="28">
        <f t="shared" si="2"/>
        <v>0.18523878437047755</v>
      </c>
      <c r="I25" s="27">
        <v>8669</v>
      </c>
      <c r="J25" s="27">
        <v>669</v>
      </c>
      <c r="K25" s="27">
        <v>127</v>
      </c>
      <c r="L25" s="27">
        <v>81</v>
      </c>
      <c r="M25" s="29">
        <f t="shared" si="3"/>
        <v>0.18983557548579971</v>
      </c>
      <c r="N25" s="29">
        <f t="shared" si="3"/>
        <v>0.63779527559055116</v>
      </c>
      <c r="O25" s="29">
        <f t="shared" si="4"/>
        <v>0.1210762331838565</v>
      </c>
      <c r="P25" s="66">
        <f t="shared" si="5"/>
        <v>17356</v>
      </c>
      <c r="Q25" s="66">
        <f t="shared" si="0"/>
        <v>1360</v>
      </c>
      <c r="R25" s="66">
        <f t="shared" si="0"/>
        <v>303</v>
      </c>
      <c r="S25" s="66">
        <f t="shared" si="0"/>
        <v>209</v>
      </c>
    </row>
    <row r="26" spans="1:19" s="30" customFormat="1" ht="15.75" customHeight="1" x14ac:dyDescent="0.15">
      <c r="A26" s="26" t="s">
        <v>42</v>
      </c>
      <c r="B26" s="27">
        <v>8896</v>
      </c>
      <c r="C26" s="27">
        <v>708</v>
      </c>
      <c r="D26" s="27">
        <v>161</v>
      </c>
      <c r="E26" s="27">
        <v>104</v>
      </c>
      <c r="F26" s="28">
        <f t="shared" si="1"/>
        <v>0.22740112994350281</v>
      </c>
      <c r="G26" s="28">
        <f t="shared" si="1"/>
        <v>0.64596273291925466</v>
      </c>
      <c r="H26" s="28">
        <f t="shared" si="2"/>
        <v>0.14689265536723164</v>
      </c>
      <c r="I26" s="27">
        <v>8881</v>
      </c>
      <c r="J26" s="27">
        <v>693</v>
      </c>
      <c r="K26" s="27">
        <v>153</v>
      </c>
      <c r="L26" s="27">
        <v>101</v>
      </c>
      <c r="M26" s="29">
        <f t="shared" si="3"/>
        <v>0.22077922077922077</v>
      </c>
      <c r="N26" s="29">
        <f t="shared" si="3"/>
        <v>0.66013071895424835</v>
      </c>
      <c r="O26" s="29">
        <f t="shared" si="4"/>
        <v>0.14574314574314573</v>
      </c>
      <c r="P26" s="66">
        <f t="shared" si="5"/>
        <v>17777</v>
      </c>
      <c r="Q26" s="66">
        <f t="shared" si="0"/>
        <v>1401</v>
      </c>
      <c r="R26" s="66">
        <f t="shared" si="0"/>
        <v>314</v>
      </c>
      <c r="S26" s="66">
        <f t="shared" si="0"/>
        <v>205</v>
      </c>
    </row>
    <row r="27" spans="1:19" s="30" customFormat="1" ht="15.75" customHeight="1" x14ac:dyDescent="0.15">
      <c r="A27" s="26" t="s">
        <v>43</v>
      </c>
      <c r="B27" s="27">
        <v>9535</v>
      </c>
      <c r="C27" s="27">
        <v>759</v>
      </c>
      <c r="D27" s="27">
        <v>233</v>
      </c>
      <c r="E27" s="27">
        <v>124</v>
      </c>
      <c r="F27" s="28">
        <f t="shared" si="1"/>
        <v>0.30698287220026349</v>
      </c>
      <c r="G27" s="28">
        <f t="shared" si="1"/>
        <v>0.53218884120171672</v>
      </c>
      <c r="H27" s="28">
        <f t="shared" si="2"/>
        <v>0.16337285902503293</v>
      </c>
      <c r="I27" s="27">
        <v>9655</v>
      </c>
      <c r="J27" s="27">
        <v>771</v>
      </c>
      <c r="K27" s="27">
        <v>213</v>
      </c>
      <c r="L27" s="27">
        <v>119</v>
      </c>
      <c r="M27" s="29">
        <f t="shared" si="3"/>
        <v>0.27626459143968873</v>
      </c>
      <c r="N27" s="29">
        <f t="shared" si="3"/>
        <v>0.55868544600938963</v>
      </c>
      <c r="O27" s="29">
        <f t="shared" si="4"/>
        <v>0.15434500648508431</v>
      </c>
      <c r="P27" s="66">
        <f t="shared" si="5"/>
        <v>19190</v>
      </c>
      <c r="Q27" s="66">
        <f t="shared" si="5"/>
        <v>1530</v>
      </c>
      <c r="R27" s="66">
        <f t="shared" si="5"/>
        <v>446</v>
      </c>
      <c r="S27" s="66">
        <f t="shared" si="5"/>
        <v>243</v>
      </c>
    </row>
    <row r="28" spans="1:19" s="30" customFormat="1" ht="13" x14ac:dyDescent="0.15">
      <c r="A28" s="26" t="s">
        <v>44</v>
      </c>
      <c r="B28" s="27">
        <v>9363</v>
      </c>
      <c r="C28" s="27">
        <v>736</v>
      </c>
      <c r="D28" s="27">
        <v>154</v>
      </c>
      <c r="E28" s="27">
        <v>91</v>
      </c>
      <c r="F28" s="28">
        <f t="shared" si="1"/>
        <v>0.20923913043478262</v>
      </c>
      <c r="G28" s="28">
        <f t="shared" si="1"/>
        <v>0.59090909090909094</v>
      </c>
      <c r="H28" s="28">
        <f t="shared" si="2"/>
        <v>0.12364130434782608</v>
      </c>
      <c r="I28" s="27">
        <v>9396</v>
      </c>
      <c r="J28" s="27">
        <v>736</v>
      </c>
      <c r="K28" s="27">
        <v>162</v>
      </c>
      <c r="L28" s="27">
        <v>120</v>
      </c>
      <c r="M28" s="29">
        <f t="shared" si="3"/>
        <v>0.22010869565217392</v>
      </c>
      <c r="N28" s="29">
        <f t="shared" si="3"/>
        <v>0.7407407407407407</v>
      </c>
      <c r="O28" s="29">
        <f t="shared" si="4"/>
        <v>0.16304347826086957</v>
      </c>
      <c r="P28" s="66">
        <f t="shared" si="5"/>
        <v>18759</v>
      </c>
      <c r="Q28" s="66">
        <f t="shared" si="5"/>
        <v>1472</v>
      </c>
      <c r="R28" s="66">
        <f t="shared" si="5"/>
        <v>316</v>
      </c>
      <c r="S28" s="66">
        <f t="shared" si="5"/>
        <v>211</v>
      </c>
    </row>
    <row r="29" spans="1:19" s="30" customFormat="1" ht="13" x14ac:dyDescent="0.15">
      <c r="A29" s="26" t="s">
        <v>45</v>
      </c>
      <c r="B29" s="27">
        <v>9327</v>
      </c>
      <c r="C29" s="27">
        <v>739</v>
      </c>
      <c r="D29" s="27">
        <v>196</v>
      </c>
      <c r="E29" s="27">
        <v>86</v>
      </c>
      <c r="F29" s="28">
        <f t="shared" si="1"/>
        <v>0.26522327469553453</v>
      </c>
      <c r="G29" s="28">
        <f t="shared" si="1"/>
        <v>0.43877551020408162</v>
      </c>
      <c r="H29" s="28">
        <f t="shared" si="2"/>
        <v>0.11637347767253045</v>
      </c>
      <c r="I29" s="27">
        <v>9262</v>
      </c>
      <c r="J29" s="27">
        <v>727</v>
      </c>
      <c r="K29" s="27">
        <v>201</v>
      </c>
      <c r="L29" s="27">
        <v>96</v>
      </c>
      <c r="M29" s="29">
        <f t="shared" si="3"/>
        <v>0.27647867950481431</v>
      </c>
      <c r="N29" s="29">
        <f t="shared" si="3"/>
        <v>0.47761194029850745</v>
      </c>
      <c r="O29" s="29">
        <f t="shared" si="4"/>
        <v>0.13204951856946354</v>
      </c>
      <c r="P29" s="66">
        <f t="shared" si="5"/>
        <v>18589</v>
      </c>
      <c r="Q29" s="66">
        <f t="shared" si="5"/>
        <v>1466</v>
      </c>
      <c r="R29" s="66">
        <f t="shared" si="5"/>
        <v>397</v>
      </c>
      <c r="S29" s="66">
        <f t="shared" si="5"/>
        <v>182</v>
      </c>
    </row>
    <row r="30" spans="1:19" s="30" customFormat="1" ht="13" x14ac:dyDescent="0.15">
      <c r="A30" s="26" t="s">
        <v>46</v>
      </c>
      <c r="B30" s="27">
        <v>9345</v>
      </c>
      <c r="C30" s="27">
        <v>734</v>
      </c>
      <c r="D30" s="27">
        <v>167</v>
      </c>
      <c r="E30" s="27">
        <v>75</v>
      </c>
      <c r="F30" s="28">
        <f t="shared" si="1"/>
        <v>0.22752043596730245</v>
      </c>
      <c r="G30" s="28">
        <f t="shared" si="1"/>
        <v>0.44910179640718562</v>
      </c>
      <c r="H30" s="28">
        <f t="shared" si="2"/>
        <v>0.10217983651226158</v>
      </c>
      <c r="I30" s="27">
        <v>9308</v>
      </c>
      <c r="J30" s="27">
        <v>728</v>
      </c>
      <c r="K30" s="27">
        <v>207</v>
      </c>
      <c r="L30" s="27">
        <v>67</v>
      </c>
      <c r="M30" s="29">
        <f t="shared" si="3"/>
        <v>0.28434065934065933</v>
      </c>
      <c r="N30" s="29">
        <f t="shared" si="3"/>
        <v>0.32367149758454106</v>
      </c>
      <c r="O30" s="29">
        <f t="shared" si="4"/>
        <v>9.2032967032967039E-2</v>
      </c>
      <c r="P30" s="66">
        <f t="shared" si="5"/>
        <v>18653</v>
      </c>
      <c r="Q30" s="66">
        <f t="shared" si="5"/>
        <v>1462</v>
      </c>
      <c r="R30" s="66">
        <f t="shared" si="5"/>
        <v>374</v>
      </c>
      <c r="S30" s="66">
        <f t="shared" si="5"/>
        <v>142</v>
      </c>
    </row>
    <row r="31" spans="1:19" s="30" customFormat="1" ht="13" x14ac:dyDescent="0.15">
      <c r="A31" s="26" t="s">
        <v>47</v>
      </c>
      <c r="B31" s="27">
        <v>8890</v>
      </c>
      <c r="C31" s="27">
        <v>706</v>
      </c>
      <c r="D31" s="27">
        <v>174</v>
      </c>
      <c r="E31" s="27">
        <v>101</v>
      </c>
      <c r="F31" s="28">
        <f t="shared" si="1"/>
        <v>0.24645892351274787</v>
      </c>
      <c r="G31" s="28">
        <f t="shared" si="1"/>
        <v>0.58045977011494254</v>
      </c>
      <c r="H31" s="28">
        <f t="shared" si="2"/>
        <v>0.14305949008498584</v>
      </c>
      <c r="I31" s="27">
        <v>8715</v>
      </c>
      <c r="J31" s="27">
        <v>722</v>
      </c>
      <c r="K31" s="27">
        <v>182</v>
      </c>
      <c r="L31" s="27">
        <v>123</v>
      </c>
      <c r="M31" s="29">
        <f t="shared" si="3"/>
        <v>0.25207756232686979</v>
      </c>
      <c r="N31" s="29">
        <f t="shared" si="3"/>
        <v>0.67582417582417587</v>
      </c>
      <c r="O31" s="29">
        <f t="shared" si="4"/>
        <v>0.17036011080332411</v>
      </c>
      <c r="P31" s="66">
        <f t="shared" si="5"/>
        <v>17605</v>
      </c>
      <c r="Q31" s="66">
        <f t="shared" si="5"/>
        <v>1428</v>
      </c>
      <c r="R31" s="66">
        <f t="shared" si="5"/>
        <v>356</v>
      </c>
      <c r="S31" s="66">
        <f t="shared" si="5"/>
        <v>224</v>
      </c>
    </row>
    <row r="32" spans="1:19" s="30" customFormat="1" ht="13" x14ac:dyDescent="0.15">
      <c r="A32" s="26" t="s">
        <v>48</v>
      </c>
      <c r="B32" s="27">
        <v>8460</v>
      </c>
      <c r="C32" s="27">
        <v>681</v>
      </c>
      <c r="D32" s="27">
        <v>156</v>
      </c>
      <c r="E32" s="27">
        <v>93</v>
      </c>
      <c r="F32" s="28">
        <f t="shared" si="1"/>
        <v>0.22907488986784141</v>
      </c>
      <c r="G32" s="28">
        <f t="shared" si="1"/>
        <v>0.59615384615384615</v>
      </c>
      <c r="H32" s="28">
        <f t="shared" si="2"/>
        <v>0.13656387665198239</v>
      </c>
      <c r="I32" s="27">
        <v>8448</v>
      </c>
      <c r="J32" s="27">
        <v>695</v>
      </c>
      <c r="K32" s="27">
        <v>142</v>
      </c>
      <c r="L32" s="27">
        <v>100</v>
      </c>
      <c r="M32" s="29">
        <f t="shared" si="3"/>
        <v>0.20431654676258992</v>
      </c>
      <c r="N32" s="29">
        <f t="shared" si="3"/>
        <v>0.70422535211267601</v>
      </c>
      <c r="O32" s="29">
        <f t="shared" si="4"/>
        <v>0.14388489208633093</v>
      </c>
      <c r="P32" s="66">
        <f t="shared" si="5"/>
        <v>16908</v>
      </c>
      <c r="Q32" s="66">
        <f t="shared" si="5"/>
        <v>1376</v>
      </c>
      <c r="R32" s="66">
        <f t="shared" si="5"/>
        <v>298</v>
      </c>
      <c r="S32" s="66">
        <f t="shared" si="5"/>
        <v>193</v>
      </c>
    </row>
    <row r="33" spans="1:19" s="30" customFormat="1" ht="13" x14ac:dyDescent="0.15">
      <c r="A33" s="26" t="s">
        <v>49</v>
      </c>
      <c r="B33" s="27">
        <v>8836</v>
      </c>
      <c r="C33" s="27">
        <v>693</v>
      </c>
      <c r="D33" s="27">
        <v>206</v>
      </c>
      <c r="E33" s="27">
        <v>67</v>
      </c>
      <c r="F33" s="28">
        <f t="shared" si="1"/>
        <v>0.29725829725829728</v>
      </c>
      <c r="G33" s="28">
        <f t="shared" si="1"/>
        <v>0.32524271844660196</v>
      </c>
      <c r="H33" s="28">
        <f t="shared" si="2"/>
        <v>9.6681096681096687E-2</v>
      </c>
      <c r="I33" s="27">
        <v>8836</v>
      </c>
      <c r="J33" s="27">
        <v>724</v>
      </c>
      <c r="K33" s="27">
        <v>182</v>
      </c>
      <c r="L33" s="27">
        <v>103</v>
      </c>
      <c r="M33" s="29">
        <f t="shared" si="3"/>
        <v>0.25138121546961328</v>
      </c>
      <c r="N33" s="29">
        <f t="shared" si="3"/>
        <v>0.56593406593406592</v>
      </c>
      <c r="O33" s="29">
        <f t="shared" si="4"/>
        <v>0.14226519337016574</v>
      </c>
      <c r="P33" s="66">
        <f t="shared" si="5"/>
        <v>17672</v>
      </c>
      <c r="Q33" s="66">
        <f t="shared" si="5"/>
        <v>1417</v>
      </c>
      <c r="R33" s="66">
        <f t="shared" si="5"/>
        <v>388</v>
      </c>
      <c r="S33" s="66">
        <f t="shared" si="5"/>
        <v>170</v>
      </c>
    </row>
    <row r="35" spans="1:19" s="30" customFormat="1" ht="13" x14ac:dyDescent="0.15">
      <c r="A35" s="26"/>
      <c r="B35" s="27"/>
      <c r="C35" s="27"/>
      <c r="D35" s="26"/>
      <c r="E35" s="31"/>
      <c r="F35" s="33"/>
      <c r="G35" s="33"/>
      <c r="H35" s="33"/>
      <c r="P35" s="66"/>
      <c r="Q35" s="66"/>
      <c r="R35" s="66"/>
      <c r="S35" s="66"/>
    </row>
    <row r="36" spans="1:19" s="30" customFormat="1" ht="15.75" customHeight="1" x14ac:dyDescent="0.15">
      <c r="F36" s="29"/>
      <c r="G36" s="29"/>
      <c r="H36" s="29"/>
      <c r="P36" s="66"/>
      <c r="Q36" s="66"/>
      <c r="R36" s="66"/>
      <c r="S36" s="66"/>
    </row>
  </sheetData>
  <mergeCells count="3">
    <mergeCell ref="B8:H8"/>
    <mergeCell ref="I8:O8"/>
    <mergeCell ref="P8:V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topLeftCell="A2" workbookViewId="0">
      <selection activeCell="A22" sqref="A22:XFD22"/>
    </sheetView>
  </sheetViews>
  <sheetFormatPr baseColWidth="10" defaultColWidth="14.5" defaultRowHeight="15.75" customHeight="1" x14ac:dyDescent="0.15"/>
  <cols>
    <col min="1" max="1" width="18.1640625" style="34" customWidth="1"/>
    <col min="2" max="2" width="12.5" style="34" hidden="1" customWidth="1"/>
    <col min="3" max="5" width="14.5" style="34" hidden="1" customWidth="1"/>
    <col min="6" max="8" width="14.5" style="35" customWidth="1"/>
    <col min="9" max="12" width="14.5" style="34" hidden="1" customWidth="1"/>
    <col min="13" max="15" width="14.5" style="34" customWidth="1"/>
    <col min="16" max="18" width="14.5" style="73"/>
    <col min="19" max="21" width="14.5" style="48"/>
    <col min="22" max="16384" width="14.5" style="34"/>
  </cols>
  <sheetData>
    <row r="1" spans="1:21" ht="15.75" customHeight="1" x14ac:dyDescent="0.15">
      <c r="O1" s="75"/>
      <c r="P1" s="76"/>
      <c r="Q1" s="76"/>
      <c r="R1" s="76"/>
    </row>
    <row r="2" spans="1:21" s="72" customFormat="1" ht="15.75" customHeight="1" x14ac:dyDescent="0.15">
      <c r="A2" s="77"/>
      <c r="B2" s="92" t="s">
        <v>20</v>
      </c>
      <c r="C2" s="92"/>
      <c r="D2" s="92"/>
      <c r="E2" s="92"/>
      <c r="F2" s="93"/>
      <c r="G2" s="93"/>
      <c r="H2" s="93"/>
      <c r="I2" s="94" t="s">
        <v>21</v>
      </c>
      <c r="J2" s="94"/>
      <c r="K2" s="94"/>
      <c r="L2" s="94"/>
      <c r="M2" s="95"/>
      <c r="N2" s="95"/>
      <c r="O2" s="95"/>
      <c r="P2" s="96" t="s">
        <v>91</v>
      </c>
      <c r="Q2" s="97"/>
      <c r="R2" s="97"/>
      <c r="S2" s="103"/>
      <c r="T2" s="103"/>
      <c r="U2" s="103"/>
    </row>
    <row r="3" spans="1:21" s="19" customFormat="1" ht="31.75" customHeight="1" x14ac:dyDescent="0.15">
      <c r="A3" s="78" t="s">
        <v>22</v>
      </c>
      <c r="B3" s="79" t="s">
        <v>23</v>
      </c>
      <c r="C3" s="79" t="s">
        <v>24</v>
      </c>
      <c r="D3" s="79" t="s">
        <v>25</v>
      </c>
      <c r="E3" s="79" t="s">
        <v>26</v>
      </c>
      <c r="F3" s="80" t="s">
        <v>7</v>
      </c>
      <c r="G3" s="80" t="s">
        <v>8</v>
      </c>
      <c r="H3" s="80" t="s">
        <v>9</v>
      </c>
      <c r="I3" s="81" t="s">
        <v>23</v>
      </c>
      <c r="J3" s="81" t="s">
        <v>24</v>
      </c>
      <c r="K3" s="81" t="s">
        <v>25</v>
      </c>
      <c r="L3" s="81" t="s">
        <v>26</v>
      </c>
      <c r="M3" s="82" t="s">
        <v>7</v>
      </c>
      <c r="N3" s="82" t="s">
        <v>8</v>
      </c>
      <c r="O3" s="82" t="s">
        <v>9</v>
      </c>
      <c r="P3" s="83" t="s">
        <v>7</v>
      </c>
      <c r="Q3" s="83" t="s">
        <v>8</v>
      </c>
      <c r="R3" s="83" t="s">
        <v>9</v>
      </c>
      <c r="S3" s="104"/>
      <c r="T3" s="104"/>
      <c r="U3" s="104"/>
    </row>
    <row r="4" spans="1:21" s="30" customFormat="1" ht="15.75" customHeight="1" x14ac:dyDescent="0.15">
      <c r="A4" s="26" t="s">
        <v>27</v>
      </c>
      <c r="B4" s="27">
        <v>7723</v>
      </c>
      <c r="C4" s="27">
        <v>687</v>
      </c>
      <c r="D4" s="27">
        <v>134</v>
      </c>
      <c r="E4" s="27">
        <v>70</v>
      </c>
      <c r="F4" s="28">
        <f>D4/C4</f>
        <v>0.1950509461426492</v>
      </c>
      <c r="G4" s="28">
        <f>E4/D4</f>
        <v>0.52238805970149249</v>
      </c>
      <c r="H4" s="28">
        <f>E4/C4</f>
        <v>0.10189228529839883</v>
      </c>
      <c r="I4" s="27">
        <v>7716</v>
      </c>
      <c r="J4" s="27">
        <v>686</v>
      </c>
      <c r="K4" s="27">
        <v>105</v>
      </c>
      <c r="L4" s="27">
        <v>34</v>
      </c>
      <c r="M4" s="29">
        <f t="shared" ref="M4:M26" si="0">K4/J4</f>
        <v>0.15306122448979592</v>
      </c>
      <c r="N4" s="29">
        <f t="shared" ref="N4:N26" si="1">L4/K4</f>
        <v>0.32380952380952382</v>
      </c>
      <c r="O4" s="29">
        <f t="shared" ref="O4:O26" si="2">L4/J4</f>
        <v>4.9562682215743441E-2</v>
      </c>
      <c r="P4" s="74" t="str">
        <f t="shared" ref="P4:P26" si="3">IF(M4&gt;F4,"+", "-")</f>
        <v>-</v>
      </c>
      <c r="Q4" s="74" t="str">
        <f t="shared" ref="Q4:Q26" si="4">IF(N4&gt;G4,"+", "-")</f>
        <v>-</v>
      </c>
      <c r="R4" s="74" t="str">
        <f t="shared" ref="R4:R26" si="5">IF(O4&gt;H4,"+", "-")</f>
        <v>-</v>
      </c>
      <c r="S4" s="48"/>
      <c r="T4" s="48"/>
      <c r="U4" s="48"/>
    </row>
    <row r="5" spans="1:21" s="30" customFormat="1" ht="15.75" customHeight="1" x14ac:dyDescent="0.15">
      <c r="A5" s="26" t="s">
        <v>28</v>
      </c>
      <c r="B5" s="27">
        <v>9102</v>
      </c>
      <c r="C5" s="27">
        <v>779</v>
      </c>
      <c r="D5" s="27">
        <v>147</v>
      </c>
      <c r="E5" s="27">
        <v>70</v>
      </c>
      <c r="F5" s="28">
        <f t="shared" ref="F5:G26" si="6">D5/C5</f>
        <v>0.18870346598202825</v>
      </c>
      <c r="G5" s="28">
        <f t="shared" si="6"/>
        <v>0.47619047619047616</v>
      </c>
      <c r="H5" s="28">
        <f t="shared" ref="H5:H26" si="7">E5/C5</f>
        <v>8.9858793324775352E-2</v>
      </c>
      <c r="I5" s="27">
        <v>9288</v>
      </c>
      <c r="J5" s="27">
        <v>785</v>
      </c>
      <c r="K5" s="27">
        <v>116</v>
      </c>
      <c r="L5" s="27">
        <v>91</v>
      </c>
      <c r="M5" s="29">
        <f t="shared" si="0"/>
        <v>0.14777070063694267</v>
      </c>
      <c r="N5" s="29">
        <f t="shared" si="1"/>
        <v>0.78448275862068961</v>
      </c>
      <c r="O5" s="29">
        <f t="shared" si="2"/>
        <v>0.11592356687898089</v>
      </c>
      <c r="P5" s="74" t="str">
        <f t="shared" si="3"/>
        <v>-</v>
      </c>
      <c r="Q5" s="74" t="str">
        <f t="shared" si="4"/>
        <v>+</v>
      </c>
      <c r="R5" s="74" t="str">
        <f t="shared" si="5"/>
        <v>+</v>
      </c>
      <c r="S5" s="48"/>
      <c r="T5" s="48"/>
      <c r="U5" s="48"/>
    </row>
    <row r="6" spans="1:21" s="30" customFormat="1" ht="15.75" customHeight="1" x14ac:dyDescent="0.15">
      <c r="A6" s="26" t="s">
        <v>29</v>
      </c>
      <c r="B6" s="27">
        <v>10511</v>
      </c>
      <c r="C6" s="27">
        <v>909</v>
      </c>
      <c r="D6" s="27">
        <v>167</v>
      </c>
      <c r="E6" s="27">
        <v>95</v>
      </c>
      <c r="F6" s="28">
        <f t="shared" si="6"/>
        <v>0.18371837183718373</v>
      </c>
      <c r="G6" s="28">
        <f t="shared" si="6"/>
        <v>0.56886227544910184</v>
      </c>
      <c r="H6" s="28">
        <f t="shared" si="7"/>
        <v>0.10451045104510451</v>
      </c>
      <c r="I6" s="27">
        <v>10480</v>
      </c>
      <c r="J6" s="27">
        <v>884</v>
      </c>
      <c r="K6" s="27">
        <v>145</v>
      </c>
      <c r="L6" s="27">
        <v>79</v>
      </c>
      <c r="M6" s="29">
        <f t="shared" si="0"/>
        <v>0.16402714932126697</v>
      </c>
      <c r="N6" s="29">
        <f t="shared" si="1"/>
        <v>0.54482758620689653</v>
      </c>
      <c r="O6" s="29">
        <f t="shared" si="2"/>
        <v>8.9366515837104074E-2</v>
      </c>
      <c r="P6" s="74" t="str">
        <f t="shared" si="3"/>
        <v>-</v>
      </c>
      <c r="Q6" s="74" t="str">
        <f t="shared" si="4"/>
        <v>-</v>
      </c>
      <c r="R6" s="74" t="str">
        <f t="shared" si="5"/>
        <v>-</v>
      </c>
      <c r="S6" s="48"/>
      <c r="T6" s="48"/>
      <c r="U6" s="48"/>
    </row>
    <row r="7" spans="1:21" s="30" customFormat="1" ht="15.75" customHeight="1" x14ac:dyDescent="0.15">
      <c r="A7" s="26" t="s">
        <v>30</v>
      </c>
      <c r="B7" s="27">
        <v>9871</v>
      </c>
      <c r="C7" s="27">
        <v>836</v>
      </c>
      <c r="D7" s="27">
        <v>156</v>
      </c>
      <c r="E7" s="27">
        <v>105</v>
      </c>
      <c r="F7" s="28">
        <f t="shared" si="6"/>
        <v>0.18660287081339713</v>
      </c>
      <c r="G7" s="28">
        <f t="shared" si="6"/>
        <v>0.67307692307692313</v>
      </c>
      <c r="H7" s="28">
        <f t="shared" si="7"/>
        <v>0.1255980861244019</v>
      </c>
      <c r="I7" s="27">
        <v>9867</v>
      </c>
      <c r="J7" s="27">
        <v>827</v>
      </c>
      <c r="K7" s="27">
        <v>138</v>
      </c>
      <c r="L7" s="27">
        <v>92</v>
      </c>
      <c r="M7" s="29">
        <f t="shared" si="0"/>
        <v>0.16686819830713423</v>
      </c>
      <c r="N7" s="29">
        <f t="shared" si="1"/>
        <v>0.66666666666666663</v>
      </c>
      <c r="O7" s="29">
        <f t="shared" si="2"/>
        <v>0.11124546553808948</v>
      </c>
      <c r="P7" s="74" t="str">
        <f t="shared" si="3"/>
        <v>-</v>
      </c>
      <c r="Q7" s="74" t="str">
        <f t="shared" si="4"/>
        <v>-</v>
      </c>
      <c r="R7" s="74" t="str">
        <f t="shared" si="5"/>
        <v>-</v>
      </c>
      <c r="S7" s="48"/>
      <c r="T7" s="48"/>
      <c r="U7" s="48"/>
    </row>
    <row r="8" spans="1:21" s="30" customFormat="1" ht="15.75" customHeight="1" x14ac:dyDescent="0.15">
      <c r="A8" s="26" t="s">
        <v>31</v>
      </c>
      <c r="B8" s="27">
        <v>10014</v>
      </c>
      <c r="C8" s="27">
        <v>837</v>
      </c>
      <c r="D8" s="27">
        <v>163</v>
      </c>
      <c r="E8" s="27">
        <v>64</v>
      </c>
      <c r="F8" s="28">
        <f t="shared" si="6"/>
        <v>0.19474313022700118</v>
      </c>
      <c r="G8" s="28">
        <f t="shared" si="6"/>
        <v>0.39263803680981596</v>
      </c>
      <c r="H8" s="28">
        <f t="shared" si="7"/>
        <v>7.6463560334528072E-2</v>
      </c>
      <c r="I8" s="27">
        <v>9793</v>
      </c>
      <c r="J8" s="27">
        <v>832</v>
      </c>
      <c r="K8" s="27">
        <v>140</v>
      </c>
      <c r="L8" s="27">
        <v>94</v>
      </c>
      <c r="M8" s="29">
        <f t="shared" si="0"/>
        <v>0.16826923076923078</v>
      </c>
      <c r="N8" s="29">
        <f t="shared" si="1"/>
        <v>0.67142857142857137</v>
      </c>
      <c r="O8" s="29">
        <f t="shared" si="2"/>
        <v>0.11298076923076923</v>
      </c>
      <c r="P8" s="74" t="str">
        <f t="shared" si="3"/>
        <v>-</v>
      </c>
      <c r="Q8" s="74" t="str">
        <f t="shared" si="4"/>
        <v>+</v>
      </c>
      <c r="R8" s="74" t="str">
        <f t="shared" si="5"/>
        <v>+</v>
      </c>
      <c r="S8" s="48"/>
      <c r="T8" s="48"/>
      <c r="U8" s="48"/>
    </row>
    <row r="9" spans="1:21" s="30" customFormat="1" ht="15.75" customHeight="1" x14ac:dyDescent="0.15">
      <c r="A9" s="26" t="s">
        <v>32</v>
      </c>
      <c r="B9" s="27">
        <v>9670</v>
      </c>
      <c r="C9" s="27">
        <v>823</v>
      </c>
      <c r="D9" s="27">
        <v>138</v>
      </c>
      <c r="E9" s="27">
        <v>82</v>
      </c>
      <c r="F9" s="28">
        <f t="shared" si="6"/>
        <v>0.16767922235722965</v>
      </c>
      <c r="G9" s="28">
        <f t="shared" si="6"/>
        <v>0.59420289855072461</v>
      </c>
      <c r="H9" s="28">
        <f t="shared" si="7"/>
        <v>9.9635479951397321E-2</v>
      </c>
      <c r="I9" s="27">
        <v>9500</v>
      </c>
      <c r="J9" s="27">
        <v>788</v>
      </c>
      <c r="K9" s="27">
        <v>129</v>
      </c>
      <c r="L9" s="27">
        <v>61</v>
      </c>
      <c r="M9" s="29">
        <f t="shared" si="0"/>
        <v>0.16370558375634517</v>
      </c>
      <c r="N9" s="29">
        <f t="shared" si="1"/>
        <v>0.47286821705426357</v>
      </c>
      <c r="O9" s="29">
        <f t="shared" si="2"/>
        <v>7.7411167512690351E-2</v>
      </c>
      <c r="P9" s="74" t="str">
        <f t="shared" si="3"/>
        <v>-</v>
      </c>
      <c r="Q9" s="74" t="str">
        <f t="shared" si="4"/>
        <v>-</v>
      </c>
      <c r="R9" s="74" t="str">
        <f t="shared" si="5"/>
        <v>-</v>
      </c>
      <c r="S9" s="48"/>
      <c r="T9" s="48"/>
      <c r="U9" s="48"/>
    </row>
    <row r="10" spans="1:21" s="30" customFormat="1" ht="15.75" customHeight="1" x14ac:dyDescent="0.15">
      <c r="A10" s="26" t="s">
        <v>33</v>
      </c>
      <c r="B10" s="27">
        <v>9008</v>
      </c>
      <c r="C10" s="27">
        <v>748</v>
      </c>
      <c r="D10" s="27">
        <v>146</v>
      </c>
      <c r="E10" s="27">
        <v>76</v>
      </c>
      <c r="F10" s="28">
        <f t="shared" si="6"/>
        <v>0.19518716577540107</v>
      </c>
      <c r="G10" s="28">
        <f t="shared" si="6"/>
        <v>0.52054794520547942</v>
      </c>
      <c r="H10" s="28">
        <f t="shared" si="7"/>
        <v>0.10160427807486631</v>
      </c>
      <c r="I10" s="27">
        <v>9088</v>
      </c>
      <c r="J10" s="27">
        <v>780</v>
      </c>
      <c r="K10" s="27">
        <v>127</v>
      </c>
      <c r="L10" s="27">
        <v>44</v>
      </c>
      <c r="M10" s="29">
        <f t="shared" si="0"/>
        <v>0.16282051282051282</v>
      </c>
      <c r="N10" s="29">
        <f t="shared" si="1"/>
        <v>0.34645669291338582</v>
      </c>
      <c r="O10" s="29">
        <f t="shared" si="2"/>
        <v>5.6410256410256411E-2</v>
      </c>
      <c r="P10" s="74" t="str">
        <f t="shared" si="3"/>
        <v>-</v>
      </c>
      <c r="Q10" s="74" t="str">
        <f t="shared" si="4"/>
        <v>-</v>
      </c>
      <c r="R10" s="74" t="str">
        <f t="shared" si="5"/>
        <v>-</v>
      </c>
      <c r="S10" s="48"/>
      <c r="T10" s="48"/>
      <c r="U10" s="48"/>
    </row>
    <row r="11" spans="1:21" s="30" customFormat="1" ht="15.75" customHeight="1" x14ac:dyDescent="0.15">
      <c r="A11" s="26" t="s">
        <v>34</v>
      </c>
      <c r="B11" s="27">
        <v>7434</v>
      </c>
      <c r="C11" s="27">
        <v>632</v>
      </c>
      <c r="D11" s="27">
        <v>110</v>
      </c>
      <c r="E11" s="27">
        <v>70</v>
      </c>
      <c r="F11" s="28">
        <f t="shared" si="6"/>
        <v>0.17405063291139242</v>
      </c>
      <c r="G11" s="28">
        <f t="shared" si="6"/>
        <v>0.63636363636363635</v>
      </c>
      <c r="H11" s="28">
        <f t="shared" si="7"/>
        <v>0.11075949367088607</v>
      </c>
      <c r="I11" s="27">
        <v>7664</v>
      </c>
      <c r="J11" s="27">
        <v>652</v>
      </c>
      <c r="K11" s="27">
        <v>94</v>
      </c>
      <c r="L11" s="27">
        <v>62</v>
      </c>
      <c r="M11" s="29">
        <f t="shared" si="0"/>
        <v>0.14417177914110429</v>
      </c>
      <c r="N11" s="29">
        <f t="shared" si="1"/>
        <v>0.65957446808510634</v>
      </c>
      <c r="O11" s="29">
        <f t="shared" si="2"/>
        <v>9.5092024539877307E-2</v>
      </c>
      <c r="P11" s="74" t="str">
        <f t="shared" si="3"/>
        <v>-</v>
      </c>
      <c r="Q11" s="74" t="str">
        <f t="shared" si="4"/>
        <v>+</v>
      </c>
      <c r="R11" s="74" t="str">
        <f t="shared" si="5"/>
        <v>-</v>
      </c>
      <c r="S11" s="48"/>
      <c r="T11" s="48"/>
      <c r="U11" s="48"/>
    </row>
    <row r="12" spans="1:21" s="30" customFormat="1" ht="15.75" customHeight="1" x14ac:dyDescent="0.15">
      <c r="A12" s="26" t="s">
        <v>35</v>
      </c>
      <c r="B12" s="27">
        <v>8459</v>
      </c>
      <c r="C12" s="27">
        <v>691</v>
      </c>
      <c r="D12" s="27">
        <v>131</v>
      </c>
      <c r="E12" s="27">
        <v>60</v>
      </c>
      <c r="F12" s="28">
        <f t="shared" si="6"/>
        <v>0.18958031837916064</v>
      </c>
      <c r="G12" s="28">
        <f t="shared" si="6"/>
        <v>0.4580152671755725</v>
      </c>
      <c r="H12" s="28">
        <f t="shared" si="7"/>
        <v>8.6830680173661356E-2</v>
      </c>
      <c r="I12" s="27">
        <v>8434</v>
      </c>
      <c r="J12" s="27">
        <v>697</v>
      </c>
      <c r="K12" s="27">
        <v>120</v>
      </c>
      <c r="L12" s="27">
        <v>77</v>
      </c>
      <c r="M12" s="29">
        <f t="shared" si="0"/>
        <v>0.17216642754662842</v>
      </c>
      <c r="N12" s="29">
        <f t="shared" si="1"/>
        <v>0.64166666666666672</v>
      </c>
      <c r="O12" s="29">
        <f t="shared" si="2"/>
        <v>0.11047345767575323</v>
      </c>
      <c r="P12" s="74" t="str">
        <f t="shared" si="3"/>
        <v>-</v>
      </c>
      <c r="Q12" s="74" t="str">
        <f t="shared" si="4"/>
        <v>+</v>
      </c>
      <c r="R12" s="74" t="str">
        <f t="shared" si="5"/>
        <v>+</v>
      </c>
      <c r="S12" s="48"/>
      <c r="T12" s="48"/>
      <c r="U12" s="48"/>
    </row>
    <row r="13" spans="1:21" s="30" customFormat="1" ht="15.75" customHeight="1" x14ac:dyDescent="0.15">
      <c r="A13" s="26" t="s">
        <v>36</v>
      </c>
      <c r="B13" s="27">
        <v>10667</v>
      </c>
      <c r="C13" s="27">
        <v>861</v>
      </c>
      <c r="D13" s="27">
        <v>165</v>
      </c>
      <c r="E13" s="27">
        <v>97</v>
      </c>
      <c r="F13" s="28">
        <f t="shared" si="6"/>
        <v>0.19163763066202091</v>
      </c>
      <c r="G13" s="28">
        <f t="shared" si="6"/>
        <v>0.58787878787878789</v>
      </c>
      <c r="H13" s="28">
        <f t="shared" si="7"/>
        <v>0.11265969802555169</v>
      </c>
      <c r="I13" s="27">
        <v>10496</v>
      </c>
      <c r="J13" s="27">
        <v>860</v>
      </c>
      <c r="K13" s="27">
        <v>153</v>
      </c>
      <c r="L13" s="27">
        <v>98</v>
      </c>
      <c r="M13" s="29">
        <f t="shared" si="0"/>
        <v>0.17790697674418604</v>
      </c>
      <c r="N13" s="29">
        <f t="shared" si="1"/>
        <v>0.64052287581699341</v>
      </c>
      <c r="O13" s="29">
        <f t="shared" si="2"/>
        <v>0.11395348837209303</v>
      </c>
      <c r="P13" s="74" t="str">
        <f t="shared" si="3"/>
        <v>-</v>
      </c>
      <c r="Q13" s="74" t="str">
        <f t="shared" si="4"/>
        <v>+</v>
      </c>
      <c r="R13" s="74" t="str">
        <f t="shared" si="5"/>
        <v>+</v>
      </c>
      <c r="S13" s="48"/>
      <c r="T13" s="48"/>
      <c r="U13" s="48"/>
    </row>
    <row r="14" spans="1:21" s="30" customFormat="1" ht="15.75" customHeight="1" x14ac:dyDescent="0.15">
      <c r="A14" s="26" t="s">
        <v>37</v>
      </c>
      <c r="B14" s="27">
        <v>10660</v>
      </c>
      <c r="C14" s="27">
        <v>867</v>
      </c>
      <c r="D14" s="27">
        <v>196</v>
      </c>
      <c r="E14" s="27">
        <v>105</v>
      </c>
      <c r="F14" s="28">
        <f t="shared" si="6"/>
        <v>0.22606689734717417</v>
      </c>
      <c r="G14" s="28">
        <f t="shared" si="6"/>
        <v>0.5357142857142857</v>
      </c>
      <c r="H14" s="28">
        <f t="shared" si="7"/>
        <v>0.12110726643598616</v>
      </c>
      <c r="I14" s="27">
        <v>10551</v>
      </c>
      <c r="J14" s="27">
        <v>864</v>
      </c>
      <c r="K14" s="27">
        <v>143</v>
      </c>
      <c r="L14" s="27">
        <v>71</v>
      </c>
      <c r="M14" s="29">
        <f t="shared" si="0"/>
        <v>0.16550925925925927</v>
      </c>
      <c r="N14" s="29">
        <f t="shared" si="1"/>
        <v>0.49650349650349651</v>
      </c>
      <c r="O14" s="29">
        <f t="shared" si="2"/>
        <v>8.217592592592593E-2</v>
      </c>
      <c r="P14" s="74" t="str">
        <f t="shared" si="3"/>
        <v>-</v>
      </c>
      <c r="Q14" s="74" t="str">
        <f t="shared" si="4"/>
        <v>-</v>
      </c>
      <c r="R14" s="74" t="str">
        <f t="shared" si="5"/>
        <v>-</v>
      </c>
      <c r="S14" s="48"/>
      <c r="T14" s="48"/>
      <c r="U14" s="48"/>
    </row>
    <row r="15" spans="1:21" s="30" customFormat="1" ht="15.75" customHeight="1" x14ac:dyDescent="0.15">
      <c r="A15" s="26" t="s">
        <v>38</v>
      </c>
      <c r="B15" s="27">
        <v>9947</v>
      </c>
      <c r="C15" s="27">
        <v>838</v>
      </c>
      <c r="D15" s="27">
        <v>162</v>
      </c>
      <c r="E15" s="27">
        <v>92</v>
      </c>
      <c r="F15" s="28">
        <f t="shared" si="6"/>
        <v>0.19331742243436753</v>
      </c>
      <c r="G15" s="28">
        <f t="shared" si="6"/>
        <v>0.5679012345679012</v>
      </c>
      <c r="H15" s="28">
        <f t="shared" si="7"/>
        <v>0.10978520286396182</v>
      </c>
      <c r="I15" s="27">
        <v>9737</v>
      </c>
      <c r="J15" s="27">
        <v>801</v>
      </c>
      <c r="K15" s="27">
        <v>128</v>
      </c>
      <c r="L15" s="27">
        <v>70</v>
      </c>
      <c r="M15" s="29">
        <f t="shared" si="0"/>
        <v>0.15980024968789014</v>
      </c>
      <c r="N15" s="29">
        <f t="shared" si="1"/>
        <v>0.546875</v>
      </c>
      <c r="O15" s="29">
        <f t="shared" si="2"/>
        <v>8.7390761548064924E-2</v>
      </c>
      <c r="P15" s="74" t="str">
        <f t="shared" si="3"/>
        <v>-</v>
      </c>
      <c r="Q15" s="74" t="str">
        <f t="shared" si="4"/>
        <v>-</v>
      </c>
      <c r="R15" s="74" t="str">
        <f t="shared" si="5"/>
        <v>-</v>
      </c>
      <c r="S15" s="48"/>
      <c r="T15" s="48"/>
      <c r="U15" s="48"/>
    </row>
    <row r="16" spans="1:21" s="30" customFormat="1" ht="15.75" customHeight="1" x14ac:dyDescent="0.15">
      <c r="A16" s="26" t="s">
        <v>39</v>
      </c>
      <c r="B16" s="27">
        <v>8324</v>
      </c>
      <c r="C16" s="27">
        <v>665</v>
      </c>
      <c r="D16" s="27">
        <v>127</v>
      </c>
      <c r="E16" s="27">
        <v>56</v>
      </c>
      <c r="F16" s="28">
        <f t="shared" si="6"/>
        <v>0.19097744360902255</v>
      </c>
      <c r="G16" s="28">
        <f t="shared" si="6"/>
        <v>0.44094488188976377</v>
      </c>
      <c r="H16" s="28">
        <f t="shared" si="7"/>
        <v>8.4210526315789472E-2</v>
      </c>
      <c r="I16" s="27">
        <v>8176</v>
      </c>
      <c r="J16" s="27">
        <v>642</v>
      </c>
      <c r="K16" s="27">
        <v>122</v>
      </c>
      <c r="L16" s="27">
        <v>68</v>
      </c>
      <c r="M16" s="29">
        <f t="shared" si="0"/>
        <v>0.19003115264797507</v>
      </c>
      <c r="N16" s="29">
        <f t="shared" si="1"/>
        <v>0.55737704918032782</v>
      </c>
      <c r="O16" s="29">
        <f t="shared" si="2"/>
        <v>0.1059190031152648</v>
      </c>
      <c r="P16" s="74" t="str">
        <f t="shared" si="3"/>
        <v>-</v>
      </c>
      <c r="Q16" s="74" t="str">
        <f t="shared" si="4"/>
        <v>+</v>
      </c>
      <c r="R16" s="74" t="str">
        <f t="shared" si="5"/>
        <v>+</v>
      </c>
      <c r="S16" s="48"/>
      <c r="T16" s="48"/>
      <c r="U16" s="48"/>
    </row>
    <row r="17" spans="1:21" s="30" customFormat="1" ht="15.75" customHeight="1" x14ac:dyDescent="0.15">
      <c r="A17" s="26" t="s">
        <v>40</v>
      </c>
      <c r="B17" s="27">
        <v>9434</v>
      </c>
      <c r="C17" s="27">
        <v>673</v>
      </c>
      <c r="D17" s="27">
        <v>220</v>
      </c>
      <c r="E17" s="27">
        <v>122</v>
      </c>
      <c r="F17" s="28">
        <f t="shared" si="6"/>
        <v>0.32689450222882616</v>
      </c>
      <c r="G17" s="28">
        <f t="shared" si="6"/>
        <v>0.55454545454545456</v>
      </c>
      <c r="H17" s="28">
        <f t="shared" si="7"/>
        <v>0.1812778603268945</v>
      </c>
      <c r="I17" s="27">
        <v>9402</v>
      </c>
      <c r="J17" s="27">
        <v>697</v>
      </c>
      <c r="K17" s="27">
        <v>194</v>
      </c>
      <c r="L17" s="27">
        <v>94</v>
      </c>
      <c r="M17" s="29">
        <f t="shared" si="0"/>
        <v>0.27833572453371591</v>
      </c>
      <c r="N17" s="29">
        <f t="shared" si="1"/>
        <v>0.4845360824742268</v>
      </c>
      <c r="O17" s="29">
        <f t="shared" si="2"/>
        <v>0.13486370157819225</v>
      </c>
      <c r="P17" s="74" t="str">
        <f t="shared" si="3"/>
        <v>-</v>
      </c>
      <c r="Q17" s="74" t="str">
        <f t="shared" si="4"/>
        <v>-</v>
      </c>
      <c r="R17" s="74" t="str">
        <f t="shared" si="5"/>
        <v>-</v>
      </c>
      <c r="S17" s="48"/>
      <c r="T17" s="48"/>
      <c r="U17" s="48"/>
    </row>
    <row r="18" spans="1:21" s="30" customFormat="1" ht="15.75" customHeight="1" x14ac:dyDescent="0.15">
      <c r="A18" s="26" t="s">
        <v>41</v>
      </c>
      <c r="B18" s="27">
        <v>8687</v>
      </c>
      <c r="C18" s="27">
        <v>691</v>
      </c>
      <c r="D18" s="27">
        <v>176</v>
      </c>
      <c r="E18" s="27">
        <v>128</v>
      </c>
      <c r="F18" s="28">
        <f t="shared" si="6"/>
        <v>0.25470332850940663</v>
      </c>
      <c r="G18" s="28">
        <f t="shared" si="6"/>
        <v>0.72727272727272729</v>
      </c>
      <c r="H18" s="28">
        <f t="shared" si="7"/>
        <v>0.18523878437047755</v>
      </c>
      <c r="I18" s="27">
        <v>8669</v>
      </c>
      <c r="J18" s="27">
        <v>669</v>
      </c>
      <c r="K18" s="27">
        <v>127</v>
      </c>
      <c r="L18" s="27">
        <v>81</v>
      </c>
      <c r="M18" s="29">
        <f t="shared" si="0"/>
        <v>0.18983557548579971</v>
      </c>
      <c r="N18" s="29">
        <f t="shared" si="1"/>
        <v>0.63779527559055116</v>
      </c>
      <c r="O18" s="29">
        <f t="shared" si="2"/>
        <v>0.1210762331838565</v>
      </c>
      <c r="P18" s="74" t="str">
        <f t="shared" si="3"/>
        <v>-</v>
      </c>
      <c r="Q18" s="74" t="str">
        <f t="shared" si="4"/>
        <v>-</v>
      </c>
      <c r="R18" s="74" t="str">
        <f t="shared" si="5"/>
        <v>-</v>
      </c>
      <c r="S18" s="48"/>
      <c r="T18" s="48"/>
      <c r="U18" s="48"/>
    </row>
    <row r="19" spans="1:21" s="30" customFormat="1" ht="15.75" customHeight="1" x14ac:dyDescent="0.15">
      <c r="A19" s="26" t="s">
        <v>42</v>
      </c>
      <c r="B19" s="27">
        <v>8896</v>
      </c>
      <c r="C19" s="27">
        <v>708</v>
      </c>
      <c r="D19" s="27">
        <v>161</v>
      </c>
      <c r="E19" s="27">
        <v>104</v>
      </c>
      <c r="F19" s="28">
        <f t="shared" si="6"/>
        <v>0.22740112994350281</v>
      </c>
      <c r="G19" s="28">
        <f t="shared" si="6"/>
        <v>0.64596273291925466</v>
      </c>
      <c r="H19" s="28">
        <f t="shared" si="7"/>
        <v>0.14689265536723164</v>
      </c>
      <c r="I19" s="27">
        <v>8881</v>
      </c>
      <c r="J19" s="27">
        <v>693</v>
      </c>
      <c r="K19" s="27">
        <v>153</v>
      </c>
      <c r="L19" s="27">
        <v>101</v>
      </c>
      <c r="M19" s="29">
        <f t="shared" si="0"/>
        <v>0.22077922077922077</v>
      </c>
      <c r="N19" s="29">
        <f t="shared" si="1"/>
        <v>0.66013071895424835</v>
      </c>
      <c r="O19" s="29">
        <f t="shared" si="2"/>
        <v>0.14574314574314573</v>
      </c>
      <c r="P19" s="74" t="str">
        <f t="shared" si="3"/>
        <v>-</v>
      </c>
      <c r="Q19" s="74" t="str">
        <f t="shared" si="4"/>
        <v>+</v>
      </c>
      <c r="R19" s="74" t="str">
        <f t="shared" si="5"/>
        <v>-</v>
      </c>
      <c r="S19" s="48"/>
      <c r="T19" s="48"/>
      <c r="U19" s="48"/>
    </row>
    <row r="20" spans="1:21" s="30" customFormat="1" ht="15.75" customHeight="1" x14ac:dyDescent="0.15">
      <c r="A20" s="26" t="s">
        <v>43</v>
      </c>
      <c r="B20" s="27">
        <v>9535</v>
      </c>
      <c r="C20" s="27">
        <v>759</v>
      </c>
      <c r="D20" s="27">
        <v>233</v>
      </c>
      <c r="E20" s="27">
        <v>124</v>
      </c>
      <c r="F20" s="28">
        <f t="shared" si="6"/>
        <v>0.30698287220026349</v>
      </c>
      <c r="G20" s="28">
        <f t="shared" si="6"/>
        <v>0.53218884120171672</v>
      </c>
      <c r="H20" s="28">
        <f t="shared" si="7"/>
        <v>0.16337285902503293</v>
      </c>
      <c r="I20" s="27">
        <v>9655</v>
      </c>
      <c r="J20" s="27">
        <v>771</v>
      </c>
      <c r="K20" s="27">
        <v>213</v>
      </c>
      <c r="L20" s="27">
        <v>119</v>
      </c>
      <c r="M20" s="29">
        <f t="shared" si="0"/>
        <v>0.27626459143968873</v>
      </c>
      <c r="N20" s="29">
        <f t="shared" si="1"/>
        <v>0.55868544600938963</v>
      </c>
      <c r="O20" s="29">
        <f t="shared" si="2"/>
        <v>0.15434500648508431</v>
      </c>
      <c r="P20" s="74" t="str">
        <f t="shared" si="3"/>
        <v>-</v>
      </c>
      <c r="Q20" s="74" t="str">
        <f t="shared" si="4"/>
        <v>+</v>
      </c>
      <c r="R20" s="74" t="str">
        <f t="shared" si="5"/>
        <v>-</v>
      </c>
      <c r="S20" s="48"/>
      <c r="T20" s="48"/>
      <c r="U20" s="48"/>
    </row>
    <row r="21" spans="1:21" s="30" customFormat="1" ht="12" customHeight="1" x14ac:dyDescent="0.15">
      <c r="A21" s="26" t="s">
        <v>44</v>
      </c>
      <c r="B21" s="27">
        <v>9363</v>
      </c>
      <c r="C21" s="27">
        <v>736</v>
      </c>
      <c r="D21" s="27">
        <v>154</v>
      </c>
      <c r="E21" s="27">
        <v>91</v>
      </c>
      <c r="F21" s="28">
        <f t="shared" si="6"/>
        <v>0.20923913043478262</v>
      </c>
      <c r="G21" s="28">
        <f t="shared" si="6"/>
        <v>0.59090909090909094</v>
      </c>
      <c r="H21" s="28">
        <f t="shared" si="7"/>
        <v>0.12364130434782608</v>
      </c>
      <c r="I21" s="27">
        <v>9396</v>
      </c>
      <c r="J21" s="27">
        <v>736</v>
      </c>
      <c r="K21" s="27">
        <v>162</v>
      </c>
      <c r="L21" s="27">
        <v>120</v>
      </c>
      <c r="M21" s="29">
        <f t="shared" si="0"/>
        <v>0.22010869565217392</v>
      </c>
      <c r="N21" s="29">
        <f t="shared" si="1"/>
        <v>0.7407407407407407</v>
      </c>
      <c r="O21" s="29">
        <f t="shared" si="2"/>
        <v>0.16304347826086957</v>
      </c>
      <c r="P21" s="74" t="str">
        <f t="shared" si="3"/>
        <v>+</v>
      </c>
      <c r="Q21" s="74" t="str">
        <f t="shared" si="4"/>
        <v>+</v>
      </c>
      <c r="R21" s="74" t="str">
        <f t="shared" si="5"/>
        <v>+</v>
      </c>
      <c r="S21" s="48"/>
      <c r="T21" s="48"/>
      <c r="U21" s="48"/>
    </row>
    <row r="22" spans="1:21" s="30" customFormat="1" ht="13" x14ac:dyDescent="0.15">
      <c r="A22" s="26" t="s">
        <v>45</v>
      </c>
      <c r="B22" s="27">
        <v>9327</v>
      </c>
      <c r="C22" s="27">
        <v>739</v>
      </c>
      <c r="D22" s="27">
        <v>196</v>
      </c>
      <c r="E22" s="27">
        <v>86</v>
      </c>
      <c r="F22" s="28">
        <f t="shared" si="6"/>
        <v>0.26522327469553453</v>
      </c>
      <c r="G22" s="28">
        <f t="shared" si="6"/>
        <v>0.43877551020408162</v>
      </c>
      <c r="H22" s="28">
        <f t="shared" si="7"/>
        <v>0.11637347767253045</v>
      </c>
      <c r="I22" s="27">
        <v>9262</v>
      </c>
      <c r="J22" s="27">
        <v>727</v>
      </c>
      <c r="K22" s="27">
        <v>201</v>
      </c>
      <c r="L22" s="27">
        <v>96</v>
      </c>
      <c r="M22" s="29">
        <f t="shared" si="0"/>
        <v>0.27647867950481431</v>
      </c>
      <c r="N22" s="29">
        <f t="shared" si="1"/>
        <v>0.47761194029850745</v>
      </c>
      <c r="O22" s="29">
        <f t="shared" si="2"/>
        <v>0.13204951856946354</v>
      </c>
      <c r="P22" s="74" t="str">
        <f t="shared" si="3"/>
        <v>+</v>
      </c>
      <c r="Q22" s="74" t="str">
        <f t="shared" si="4"/>
        <v>+</v>
      </c>
      <c r="R22" s="74" t="str">
        <f t="shared" si="5"/>
        <v>+</v>
      </c>
      <c r="S22" s="48"/>
      <c r="T22" s="48"/>
      <c r="U22" s="48"/>
    </row>
    <row r="23" spans="1:21" s="30" customFormat="1" ht="13" x14ac:dyDescent="0.15">
      <c r="A23" s="26" t="s">
        <v>46</v>
      </c>
      <c r="B23" s="27">
        <v>9345</v>
      </c>
      <c r="C23" s="27">
        <v>734</v>
      </c>
      <c r="D23" s="27">
        <v>167</v>
      </c>
      <c r="E23" s="27">
        <v>75</v>
      </c>
      <c r="F23" s="28">
        <f t="shared" si="6"/>
        <v>0.22752043596730245</v>
      </c>
      <c r="G23" s="28">
        <f t="shared" si="6"/>
        <v>0.44910179640718562</v>
      </c>
      <c r="H23" s="28">
        <f t="shared" si="7"/>
        <v>0.10217983651226158</v>
      </c>
      <c r="I23" s="27">
        <v>9308</v>
      </c>
      <c r="J23" s="27">
        <v>728</v>
      </c>
      <c r="K23" s="27">
        <v>207</v>
      </c>
      <c r="L23" s="27">
        <v>67</v>
      </c>
      <c r="M23" s="29">
        <f t="shared" si="0"/>
        <v>0.28434065934065933</v>
      </c>
      <c r="N23" s="29">
        <f t="shared" si="1"/>
        <v>0.32367149758454106</v>
      </c>
      <c r="O23" s="29">
        <f t="shared" si="2"/>
        <v>9.2032967032967039E-2</v>
      </c>
      <c r="P23" s="74" t="str">
        <f t="shared" si="3"/>
        <v>+</v>
      </c>
      <c r="Q23" s="74" t="str">
        <f t="shared" si="4"/>
        <v>-</v>
      </c>
      <c r="R23" s="74" t="str">
        <f t="shared" si="5"/>
        <v>-</v>
      </c>
      <c r="S23" s="48"/>
      <c r="T23" s="48"/>
      <c r="U23" s="48"/>
    </row>
    <row r="24" spans="1:21" s="30" customFormat="1" ht="13" x14ac:dyDescent="0.15">
      <c r="A24" s="26" t="s">
        <v>47</v>
      </c>
      <c r="B24" s="27">
        <v>8890</v>
      </c>
      <c r="C24" s="27">
        <v>706</v>
      </c>
      <c r="D24" s="27">
        <v>174</v>
      </c>
      <c r="E24" s="27">
        <v>101</v>
      </c>
      <c r="F24" s="28">
        <f t="shared" si="6"/>
        <v>0.24645892351274787</v>
      </c>
      <c r="G24" s="28">
        <f t="shared" si="6"/>
        <v>0.58045977011494254</v>
      </c>
      <c r="H24" s="28">
        <f t="shared" si="7"/>
        <v>0.14305949008498584</v>
      </c>
      <c r="I24" s="27">
        <v>8715</v>
      </c>
      <c r="J24" s="27">
        <v>722</v>
      </c>
      <c r="K24" s="27">
        <v>182</v>
      </c>
      <c r="L24" s="27">
        <v>123</v>
      </c>
      <c r="M24" s="29">
        <f t="shared" si="0"/>
        <v>0.25207756232686979</v>
      </c>
      <c r="N24" s="29">
        <f t="shared" si="1"/>
        <v>0.67582417582417587</v>
      </c>
      <c r="O24" s="29">
        <f t="shared" si="2"/>
        <v>0.17036011080332411</v>
      </c>
      <c r="P24" s="74" t="str">
        <f t="shared" si="3"/>
        <v>+</v>
      </c>
      <c r="Q24" s="74" t="str">
        <f t="shared" si="4"/>
        <v>+</v>
      </c>
      <c r="R24" s="74" t="str">
        <f t="shared" si="5"/>
        <v>+</v>
      </c>
      <c r="S24" s="48"/>
      <c r="T24" s="48"/>
      <c r="U24" s="48"/>
    </row>
    <row r="25" spans="1:21" s="30" customFormat="1" ht="13" x14ac:dyDescent="0.15">
      <c r="A25" s="26" t="s">
        <v>48</v>
      </c>
      <c r="B25" s="27">
        <v>8460</v>
      </c>
      <c r="C25" s="27">
        <v>681</v>
      </c>
      <c r="D25" s="27">
        <v>156</v>
      </c>
      <c r="E25" s="27">
        <v>93</v>
      </c>
      <c r="F25" s="28">
        <f t="shared" si="6"/>
        <v>0.22907488986784141</v>
      </c>
      <c r="G25" s="28">
        <f t="shared" si="6"/>
        <v>0.59615384615384615</v>
      </c>
      <c r="H25" s="28">
        <f t="shared" si="7"/>
        <v>0.13656387665198239</v>
      </c>
      <c r="I25" s="27">
        <v>8448</v>
      </c>
      <c r="J25" s="27">
        <v>695</v>
      </c>
      <c r="K25" s="27">
        <v>142</v>
      </c>
      <c r="L25" s="27">
        <v>100</v>
      </c>
      <c r="M25" s="29">
        <f t="shared" si="0"/>
        <v>0.20431654676258992</v>
      </c>
      <c r="N25" s="29">
        <f t="shared" si="1"/>
        <v>0.70422535211267601</v>
      </c>
      <c r="O25" s="29">
        <f t="shared" si="2"/>
        <v>0.14388489208633093</v>
      </c>
      <c r="P25" s="74" t="str">
        <f t="shared" si="3"/>
        <v>-</v>
      </c>
      <c r="Q25" s="74" t="str">
        <f t="shared" si="4"/>
        <v>+</v>
      </c>
      <c r="R25" s="74" t="str">
        <f t="shared" si="5"/>
        <v>+</v>
      </c>
      <c r="S25" s="48"/>
      <c r="T25" s="48"/>
      <c r="U25" s="48"/>
    </row>
    <row r="26" spans="1:21" s="30" customFormat="1" ht="13" x14ac:dyDescent="0.15">
      <c r="A26" s="26" t="s">
        <v>49</v>
      </c>
      <c r="B26" s="27">
        <v>8836</v>
      </c>
      <c r="C26" s="27">
        <v>693</v>
      </c>
      <c r="D26" s="27">
        <v>206</v>
      </c>
      <c r="E26" s="27">
        <v>67</v>
      </c>
      <c r="F26" s="28">
        <f t="shared" si="6"/>
        <v>0.29725829725829728</v>
      </c>
      <c r="G26" s="28">
        <f t="shared" si="6"/>
        <v>0.32524271844660196</v>
      </c>
      <c r="H26" s="28">
        <f t="shared" si="7"/>
        <v>9.6681096681096687E-2</v>
      </c>
      <c r="I26" s="27">
        <v>8836</v>
      </c>
      <c r="J26" s="27">
        <v>724</v>
      </c>
      <c r="K26" s="27">
        <v>182</v>
      </c>
      <c r="L26" s="27">
        <v>103</v>
      </c>
      <c r="M26" s="29">
        <f t="shared" si="0"/>
        <v>0.25138121546961328</v>
      </c>
      <c r="N26" s="29">
        <f t="shared" si="1"/>
        <v>0.56593406593406592</v>
      </c>
      <c r="O26" s="29">
        <f t="shared" si="2"/>
        <v>0.14226519337016574</v>
      </c>
      <c r="P26" s="74" t="str">
        <f t="shared" si="3"/>
        <v>-</v>
      </c>
      <c r="Q26" s="74" t="str">
        <f t="shared" si="4"/>
        <v>+</v>
      </c>
      <c r="R26" s="74" t="str">
        <f t="shared" si="5"/>
        <v>+</v>
      </c>
      <c r="S26" s="48"/>
      <c r="T26" s="48"/>
      <c r="U26" s="48"/>
    </row>
    <row r="27" spans="1:21" ht="15.75" customHeight="1" x14ac:dyDescent="0.15">
      <c r="M27" s="41"/>
      <c r="N27" s="41" t="s">
        <v>82</v>
      </c>
      <c r="O27" s="41"/>
      <c r="P27" s="76">
        <f>COUNTIF(P4:P26,"+")</f>
        <v>4</v>
      </c>
      <c r="Q27" s="76">
        <f>COUNTIF(Q4:Q26,"+")</f>
        <v>13</v>
      </c>
      <c r="R27" s="76">
        <f>COUNTIF(R4:R26,"+")</f>
        <v>10</v>
      </c>
    </row>
    <row r="28" spans="1:21" s="30" customFormat="1" ht="13" x14ac:dyDescent="0.15">
      <c r="A28" s="26"/>
      <c r="B28" s="27"/>
      <c r="C28" s="27"/>
      <c r="D28" s="26"/>
      <c r="E28" s="31"/>
      <c r="F28" s="33"/>
      <c r="G28" s="33"/>
      <c r="H28" s="33"/>
      <c r="M28" s="32"/>
      <c r="N28" s="32" t="s">
        <v>65</v>
      </c>
      <c r="O28" s="32"/>
      <c r="P28" s="74">
        <f>COUNTA(P4:P26)</f>
        <v>23</v>
      </c>
      <c r="Q28" s="74">
        <f>COUNTA(Q4:Q26)</f>
        <v>23</v>
      </c>
      <c r="R28" s="74">
        <f>COUNTA(R4:R26)</f>
        <v>23</v>
      </c>
      <c r="S28" s="48"/>
      <c r="T28" s="48"/>
      <c r="U28" s="48"/>
    </row>
    <row r="29" spans="1:21" s="30" customFormat="1" ht="15.75" customHeight="1" x14ac:dyDescent="0.15">
      <c r="F29" s="29"/>
      <c r="G29" s="29"/>
      <c r="H29" s="29"/>
      <c r="M29" s="32"/>
      <c r="N29" s="32" t="s">
        <v>88</v>
      </c>
      <c r="O29" s="32"/>
      <c r="P29" s="108" t="s">
        <v>92</v>
      </c>
      <c r="Q29" s="106" t="s">
        <v>93</v>
      </c>
      <c r="R29" s="106" t="s">
        <v>93</v>
      </c>
      <c r="S29" s="48"/>
      <c r="T29" s="48"/>
      <c r="U29" s="48"/>
    </row>
    <row r="30" spans="1:21" s="30" customFormat="1" ht="15.75" customHeight="1" x14ac:dyDescent="0.15">
      <c r="F30" s="29"/>
      <c r="G30" s="29"/>
      <c r="H30" s="29"/>
      <c r="M30" s="32"/>
      <c r="N30" s="32" t="s">
        <v>83</v>
      </c>
      <c r="O30" s="32"/>
      <c r="P30" s="74" t="s">
        <v>73</v>
      </c>
      <c r="Q30" s="74" t="s">
        <v>81</v>
      </c>
      <c r="R30" s="74" t="s">
        <v>81</v>
      </c>
      <c r="S30" s="48"/>
      <c r="T30" s="48"/>
      <c r="U30" s="48"/>
    </row>
    <row r="31" spans="1:21" ht="15.75" customHeight="1" x14ac:dyDescent="0.15">
      <c r="M31" s="98"/>
      <c r="N31" s="41"/>
      <c r="O31" s="41"/>
      <c r="P31" s="107"/>
      <c r="Q31" s="107"/>
      <c r="R31" s="107"/>
    </row>
    <row r="32" spans="1:21" ht="15.75" customHeight="1" x14ac:dyDescent="0.15">
      <c r="M32" s="99"/>
    </row>
    <row r="38" spans="14:15" ht="15.75" customHeight="1" x14ac:dyDescent="0.15">
      <c r="N38" s="105" t="s">
        <v>89</v>
      </c>
      <c r="O38" s="34" t="s">
        <v>90</v>
      </c>
    </row>
  </sheetData>
  <mergeCells count="4">
    <mergeCell ref="B2:H2"/>
    <mergeCell ref="I2:O2"/>
    <mergeCell ref="P2:R2"/>
    <mergeCell ref="M31:M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SD_Eval_Metric</vt:lpstr>
      <vt:lpstr>Power</vt:lpstr>
      <vt:lpstr>Sanity Checks</vt:lpstr>
      <vt:lpstr>Result Analysis</vt:lpstr>
      <vt:lpstr>Sign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TAN (MOM)</dc:creator>
  <cp:lastModifiedBy>Microsoft Office User</cp:lastModifiedBy>
  <dcterms:created xsi:type="dcterms:W3CDTF">2016-01-19T06:18:41Z</dcterms:created>
  <dcterms:modified xsi:type="dcterms:W3CDTF">2016-01-19T14:32:02Z</dcterms:modified>
</cp:coreProperties>
</file>